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KLK-DC1\daasusers$\jkim\Desktop\"/>
    </mc:Choice>
  </mc:AlternateContent>
  <xr:revisionPtr revIDLastSave="0" documentId="13_ncr:1_{10B2915A-ACAC-4EB2-A47C-EA02280E87D4}" xr6:coauthVersionLast="47" xr6:coauthVersionMax="47" xr10:uidLastSave="{00000000-0000-0000-0000-000000000000}"/>
  <bookViews>
    <workbookView xWindow="-120" yWindow="-120" windowWidth="29040" windowHeight="15840" xr2:uid="{00000000-000D-0000-FFFF-FFFF00000000}"/>
  </bookViews>
  <sheets>
    <sheet name="READ ME" sheetId="12" r:id="rId1"/>
    <sheet name="Dashboard" sheetId="11" r:id="rId2"/>
    <sheet name="Schwab Positions" sheetId="1" r:id="rId3"/>
    <sheet name="Schwab Balances" sheetId="7" r:id="rId4"/>
    <sheet name="Risk Tolerance" sheetId="2" r:id="rId5"/>
    <sheet name="Security Type" sheetId="4" r:id="rId6"/>
    <sheet name="2022 Port" sheetId="8" r:id="rId7"/>
  </sheets>
  <externalReferences>
    <externalReference r:id="rId8"/>
  </externalReferences>
  <definedNames>
    <definedName name="_xlnm._FilterDatabase" localSheetId="2" hidden="1">'Schwab Positions'!$A$8:$P$8</definedName>
    <definedName name="_xlnm._FilterDatabase" localSheetId="5" hidden="1">'Security Type'!$A$2:$D$2</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34" i="4" l="1"/>
  <c r="Q35" i="4"/>
  <c r="Q36" i="4"/>
  <c r="E53" i="11"/>
  <c r="K3" i="11"/>
  <c r="T17" i="8"/>
  <c r="B142" i="4"/>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19" i="1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Q4" i="4" l="1"/>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 i="4"/>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H64" i="8"/>
  <c r="K64" i="8"/>
  <c r="H17" i="8"/>
  <c r="K17" i="8"/>
  <c r="N17" i="8"/>
  <c r="Q17" i="8"/>
  <c r="T64" i="8"/>
  <c r="Q64" i="8"/>
  <c r="N64" i="8"/>
  <c r="L5" i="11" l="1"/>
  <c r="M6" i="11" s="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C6" i="11"/>
  <c r="C3" i="11"/>
  <c r="K5" i="11" s="1"/>
  <c r="G20" i="11" a="1"/>
  <c r="G20" i="11" s="1"/>
  <c r="G21" i="11" a="1"/>
  <c r="G21" i="11" s="1"/>
  <c r="G22" i="11" a="1"/>
  <c r="G22" i="11" s="1"/>
  <c r="G23" i="11" a="1"/>
  <c r="G23" i="11" s="1"/>
  <c r="G24" i="11" a="1"/>
  <c r="G24" i="11" s="1"/>
  <c r="G25" i="11" a="1"/>
  <c r="G25" i="11" s="1"/>
  <c r="G26" i="11" a="1"/>
  <c r="G26" i="11" s="1"/>
  <c r="G27" i="11" a="1"/>
  <c r="G27" i="11" s="1"/>
  <c r="G28" i="11" a="1"/>
  <c r="G28" i="11" s="1"/>
  <c r="G29" i="11" a="1"/>
  <c r="G29" i="11" s="1"/>
  <c r="G30" i="11" a="1"/>
  <c r="G30" i="11" s="1"/>
  <c r="G31" i="11" a="1"/>
  <c r="G31" i="11" s="1"/>
  <c r="G32" i="11" a="1"/>
  <c r="G32" i="11" s="1"/>
  <c r="G33" i="11" a="1"/>
  <c r="G33" i="11" s="1"/>
  <c r="G34" i="11" a="1"/>
  <c r="G34" i="11" s="1"/>
  <c r="G35" i="11" a="1"/>
  <c r="G35" i="11" s="1"/>
  <c r="G36" i="11" a="1"/>
  <c r="G36" i="11" s="1"/>
  <c r="G37" i="11" a="1"/>
  <c r="G37" i="11" s="1"/>
  <c r="G38" i="11" a="1"/>
  <c r="G38" i="11" s="1"/>
  <c r="G39" i="11" a="1"/>
  <c r="G39" i="11" s="1"/>
  <c r="G40" i="11" a="1"/>
  <c r="G40" i="11" s="1"/>
  <c r="G41" i="11" a="1"/>
  <c r="G41" i="11" s="1"/>
  <c r="G42" i="11" a="1"/>
  <c r="G42" i="11" s="1"/>
  <c r="G43" i="11" a="1"/>
  <c r="G43" i="11" s="1"/>
  <c r="G44" i="11" a="1"/>
  <c r="G44" i="11" s="1"/>
  <c r="G45" i="11" a="1"/>
  <c r="G45" i="11" s="1"/>
  <c r="G46" i="11" a="1"/>
  <c r="G46" i="11" s="1"/>
  <c r="G47" i="11" a="1"/>
  <c r="G47" i="11" s="1"/>
  <c r="G48" i="11" a="1"/>
  <c r="G48" i="11" s="1"/>
  <c r="G49" i="11" a="1"/>
  <c r="G49" i="11" s="1"/>
  <c r="G50" i="11" a="1"/>
  <c r="G50" i="11" s="1"/>
  <c r="G51" i="11" a="1"/>
  <c r="G51" i="11" s="1"/>
  <c r="G52" i="11" a="1"/>
  <c r="G52" i="11" s="1"/>
  <c r="G53" i="11" a="1"/>
  <c r="G53" i="11" s="1"/>
  <c r="G54" i="11" a="1"/>
  <c r="G54" i="11" s="1"/>
  <c r="G55" i="11" a="1"/>
  <c r="G55" i="11" s="1"/>
  <c r="G56" i="11" a="1"/>
  <c r="G56" i="11" s="1"/>
  <c r="G57" i="11" a="1"/>
  <c r="G57" i="11" s="1"/>
  <c r="G58" i="11" a="1"/>
  <c r="G58" i="11" s="1"/>
  <c r="G59" i="11" a="1"/>
  <c r="G59" i="11" s="1"/>
  <c r="G60" i="11" a="1"/>
  <c r="G60" i="11" s="1"/>
  <c r="G61" i="11" a="1"/>
  <c r="G61" i="11" s="1"/>
  <c r="G62" i="11" a="1"/>
  <c r="G62" i="11" s="1"/>
  <c r="G63" i="11" a="1"/>
  <c r="G63" i="11" s="1"/>
  <c r="G64" i="11" a="1"/>
  <c r="G64" i="11" s="1"/>
  <c r="G65" i="11" a="1"/>
  <c r="G65" i="11" s="1"/>
  <c r="G66" i="11" a="1"/>
  <c r="G66" i="11" s="1"/>
  <c r="G67" i="11" a="1"/>
  <c r="G67" i="11" s="1"/>
  <c r="G68" i="11" a="1"/>
  <c r="G68" i="11" s="1"/>
  <c r="G69" i="11" a="1"/>
  <c r="G69" i="11" s="1"/>
  <c r="G70" i="11" a="1"/>
  <c r="G70" i="11" s="1"/>
  <c r="G71" i="11" a="1"/>
  <c r="G71" i="11" s="1"/>
  <c r="G72" i="11" a="1"/>
  <c r="G72" i="11" s="1"/>
  <c r="G73" i="11" a="1"/>
  <c r="G73" i="11" s="1"/>
  <c r="G74" i="11" a="1"/>
  <c r="G74" i="11" s="1"/>
  <c r="G75" i="11" a="1"/>
  <c r="G75" i="11" s="1"/>
  <c r="G76" i="11" a="1"/>
  <c r="G76" i="11" s="1"/>
  <c r="G77" i="11" a="1"/>
  <c r="G77" i="11" s="1"/>
  <c r="G78" i="11" a="1"/>
  <c r="G78" i="11" s="1"/>
  <c r="G79" i="11" a="1"/>
  <c r="G79" i="11" s="1"/>
  <c r="G80" i="11" a="1"/>
  <c r="G80" i="11" s="1"/>
  <c r="G81" i="11" a="1"/>
  <c r="G81" i="11" s="1"/>
  <c r="G82" i="11" a="1"/>
  <c r="G82" i="11" s="1"/>
  <c r="G83" i="11" a="1"/>
  <c r="G83" i="11" s="1"/>
  <c r="G84" i="11" a="1"/>
  <c r="G84" i="11" s="1"/>
  <c r="G85" i="11" a="1"/>
  <c r="G85" i="11" s="1"/>
  <c r="G86" i="11" a="1"/>
  <c r="G86" i="11" s="1"/>
  <c r="G87" i="11" a="1"/>
  <c r="G87" i="11" s="1"/>
  <c r="G88" i="11" a="1"/>
  <c r="G88" i="11" s="1"/>
  <c r="G89" i="11" a="1"/>
  <c r="G89" i="11" s="1"/>
  <c r="G90" i="11" a="1"/>
  <c r="G90" i="11" s="1"/>
  <c r="G91" i="11" a="1"/>
  <c r="G91" i="11" s="1"/>
  <c r="G92" i="11" a="1"/>
  <c r="G92" i="11" s="1"/>
  <c r="G93" i="11" a="1"/>
  <c r="G93" i="11" s="1"/>
  <c r="G94" i="11" a="1"/>
  <c r="G94" i="11" s="1"/>
  <c r="G95" i="11" a="1"/>
  <c r="G95" i="11" s="1"/>
  <c r="G96" i="11" a="1"/>
  <c r="G96" i="11" s="1"/>
  <c r="G97" i="11" a="1"/>
  <c r="G97" i="11" s="1"/>
  <c r="G98" i="11" a="1"/>
  <c r="G98" i="11" s="1"/>
  <c r="G99" i="11" a="1"/>
  <c r="G99" i="11" s="1"/>
  <c r="G100" i="11" a="1"/>
  <c r="G100" i="11" s="1"/>
  <c r="G101" i="11" a="1"/>
  <c r="G101" i="11" s="1"/>
  <c r="G102" i="11" a="1"/>
  <c r="G102" i="11" s="1"/>
  <c r="G103" i="11" a="1"/>
  <c r="G103" i="11" s="1"/>
  <c r="G104" i="11" a="1"/>
  <c r="G104" i="11" s="1"/>
  <c r="G105" i="11" a="1"/>
  <c r="G105" i="11" s="1"/>
  <c r="G106" i="11" a="1"/>
  <c r="G106" i="11" s="1"/>
  <c r="G107" i="11" a="1"/>
  <c r="G107" i="11" s="1"/>
  <c r="G108" i="11" a="1"/>
  <c r="G108" i="11" s="1"/>
  <c r="G109" i="11" a="1"/>
  <c r="G109" i="11" s="1"/>
  <c r="G110" i="11" a="1"/>
  <c r="G110" i="11" s="1"/>
  <c r="G111" i="11" a="1"/>
  <c r="G111" i="11" s="1"/>
  <c r="G112" i="11" a="1"/>
  <c r="G112" i="11" s="1"/>
  <c r="G113" i="11" a="1"/>
  <c r="G113" i="11" s="1"/>
  <c r="G114" i="11" a="1"/>
  <c r="G114" i="11" s="1"/>
  <c r="G115" i="11" a="1"/>
  <c r="G115" i="11" s="1"/>
  <c r="G116" i="11" a="1"/>
  <c r="G116" i="11" s="1"/>
  <c r="G117" i="11" a="1"/>
  <c r="G117" i="11" s="1"/>
  <c r="G118" i="11" a="1"/>
  <c r="G118" i="11" s="1"/>
  <c r="G119" i="11" a="1"/>
  <c r="G119" i="11" s="1"/>
  <c r="G120" i="11" a="1"/>
  <c r="G120" i="11" s="1"/>
  <c r="G121" i="11" a="1"/>
  <c r="G121" i="11" s="1"/>
  <c r="G122" i="11" a="1"/>
  <c r="G122" i="11" s="1"/>
  <c r="G123" i="11" a="1"/>
  <c r="G123" i="11" s="1"/>
  <c r="G124" i="11" a="1"/>
  <c r="G124" i="11" s="1"/>
  <c r="G125" i="11" a="1"/>
  <c r="G125" i="11" s="1"/>
  <c r="G126" i="11" a="1"/>
  <c r="G126" i="11" s="1"/>
  <c r="G127" i="11" a="1"/>
  <c r="G127" i="11" s="1"/>
  <c r="G128" i="11" a="1"/>
  <c r="G128" i="11" s="1"/>
  <c r="G129" i="11" a="1"/>
  <c r="G129" i="11" s="1"/>
  <c r="G130" i="11" a="1"/>
  <c r="G130" i="11" s="1"/>
  <c r="G131" i="11" a="1"/>
  <c r="G131" i="11" s="1"/>
  <c r="G132" i="11" a="1"/>
  <c r="G132" i="11" s="1"/>
  <c r="G133" i="11" a="1"/>
  <c r="G133" i="11" s="1"/>
  <c r="G134" i="11" a="1"/>
  <c r="G134" i="11" s="1"/>
  <c r="G135" i="11" a="1"/>
  <c r="G135" i="11" s="1"/>
  <c r="G136" i="11" a="1"/>
  <c r="G136" i="11" s="1"/>
  <c r="G137" i="11" a="1"/>
  <c r="G137" i="11" s="1"/>
  <c r="G138" i="11" a="1"/>
  <c r="G138" i="11" s="1"/>
  <c r="G139" i="11" a="1"/>
  <c r="G139" i="11" s="1"/>
  <c r="G140" i="11" a="1"/>
  <c r="G140" i="11" s="1"/>
  <c r="G141" i="11" a="1"/>
  <c r="G141" i="11" s="1"/>
  <c r="G142" i="11" a="1"/>
  <c r="G142" i="11" s="1"/>
  <c r="G143" i="11" a="1"/>
  <c r="G143" i="11" s="1"/>
  <c r="G144" i="11" a="1"/>
  <c r="G144" i="11" s="1"/>
  <c r="G145" i="11" a="1"/>
  <c r="G145" i="11" s="1"/>
  <c r="G146" i="11" a="1"/>
  <c r="G146" i="11" s="1"/>
  <c r="G147" i="11" a="1"/>
  <c r="G147" i="11" s="1"/>
  <c r="G148" i="11" a="1"/>
  <c r="G148" i="11" s="1"/>
  <c r="G149" i="11" a="1"/>
  <c r="G149" i="11" s="1"/>
  <c r="G150" i="11" a="1"/>
  <c r="G150" i="11" s="1"/>
  <c r="G151" i="11" a="1"/>
  <c r="G151" i="11" s="1"/>
  <c r="G152" i="11" a="1"/>
  <c r="G152" i="11" s="1"/>
  <c r="G153" i="11" a="1"/>
  <c r="G153" i="11" s="1"/>
  <c r="G154" i="11" a="1"/>
  <c r="G154" i="11" s="1"/>
  <c r="G155" i="11" a="1"/>
  <c r="G155" i="11" s="1"/>
  <c r="G156" i="11" a="1"/>
  <c r="G156" i="11" s="1"/>
  <c r="G157" i="11" a="1"/>
  <c r="G157" i="11" s="1"/>
  <c r="G158" i="11" a="1"/>
  <c r="G158" i="11" s="1"/>
  <c r="G159" i="11" a="1"/>
  <c r="G159" i="11" s="1"/>
  <c r="G160" i="11" a="1"/>
  <c r="G160" i="11" s="1"/>
  <c r="G161" i="11" a="1"/>
  <c r="G161" i="11" s="1"/>
  <c r="G162" i="11" a="1"/>
  <c r="G162" i="11" s="1"/>
  <c r="G163" i="11" a="1"/>
  <c r="G163" i="11" s="1"/>
  <c r="G164" i="11" a="1"/>
  <c r="G164" i="11" s="1"/>
  <c r="G165" i="11" a="1"/>
  <c r="G165" i="11" s="1"/>
  <c r="G166" i="11" a="1"/>
  <c r="G166" i="11" s="1"/>
  <c r="G167" i="11" a="1"/>
  <c r="G167" i="11" s="1"/>
  <c r="G168" i="11" a="1"/>
  <c r="G168" i="11" s="1"/>
  <c r="G169" i="11" a="1"/>
  <c r="G169" i="11" s="1"/>
  <c r="G170" i="11" a="1"/>
  <c r="G170" i="11" s="1"/>
  <c r="G171" i="11" a="1"/>
  <c r="G171" i="11" s="1"/>
  <c r="G172" i="11" a="1"/>
  <c r="G172" i="11" s="1"/>
  <c r="G173" i="11" a="1"/>
  <c r="G173" i="11" s="1"/>
  <c r="G174" i="11" a="1"/>
  <c r="G174" i="11" s="1"/>
  <c r="G175" i="11" a="1"/>
  <c r="G175" i="11" s="1"/>
  <c r="G176" i="11" a="1"/>
  <c r="G176" i="11" s="1"/>
  <c r="G177" i="11" a="1"/>
  <c r="G177" i="11" s="1"/>
  <c r="G178" i="11" a="1"/>
  <c r="G178" i="11" s="1"/>
  <c r="G179" i="11" a="1"/>
  <c r="G179" i="11" s="1"/>
  <c r="G180" i="11" a="1"/>
  <c r="G180" i="11" s="1"/>
  <c r="G181" i="11" a="1"/>
  <c r="G181" i="11" s="1"/>
  <c r="G182" i="11" a="1"/>
  <c r="G182" i="11" s="1"/>
  <c r="G183" i="11" a="1"/>
  <c r="G183" i="11" s="1"/>
  <c r="G184" i="11" a="1"/>
  <c r="G184" i="11" s="1"/>
  <c r="G185" i="11" a="1"/>
  <c r="G185" i="11" s="1"/>
  <c r="G186" i="11" a="1"/>
  <c r="G186" i="11" s="1"/>
  <c r="G187" i="11" a="1"/>
  <c r="G187" i="11" s="1"/>
  <c r="G188" i="11" a="1"/>
  <c r="G188" i="11" s="1"/>
  <c r="G189" i="11" a="1"/>
  <c r="G189" i="11" s="1"/>
  <c r="G190" i="11" a="1"/>
  <c r="G190" i="11" s="1"/>
  <c r="G191" i="11" a="1"/>
  <c r="G191" i="11" s="1"/>
  <c r="G192" i="11" a="1"/>
  <c r="G192" i="11" s="1"/>
  <c r="G193" i="11" a="1"/>
  <c r="G193" i="11" s="1"/>
  <c r="G194" i="11" a="1"/>
  <c r="G194" i="11" s="1"/>
  <c r="G195" i="11" a="1"/>
  <c r="G195" i="11" s="1"/>
  <c r="G196" i="11" a="1"/>
  <c r="G196" i="11" s="1"/>
  <c r="G197" i="11" a="1"/>
  <c r="G197" i="11" s="1"/>
  <c r="G198" i="11" a="1"/>
  <c r="G198" i="11" s="1"/>
  <c r="G199" i="11" a="1"/>
  <c r="G199" i="11" s="1"/>
  <c r="G200" i="11" a="1"/>
  <c r="G200" i="11" s="1"/>
  <c r="G201" i="11" a="1"/>
  <c r="G201" i="11" s="1"/>
  <c r="G202" i="11" a="1"/>
  <c r="G202" i="11" s="1"/>
  <c r="G203" i="11" a="1"/>
  <c r="G203" i="11" s="1"/>
  <c r="G204" i="11" a="1"/>
  <c r="G204" i="11" s="1"/>
  <c r="G205" i="11" a="1"/>
  <c r="G205" i="11" s="1"/>
  <c r="G206" i="11" a="1"/>
  <c r="G206" i="11" s="1"/>
  <c r="G207" i="11" a="1"/>
  <c r="G207" i="11" s="1"/>
  <c r="G208" i="11" a="1"/>
  <c r="G208" i="11" s="1"/>
  <c r="G209" i="11" a="1"/>
  <c r="G209" i="11" s="1"/>
  <c r="G210" i="11" a="1"/>
  <c r="G210" i="11" s="1"/>
  <c r="G211" i="11" a="1"/>
  <c r="G211" i="11" s="1"/>
  <c r="G212" i="11" a="1"/>
  <c r="G212" i="11" s="1"/>
  <c r="G213" i="11" a="1"/>
  <c r="G213" i="11" s="1"/>
  <c r="G214" i="11" a="1"/>
  <c r="G214" i="11" s="1"/>
  <c r="G215" i="11" a="1"/>
  <c r="G215" i="11" s="1"/>
  <c r="G216" i="11" a="1"/>
  <c r="G216" i="11" s="1"/>
  <c r="G217" i="11" a="1"/>
  <c r="G217" i="11" s="1"/>
  <c r="G218" i="11" a="1"/>
  <c r="G218" i="11" s="1"/>
  <c r="G219" i="11" a="1"/>
  <c r="G219" i="11" s="1"/>
  <c r="G220" i="11" a="1"/>
  <c r="G220" i="11" s="1"/>
  <c r="G221" i="11" a="1"/>
  <c r="G221" i="11" s="1"/>
  <c r="G222" i="11" a="1"/>
  <c r="G222" i="11" s="1"/>
  <c r="G223" i="11" a="1"/>
  <c r="G223" i="11" s="1"/>
  <c r="G224" i="11" a="1"/>
  <c r="G224" i="11" s="1"/>
  <c r="G225" i="11" a="1"/>
  <c r="G225" i="11" s="1"/>
  <c r="G226" i="11" a="1"/>
  <c r="G226" i="11" s="1"/>
  <c r="G227" i="11" a="1"/>
  <c r="G227" i="11" s="1"/>
  <c r="G228" i="11" a="1"/>
  <c r="G228" i="11" s="1"/>
  <c r="G229" i="11" a="1"/>
  <c r="G229" i="11" s="1"/>
  <c r="G230" i="11" a="1"/>
  <c r="G230" i="11" s="1"/>
  <c r="G231" i="11" a="1"/>
  <c r="G231" i="11" s="1"/>
  <c r="G232" i="11" a="1"/>
  <c r="G232" i="11" s="1"/>
  <c r="G233" i="11" a="1"/>
  <c r="G233" i="11" s="1"/>
  <c r="G234" i="11" a="1"/>
  <c r="G234" i="11" s="1"/>
  <c r="G235" i="11" a="1"/>
  <c r="G235" i="11" s="1"/>
  <c r="G236" i="11" a="1"/>
  <c r="G236" i="11" s="1"/>
  <c r="G237" i="11" a="1"/>
  <c r="G237" i="11" s="1"/>
  <c r="G238" i="11" a="1"/>
  <c r="G238" i="11" s="1"/>
  <c r="G239" i="11" a="1"/>
  <c r="G239" i="11" s="1"/>
  <c r="G240" i="11" a="1"/>
  <c r="G240" i="11" s="1"/>
  <c r="G241" i="11" a="1"/>
  <c r="G241" i="11" s="1"/>
  <c r="G242" i="11" a="1"/>
  <c r="G242" i="11" s="1"/>
  <c r="G243" i="11" a="1"/>
  <c r="G243" i="11" s="1"/>
  <c r="G244" i="11" a="1"/>
  <c r="G244" i="11" s="1"/>
  <c r="G245" i="11" a="1"/>
  <c r="G245" i="11" s="1"/>
  <c r="G246" i="11" a="1"/>
  <c r="G246" i="11" s="1"/>
  <c r="G247" i="11" a="1"/>
  <c r="G247" i="11" s="1"/>
  <c r="G248" i="11" a="1"/>
  <c r="G248" i="11" s="1"/>
  <c r="G249" i="11" a="1"/>
  <c r="G249" i="11" s="1"/>
  <c r="G250" i="11" a="1"/>
  <c r="G250" i="11" s="1"/>
  <c r="G251" i="11" a="1"/>
  <c r="G251" i="11" s="1"/>
  <c r="G252" i="11" a="1"/>
  <c r="G252" i="11" s="1"/>
  <c r="G253" i="11" a="1"/>
  <c r="G253" i="11" s="1"/>
  <c r="G254" i="11" a="1"/>
  <c r="G254" i="11" s="1"/>
  <c r="G255" i="11" a="1"/>
  <c r="G255" i="11" s="1"/>
  <c r="G256" i="11" a="1"/>
  <c r="G256" i="11" s="1"/>
  <c r="G257" i="11" a="1"/>
  <c r="G257" i="11" s="1"/>
  <c r="G258" i="11" a="1"/>
  <c r="G258" i="11" s="1"/>
  <c r="G259" i="11" a="1"/>
  <c r="G259" i="11" s="1"/>
  <c r="G260" i="11" a="1"/>
  <c r="G260" i="11" s="1"/>
  <c r="G261" i="11" a="1"/>
  <c r="G261" i="11" s="1"/>
  <c r="G262" i="11" a="1"/>
  <c r="G262" i="11" s="1"/>
  <c r="G263" i="11" a="1"/>
  <c r="G263" i="11" s="1"/>
  <c r="G264" i="11" a="1"/>
  <c r="G264" i="11" s="1"/>
  <c r="G265" i="11" a="1"/>
  <c r="G265" i="11" s="1"/>
  <c r="G266" i="11" a="1"/>
  <c r="G266" i="11" s="1"/>
  <c r="G267" i="11" a="1"/>
  <c r="G267" i="11" s="1"/>
  <c r="G268" i="11" a="1"/>
  <c r="G268" i="11" s="1"/>
  <c r="G269" i="11" a="1"/>
  <c r="G269" i="11" s="1"/>
  <c r="G270" i="11" a="1"/>
  <c r="G270" i="11" s="1"/>
  <c r="G271" i="11" a="1"/>
  <c r="G271" i="11" s="1"/>
  <c r="G272" i="11" a="1"/>
  <c r="G272" i="11" s="1"/>
  <c r="G273" i="11" a="1"/>
  <c r="G273" i="11" s="1"/>
  <c r="G274" i="11" a="1"/>
  <c r="G274" i="11" s="1"/>
  <c r="G275" i="11" a="1"/>
  <c r="G275" i="11" s="1"/>
  <c r="G276" i="11" a="1"/>
  <c r="G276" i="11" s="1"/>
  <c r="G277" i="11" a="1"/>
  <c r="G277" i="11" s="1"/>
  <c r="G278" i="11" a="1"/>
  <c r="G278" i="11" s="1"/>
  <c r="G279" i="11" a="1"/>
  <c r="G279" i="11" s="1"/>
  <c r="G280" i="11" a="1"/>
  <c r="G280" i="11" s="1"/>
  <c r="G281" i="11" a="1"/>
  <c r="G281" i="11" s="1"/>
  <c r="G282" i="11" a="1"/>
  <c r="G282" i="11" s="1"/>
  <c r="G283" i="11" a="1"/>
  <c r="G283" i="11" s="1"/>
  <c r="G284" i="11" a="1"/>
  <c r="G284" i="11" s="1"/>
  <c r="G285" i="11" a="1"/>
  <c r="G285" i="11" s="1"/>
  <c r="G286" i="11" a="1"/>
  <c r="G286" i="11" s="1"/>
  <c r="G287" i="11" a="1"/>
  <c r="G287" i="11" s="1"/>
  <c r="G288" i="11" a="1"/>
  <c r="G288" i="11" s="1"/>
  <c r="G289" i="11" a="1"/>
  <c r="G289" i="11" s="1"/>
  <c r="G290" i="11" a="1"/>
  <c r="G290" i="11" s="1"/>
  <c r="G291" i="11" a="1"/>
  <c r="G291" i="11" s="1"/>
  <c r="G292" i="11" a="1"/>
  <c r="G292" i="11" s="1"/>
  <c r="G293" i="11" a="1"/>
  <c r="G293" i="11" s="1"/>
  <c r="G294" i="11" a="1"/>
  <c r="G294" i="11" s="1"/>
  <c r="G295" i="11" a="1"/>
  <c r="G295" i="11" s="1"/>
  <c r="G296" i="11" a="1"/>
  <c r="G296" i="11" s="1"/>
  <c r="G297" i="11" a="1"/>
  <c r="G297" i="11" s="1"/>
  <c r="G298" i="11" a="1"/>
  <c r="G298" i="11" s="1"/>
  <c r="G299" i="11" a="1"/>
  <c r="G299" i="11" s="1"/>
  <c r="G300" i="11" a="1"/>
  <c r="G300" i="11" s="1"/>
  <c r="G301" i="11" a="1"/>
  <c r="G301" i="11" s="1"/>
  <c r="G302" i="11" a="1"/>
  <c r="G302" i="11" s="1"/>
  <c r="G303" i="11" a="1"/>
  <c r="G303" i="11" s="1"/>
  <c r="G304" i="11" a="1"/>
  <c r="G304" i="11" s="1"/>
  <c r="G305" i="11" a="1"/>
  <c r="G305" i="11" s="1"/>
  <c r="G306" i="11" a="1"/>
  <c r="G306" i="11" s="1"/>
  <c r="G307" i="11" a="1"/>
  <c r="G307" i="11" s="1"/>
  <c r="G308" i="11" a="1"/>
  <c r="G308" i="11" s="1"/>
  <c r="G309" i="11" a="1"/>
  <c r="G309" i="11" s="1"/>
  <c r="G310" i="11" a="1"/>
  <c r="G310" i="11" s="1"/>
  <c r="G311" i="11" a="1"/>
  <c r="G311" i="11" s="1"/>
  <c r="G312" i="11" a="1"/>
  <c r="G312" i="11" s="1"/>
  <c r="G313" i="11" a="1"/>
  <c r="G313" i="11" s="1"/>
  <c r="G314" i="11" a="1"/>
  <c r="G314" i="11" s="1"/>
  <c r="G315" i="11" a="1"/>
  <c r="G315" i="11" s="1"/>
  <c r="G316" i="11" a="1"/>
  <c r="G316" i="11" s="1"/>
  <c r="G317" i="11" a="1"/>
  <c r="G317" i="11" s="1"/>
  <c r="G318" i="11" a="1"/>
  <c r="G318" i="11" s="1"/>
  <c r="G319" i="11" a="1"/>
  <c r="G319" i="11" s="1"/>
  <c r="G320" i="11" a="1"/>
  <c r="G320" i="11" s="1"/>
  <c r="G321" i="11" a="1"/>
  <c r="G321" i="11" s="1"/>
  <c r="G322" i="11" a="1"/>
  <c r="G322" i="11" s="1"/>
  <c r="G323" i="11" a="1"/>
  <c r="G323" i="11" s="1"/>
  <c r="G324" i="11" a="1"/>
  <c r="G324" i="11" s="1"/>
  <c r="G325" i="11" a="1"/>
  <c r="G325" i="11" s="1"/>
  <c r="G326" i="11" a="1"/>
  <c r="G326" i="11" s="1"/>
  <c r="G327" i="11" a="1"/>
  <c r="G327" i="11" s="1"/>
  <c r="G328" i="11" a="1"/>
  <c r="G328" i="11" s="1"/>
  <c r="G329" i="11" a="1"/>
  <c r="G329" i="11" s="1"/>
  <c r="G330" i="11" a="1"/>
  <c r="G330" i="11" s="1"/>
  <c r="G331" i="11" a="1"/>
  <c r="G331" i="11" s="1"/>
  <c r="G332" i="11" a="1"/>
  <c r="G332" i="11" s="1"/>
  <c r="G333" i="11" a="1"/>
  <c r="G333" i="11" s="1"/>
  <c r="G334" i="11" a="1"/>
  <c r="G334" i="11" s="1"/>
  <c r="G335" i="11" a="1"/>
  <c r="G335" i="11" s="1"/>
  <c r="G336" i="11" a="1"/>
  <c r="G336" i="11" s="1"/>
  <c r="G337" i="11" a="1"/>
  <c r="G337" i="11" s="1"/>
  <c r="G338" i="11" a="1"/>
  <c r="G338" i="11" s="1"/>
  <c r="G339" i="11" a="1"/>
  <c r="G339" i="11" s="1"/>
  <c r="G340" i="11" a="1"/>
  <c r="G340" i="11" s="1"/>
  <c r="G341" i="11" a="1"/>
  <c r="G341" i="11" s="1"/>
  <c r="G342" i="11" a="1"/>
  <c r="G342" i="11" s="1"/>
  <c r="G343" i="11" a="1"/>
  <c r="G343" i="11" s="1"/>
  <c r="G344" i="11" a="1"/>
  <c r="G344" i="11" s="1"/>
  <c r="G345" i="11" a="1"/>
  <c r="G345" i="11" s="1"/>
  <c r="G346" i="11" a="1"/>
  <c r="G346" i="11" s="1"/>
  <c r="G347" i="11" a="1"/>
  <c r="G347" i="11" s="1"/>
  <c r="G348" i="11" a="1"/>
  <c r="G348" i="11" s="1"/>
  <c r="G349" i="11" a="1"/>
  <c r="G349" i="11" s="1"/>
  <c r="G350" i="11" a="1"/>
  <c r="G350" i="11" s="1"/>
  <c r="G351" i="11" a="1"/>
  <c r="G351" i="11" s="1"/>
  <c r="G352" i="11" a="1"/>
  <c r="G352" i="11" s="1"/>
  <c r="G353" i="11" a="1"/>
  <c r="G353" i="11" s="1"/>
  <c r="G354" i="11" a="1"/>
  <c r="G354" i="11" s="1"/>
  <c r="G355" i="11" a="1"/>
  <c r="G355" i="11" s="1"/>
  <c r="G356" i="11" a="1"/>
  <c r="G356" i="11" s="1"/>
  <c r="G357" i="11" a="1"/>
  <c r="G357" i="11" s="1"/>
  <c r="G358" i="11" a="1"/>
  <c r="G358" i="11" s="1"/>
  <c r="G359" i="11" a="1"/>
  <c r="G359" i="11" s="1"/>
  <c r="G360" i="11" a="1"/>
  <c r="G360" i="11" s="1"/>
  <c r="G361" i="11" a="1"/>
  <c r="G361" i="11" s="1"/>
  <c r="G362" i="11" a="1"/>
  <c r="G362" i="11" s="1"/>
  <c r="G363" i="11" a="1"/>
  <c r="G363" i="11" s="1"/>
  <c r="G364" i="11" a="1"/>
  <c r="G364" i="11" s="1"/>
  <c r="G365" i="11" a="1"/>
  <c r="G365" i="11" s="1"/>
  <c r="G366" i="11" a="1"/>
  <c r="G366" i="11" s="1"/>
  <c r="G367" i="11" a="1"/>
  <c r="G367" i="11" s="1"/>
  <c r="G368" i="11" a="1"/>
  <c r="G368" i="11" s="1"/>
  <c r="G369" i="11" a="1"/>
  <c r="G369" i="11" s="1"/>
  <c r="G370" i="11" a="1"/>
  <c r="G370" i="11" s="1"/>
  <c r="G371" i="11" a="1"/>
  <c r="G371" i="11" s="1"/>
  <c r="G372" i="11" a="1"/>
  <c r="G372" i="11" s="1"/>
  <c r="G373" i="11" a="1"/>
  <c r="G373" i="11" s="1"/>
  <c r="G374" i="11" a="1"/>
  <c r="G374" i="11" s="1"/>
  <c r="G375" i="11" a="1"/>
  <c r="G375" i="11" s="1"/>
  <c r="G376" i="11" a="1"/>
  <c r="G376" i="11" s="1"/>
  <c r="G377" i="11" a="1"/>
  <c r="G377" i="11" s="1"/>
  <c r="G378" i="11" a="1"/>
  <c r="G378" i="11" s="1"/>
  <c r="G379" i="11" a="1"/>
  <c r="G379" i="11" s="1"/>
  <c r="G380" i="11" a="1"/>
  <c r="G380" i="11" s="1"/>
  <c r="G381" i="11" a="1"/>
  <c r="G381" i="11" s="1"/>
  <c r="G382" i="11" a="1"/>
  <c r="G382" i="11" s="1"/>
  <c r="G383" i="11" a="1"/>
  <c r="G383" i="11" s="1"/>
  <c r="G384" i="11" a="1"/>
  <c r="G384" i="11" s="1"/>
  <c r="G385" i="11" a="1"/>
  <c r="G385" i="11" s="1"/>
  <c r="G386" i="11" a="1"/>
  <c r="G386" i="11" s="1"/>
  <c r="G387" i="11" a="1"/>
  <c r="G387" i="11" s="1"/>
  <c r="G388" i="11" a="1"/>
  <c r="G388" i="11" s="1"/>
  <c r="G389" i="11" a="1"/>
  <c r="G389" i="11" s="1"/>
  <c r="G390" i="11" a="1"/>
  <c r="G390" i="11" s="1"/>
  <c r="G391" i="11" a="1"/>
  <c r="G391" i="11" s="1"/>
  <c r="G392" i="11" a="1"/>
  <c r="G392" i="11" s="1"/>
  <c r="G393" i="11" a="1"/>
  <c r="G393" i="11" s="1"/>
  <c r="G394" i="11" a="1"/>
  <c r="G394" i="11" s="1"/>
  <c r="G395" i="11" a="1"/>
  <c r="G395" i="11" s="1"/>
  <c r="G396" i="11" a="1"/>
  <c r="G396" i="11" s="1"/>
  <c r="G397" i="11" a="1"/>
  <c r="G397" i="11" s="1"/>
  <c r="G398" i="11" a="1"/>
  <c r="G398" i="11" s="1"/>
  <c r="G399" i="11" a="1"/>
  <c r="G399" i="11" s="1"/>
  <c r="G400" i="11" a="1"/>
  <c r="G400" i="11" s="1"/>
  <c r="G401" i="11" a="1"/>
  <c r="G401" i="11" s="1"/>
  <c r="G402" i="11" a="1"/>
  <c r="G402" i="11" s="1"/>
  <c r="G403" i="11" a="1"/>
  <c r="G403" i="11" s="1"/>
  <c r="G404" i="11" a="1"/>
  <c r="G404" i="11" s="1"/>
  <c r="G405" i="11" a="1"/>
  <c r="G405" i="11" s="1"/>
  <c r="G406" i="11" a="1"/>
  <c r="G406" i="11" s="1"/>
  <c r="G407" i="11" a="1"/>
  <c r="G407" i="11" s="1"/>
  <c r="G408" i="11" a="1"/>
  <c r="G408" i="11" s="1"/>
  <c r="G409" i="11" a="1"/>
  <c r="G409" i="11" s="1"/>
  <c r="G410" i="11" a="1"/>
  <c r="G410" i="11" s="1"/>
  <c r="G411" i="11" a="1"/>
  <c r="G411" i="11" s="1"/>
  <c r="G412" i="11" a="1"/>
  <c r="G412" i="11" s="1"/>
  <c r="G413" i="11" a="1"/>
  <c r="G413" i="11" s="1"/>
  <c r="G414" i="11" a="1"/>
  <c r="G414" i="11" s="1"/>
  <c r="G415" i="11" a="1"/>
  <c r="G415" i="11" s="1"/>
  <c r="G416" i="11" a="1"/>
  <c r="G416" i="11" s="1"/>
  <c r="G417" i="11" a="1"/>
  <c r="G417" i="11" s="1"/>
  <c r="G418" i="11" a="1"/>
  <c r="G418" i="11" s="1"/>
  <c r="G419" i="11" a="1"/>
  <c r="G419" i="11" s="1"/>
  <c r="G420" i="11" a="1"/>
  <c r="G420" i="11" s="1"/>
  <c r="G421" i="11" a="1"/>
  <c r="G421" i="11" s="1"/>
  <c r="G422" i="11" a="1"/>
  <c r="G422" i="11" s="1"/>
  <c r="G423" i="11" a="1"/>
  <c r="G423" i="11" s="1"/>
  <c r="G424" i="11" a="1"/>
  <c r="G424" i="11" s="1"/>
  <c r="G425" i="11" a="1"/>
  <c r="G425" i="11" s="1"/>
  <c r="G426" i="11" a="1"/>
  <c r="G426" i="11" s="1"/>
  <c r="G427" i="11" a="1"/>
  <c r="G427" i="11" s="1"/>
  <c r="G428" i="11" a="1"/>
  <c r="G428" i="11" s="1"/>
  <c r="G429" i="11" a="1"/>
  <c r="G429" i="11" s="1"/>
  <c r="G430" i="11" a="1"/>
  <c r="G430" i="11" s="1"/>
  <c r="G431" i="11" a="1"/>
  <c r="G431" i="11" s="1"/>
  <c r="G432" i="11" a="1"/>
  <c r="G432" i="11" s="1"/>
  <c r="G433" i="11" a="1"/>
  <c r="G433" i="11" s="1"/>
  <c r="G434" i="11" a="1"/>
  <c r="G434" i="11" s="1"/>
  <c r="G435" i="11" a="1"/>
  <c r="G435" i="11" s="1"/>
  <c r="G436" i="11" a="1"/>
  <c r="G436" i="11" s="1"/>
  <c r="G437" i="11" a="1"/>
  <c r="G437" i="11" s="1"/>
  <c r="G438" i="11" a="1"/>
  <c r="G438" i="11" s="1"/>
  <c r="G439" i="11" a="1"/>
  <c r="G439" i="11" s="1"/>
  <c r="G440" i="11" a="1"/>
  <c r="G440" i="11" s="1"/>
  <c r="G441" i="11" a="1"/>
  <c r="G441" i="11" s="1"/>
  <c r="G442" i="11" a="1"/>
  <c r="G442" i="11" s="1"/>
  <c r="G443" i="11" a="1"/>
  <c r="G443" i="11" s="1"/>
  <c r="G444" i="11" a="1"/>
  <c r="G444" i="11" s="1"/>
  <c r="G445" i="11" a="1"/>
  <c r="G445" i="11" s="1"/>
  <c r="G446" i="11" a="1"/>
  <c r="G446" i="11" s="1"/>
  <c r="G447" i="11" a="1"/>
  <c r="G447" i="11" s="1"/>
  <c r="G448" i="11" a="1"/>
  <c r="G448" i="11" s="1"/>
  <c r="G449" i="11" a="1"/>
  <c r="G449" i="11" s="1"/>
  <c r="G450" i="11" a="1"/>
  <c r="G450" i="11" s="1"/>
  <c r="G451" i="11" a="1"/>
  <c r="G451" i="11" s="1"/>
  <c r="G452" i="11" a="1"/>
  <c r="G452" i="11" s="1"/>
  <c r="G453" i="11" a="1"/>
  <c r="G453" i="11" s="1"/>
  <c r="G454" i="11" a="1"/>
  <c r="G454" i="11" s="1"/>
  <c r="G455" i="11" a="1"/>
  <c r="G455" i="11" s="1"/>
  <c r="G456" i="11" a="1"/>
  <c r="G456" i="11" s="1"/>
  <c r="G457" i="11" a="1"/>
  <c r="G457" i="11" s="1"/>
  <c r="G458" i="11" a="1"/>
  <c r="G458" i="11" s="1"/>
  <c r="G459" i="11" a="1"/>
  <c r="G459" i="11" s="1"/>
  <c r="G460" i="11" a="1"/>
  <c r="G460" i="11" s="1"/>
  <c r="G461" i="11" a="1"/>
  <c r="G461" i="11" s="1"/>
  <c r="G462" i="11" a="1"/>
  <c r="G462" i="11" s="1"/>
  <c r="G463" i="11" a="1"/>
  <c r="G463" i="11" s="1"/>
  <c r="G464" i="11" a="1"/>
  <c r="G464" i="11" s="1"/>
  <c r="G465" i="11" a="1"/>
  <c r="G465" i="11" s="1"/>
  <c r="G466" i="11" a="1"/>
  <c r="G466" i="11" s="1"/>
  <c r="G467" i="11" a="1"/>
  <c r="G467" i="11" s="1"/>
  <c r="G468" i="11" a="1"/>
  <c r="G468" i="11" s="1"/>
  <c r="G469" i="11" a="1"/>
  <c r="G469" i="11" s="1"/>
  <c r="G470" i="11" a="1"/>
  <c r="G470" i="11" s="1"/>
  <c r="G471" i="11" a="1"/>
  <c r="G471" i="11" s="1"/>
  <c r="G472" i="11" a="1"/>
  <c r="G472" i="11" s="1"/>
  <c r="G473" i="11" a="1"/>
  <c r="G473" i="11" s="1"/>
  <c r="G474" i="11" a="1"/>
  <c r="G474" i="11" s="1"/>
  <c r="G475" i="11" a="1"/>
  <c r="G475" i="11" s="1"/>
  <c r="G476" i="11" a="1"/>
  <c r="G476" i="11" s="1"/>
  <c r="G477" i="11" a="1"/>
  <c r="G477" i="11" s="1"/>
  <c r="G478" i="11" a="1"/>
  <c r="G478" i="11" s="1"/>
  <c r="G479" i="11" a="1"/>
  <c r="G479" i="11" s="1"/>
  <c r="G480" i="11" a="1"/>
  <c r="G480" i="11" s="1"/>
  <c r="G481" i="11" a="1"/>
  <c r="G481" i="11" s="1"/>
  <c r="G482" i="11" a="1"/>
  <c r="G482" i="11" s="1"/>
  <c r="G483" i="11" a="1"/>
  <c r="G483" i="11" s="1"/>
  <c r="G484" i="11" a="1"/>
  <c r="G484" i="11" s="1"/>
  <c r="G485" i="11" a="1"/>
  <c r="G485" i="11" s="1"/>
  <c r="G486" i="11" a="1"/>
  <c r="G486" i="11" s="1"/>
  <c r="G487" i="11" a="1"/>
  <c r="G487" i="11" s="1"/>
  <c r="G488" i="11" a="1"/>
  <c r="G488" i="11" s="1"/>
  <c r="G489" i="11" a="1"/>
  <c r="G489" i="11" s="1"/>
  <c r="G490" i="11" a="1"/>
  <c r="G490" i="11" s="1"/>
  <c r="G491" i="11" a="1"/>
  <c r="G491" i="11" s="1"/>
  <c r="G492" i="11" a="1"/>
  <c r="G492" i="11" s="1"/>
  <c r="G493" i="11" a="1"/>
  <c r="G493" i="11" s="1"/>
  <c r="G494" i="11" a="1"/>
  <c r="G494" i="11" s="1"/>
  <c r="G495" i="11" a="1"/>
  <c r="G495" i="11" s="1"/>
  <c r="G496" i="11" a="1"/>
  <c r="G496" i="11" s="1"/>
  <c r="G497" i="11" a="1"/>
  <c r="G497" i="11" s="1"/>
  <c r="G498" i="11" a="1"/>
  <c r="G498" i="11" s="1"/>
  <c r="G499" i="11" a="1"/>
  <c r="G499" i="11" s="1"/>
  <c r="G500" i="11" a="1"/>
  <c r="G500" i="11" s="1"/>
  <c r="G501" i="11" a="1"/>
  <c r="G501" i="11" s="1"/>
  <c r="G502" i="11" a="1"/>
  <c r="G502" i="11" s="1"/>
  <c r="G503" i="11" a="1"/>
  <c r="G503" i="11" s="1"/>
  <c r="G504" i="11" a="1"/>
  <c r="G504" i="11" s="1"/>
  <c r="G505" i="11" a="1"/>
  <c r="G505" i="11" s="1"/>
  <c r="G506" i="11" a="1"/>
  <c r="G506" i="11" s="1"/>
  <c r="G507" i="11" a="1"/>
  <c r="G507" i="11" s="1"/>
  <c r="G508" i="11" a="1"/>
  <c r="G508" i="11" s="1"/>
  <c r="G509" i="11" a="1"/>
  <c r="G509" i="11" s="1"/>
  <c r="G510" i="11" a="1"/>
  <c r="G510" i="11" s="1"/>
  <c r="G511" i="11" a="1"/>
  <c r="G511" i="11" s="1"/>
  <c r="G512" i="11" a="1"/>
  <c r="G512" i="11" s="1"/>
  <c r="G513" i="11" a="1"/>
  <c r="G513" i="11" s="1"/>
  <c r="G514" i="11" a="1"/>
  <c r="G514" i="11" s="1"/>
  <c r="G515" i="11" a="1"/>
  <c r="G515" i="11" s="1"/>
  <c r="G516" i="11" a="1"/>
  <c r="G516" i="11" s="1"/>
  <c r="G517" i="11" a="1"/>
  <c r="G517" i="11" s="1"/>
  <c r="G518" i="11" a="1"/>
  <c r="G518" i="11" s="1"/>
  <c r="G519" i="11" a="1"/>
  <c r="G519" i="11" s="1"/>
  <c r="G520" i="11" a="1"/>
  <c r="G520" i="11" s="1"/>
  <c r="G521" i="11" a="1"/>
  <c r="G521" i="11" s="1"/>
  <c r="G522" i="11" a="1"/>
  <c r="G522" i="11" s="1"/>
  <c r="G19" i="11" a="1"/>
  <c r="G19" i="11" s="1"/>
  <c r="F20" i="11" a="1"/>
  <c r="F20" i="11" s="1"/>
  <c r="F21" i="11" a="1"/>
  <c r="F21" i="11" s="1"/>
  <c r="F22" i="11" a="1"/>
  <c r="F22" i="11" s="1"/>
  <c r="F23" i="11" a="1"/>
  <c r="F23" i="11" s="1"/>
  <c r="F24" i="11" a="1"/>
  <c r="F24" i="11" s="1"/>
  <c r="F25" i="11" a="1"/>
  <c r="F25" i="11" s="1"/>
  <c r="F26" i="11" a="1"/>
  <c r="F26" i="11" s="1"/>
  <c r="F27" i="11" a="1"/>
  <c r="F27" i="11" s="1"/>
  <c r="F28" i="11" a="1"/>
  <c r="F28" i="11" s="1"/>
  <c r="F29" i="11" a="1"/>
  <c r="F29" i="11" s="1"/>
  <c r="F30" i="11" a="1"/>
  <c r="F30" i="11" s="1"/>
  <c r="F31" i="11" a="1"/>
  <c r="F31" i="11" s="1"/>
  <c r="F32" i="11" a="1"/>
  <c r="F32" i="11" s="1"/>
  <c r="F33" i="11" a="1"/>
  <c r="F33" i="11" s="1"/>
  <c r="F34" i="11" a="1"/>
  <c r="F34" i="11" s="1"/>
  <c r="F35" i="11" a="1"/>
  <c r="F35" i="11" s="1"/>
  <c r="F36" i="11" a="1"/>
  <c r="F36" i="11" s="1"/>
  <c r="F37" i="11" a="1"/>
  <c r="F37" i="11" s="1"/>
  <c r="F38" i="11" a="1"/>
  <c r="F38" i="11" s="1"/>
  <c r="F39" i="11" a="1"/>
  <c r="F39" i="11" s="1"/>
  <c r="F40" i="11" a="1"/>
  <c r="F40" i="11" s="1"/>
  <c r="F41" i="11" a="1"/>
  <c r="F41" i="11" s="1"/>
  <c r="F42" i="11" a="1"/>
  <c r="F42" i="11" s="1"/>
  <c r="F43" i="11" a="1"/>
  <c r="F43" i="11" s="1"/>
  <c r="F44" i="11" a="1"/>
  <c r="F44" i="11" s="1"/>
  <c r="F45" i="11" a="1"/>
  <c r="F45" i="11" s="1"/>
  <c r="F46" i="11" a="1"/>
  <c r="F46" i="11" s="1"/>
  <c r="F47" i="11" a="1"/>
  <c r="F47" i="11" s="1"/>
  <c r="F48" i="11" a="1"/>
  <c r="F48" i="11" s="1"/>
  <c r="F49" i="11" a="1"/>
  <c r="F49" i="11" s="1"/>
  <c r="F50" i="11" a="1"/>
  <c r="F50" i="11" s="1"/>
  <c r="F51" i="11" a="1"/>
  <c r="F51" i="11" s="1"/>
  <c r="F52" i="11" a="1"/>
  <c r="F52" i="11" s="1"/>
  <c r="F53" i="11" a="1"/>
  <c r="F53" i="11" s="1"/>
  <c r="F54" i="11" a="1"/>
  <c r="F54" i="11" s="1"/>
  <c r="F55" i="11" a="1"/>
  <c r="F55" i="11" s="1"/>
  <c r="F56" i="11" a="1"/>
  <c r="F56" i="11" s="1"/>
  <c r="F57" i="11" a="1"/>
  <c r="F57" i="11" s="1"/>
  <c r="F58" i="11" a="1"/>
  <c r="F58" i="11" s="1"/>
  <c r="F59" i="11" a="1"/>
  <c r="F59" i="11" s="1"/>
  <c r="F60" i="11" a="1"/>
  <c r="F60" i="11" s="1"/>
  <c r="F61" i="11" a="1"/>
  <c r="F61" i="11" s="1"/>
  <c r="F62" i="11" a="1"/>
  <c r="F62" i="11" s="1"/>
  <c r="F63" i="11" a="1"/>
  <c r="F63" i="11" s="1"/>
  <c r="F64" i="11" a="1"/>
  <c r="F64" i="11" s="1"/>
  <c r="F65" i="11" a="1"/>
  <c r="F65" i="11" s="1"/>
  <c r="F66" i="11" a="1"/>
  <c r="F66" i="11" s="1"/>
  <c r="F67" i="11" a="1"/>
  <c r="F67" i="11" s="1"/>
  <c r="F68" i="11" a="1"/>
  <c r="F68" i="11" s="1"/>
  <c r="F69" i="11" a="1"/>
  <c r="F69" i="11" s="1"/>
  <c r="F70" i="11" a="1"/>
  <c r="F70" i="11" s="1"/>
  <c r="F71" i="11" a="1"/>
  <c r="F71" i="11" s="1"/>
  <c r="F72" i="11" a="1"/>
  <c r="F72" i="11" s="1"/>
  <c r="F73" i="11" a="1"/>
  <c r="F73" i="11" s="1"/>
  <c r="F74" i="11" a="1"/>
  <c r="F74" i="11" s="1"/>
  <c r="F75" i="11" a="1"/>
  <c r="F75" i="11" s="1"/>
  <c r="F76" i="11" a="1"/>
  <c r="F76" i="11" s="1"/>
  <c r="F77" i="11" a="1"/>
  <c r="F77" i="11" s="1"/>
  <c r="F78" i="11" a="1"/>
  <c r="F78" i="11" s="1"/>
  <c r="F79" i="11" a="1"/>
  <c r="F79" i="11" s="1"/>
  <c r="F80" i="11" a="1"/>
  <c r="F80" i="11" s="1"/>
  <c r="F81" i="11" a="1"/>
  <c r="F81" i="11" s="1"/>
  <c r="F82" i="11" a="1"/>
  <c r="F82" i="11" s="1"/>
  <c r="F83" i="11" a="1"/>
  <c r="F83" i="11" s="1"/>
  <c r="F84" i="11" a="1"/>
  <c r="F84" i="11" s="1"/>
  <c r="F85" i="11" a="1"/>
  <c r="F85" i="11" s="1"/>
  <c r="F86" i="11" a="1"/>
  <c r="F86" i="11" s="1"/>
  <c r="F87" i="11" a="1"/>
  <c r="F87" i="11" s="1"/>
  <c r="F88" i="11" a="1"/>
  <c r="F88" i="11" s="1"/>
  <c r="F89" i="11" a="1"/>
  <c r="F89" i="11" s="1"/>
  <c r="F90" i="11" a="1"/>
  <c r="F90" i="11" s="1"/>
  <c r="F91" i="11" a="1"/>
  <c r="F91" i="11" s="1"/>
  <c r="F92" i="11" a="1"/>
  <c r="F92" i="11" s="1"/>
  <c r="F93" i="11" a="1"/>
  <c r="F93" i="11" s="1"/>
  <c r="F94" i="11" a="1"/>
  <c r="F94" i="11" s="1"/>
  <c r="F95" i="11" a="1"/>
  <c r="F95" i="11" s="1"/>
  <c r="F96" i="11" a="1"/>
  <c r="F96" i="11" s="1"/>
  <c r="F97" i="11" a="1"/>
  <c r="F97" i="11" s="1"/>
  <c r="F98" i="11" a="1"/>
  <c r="F98" i="11" s="1"/>
  <c r="F99" i="11" a="1"/>
  <c r="F99" i="11" s="1"/>
  <c r="F100" i="11" a="1"/>
  <c r="F100" i="11" s="1"/>
  <c r="F101" i="11" a="1"/>
  <c r="F101" i="11" s="1"/>
  <c r="F102" i="11" a="1"/>
  <c r="F102" i="11" s="1"/>
  <c r="F103" i="11" a="1"/>
  <c r="F103" i="11" s="1"/>
  <c r="F104" i="11" a="1"/>
  <c r="F104" i="11" s="1"/>
  <c r="F105" i="11" a="1"/>
  <c r="F105" i="11" s="1"/>
  <c r="F106" i="11" a="1"/>
  <c r="F106" i="11" s="1"/>
  <c r="F107" i="11" a="1"/>
  <c r="F107" i="11" s="1"/>
  <c r="F108" i="11" a="1"/>
  <c r="F108" i="11" s="1"/>
  <c r="F109" i="11" a="1"/>
  <c r="F109" i="11" s="1"/>
  <c r="F110" i="11" a="1"/>
  <c r="F110" i="11" s="1"/>
  <c r="F111" i="11" a="1"/>
  <c r="F111" i="11" s="1"/>
  <c r="F112" i="11" a="1"/>
  <c r="F112" i="11" s="1"/>
  <c r="F113" i="11" a="1"/>
  <c r="F113" i="11" s="1"/>
  <c r="F114" i="11" a="1"/>
  <c r="F114" i="11" s="1"/>
  <c r="F115" i="11" a="1"/>
  <c r="F115" i="11" s="1"/>
  <c r="F116" i="11" a="1"/>
  <c r="F116" i="11" s="1"/>
  <c r="F117" i="11" a="1"/>
  <c r="F117" i="11" s="1"/>
  <c r="F118" i="11" a="1"/>
  <c r="F118" i="11" s="1"/>
  <c r="F119" i="11" a="1"/>
  <c r="F119" i="11" s="1"/>
  <c r="F120" i="11" a="1"/>
  <c r="F120" i="11" s="1"/>
  <c r="F121" i="11" a="1"/>
  <c r="F121" i="11" s="1"/>
  <c r="F122" i="11" a="1"/>
  <c r="F122" i="11" s="1"/>
  <c r="F123" i="11" a="1"/>
  <c r="F123" i="11" s="1"/>
  <c r="F124" i="11" a="1"/>
  <c r="F124" i="11" s="1"/>
  <c r="F125" i="11" a="1"/>
  <c r="F125" i="11" s="1"/>
  <c r="F126" i="11" a="1"/>
  <c r="F126" i="11" s="1"/>
  <c r="F127" i="11" a="1"/>
  <c r="F127" i="11" s="1"/>
  <c r="F128" i="11" a="1"/>
  <c r="F128" i="11" s="1"/>
  <c r="F129" i="11" a="1"/>
  <c r="F129" i="11" s="1"/>
  <c r="F130" i="11" a="1"/>
  <c r="F130" i="11" s="1"/>
  <c r="F131" i="11" a="1"/>
  <c r="F131" i="11" s="1"/>
  <c r="F132" i="11" a="1"/>
  <c r="F132" i="11" s="1"/>
  <c r="F133" i="11" a="1"/>
  <c r="F133" i="11" s="1"/>
  <c r="F134" i="11" a="1"/>
  <c r="F134" i="11" s="1"/>
  <c r="F135" i="11" a="1"/>
  <c r="F135" i="11" s="1"/>
  <c r="F136" i="11" a="1"/>
  <c r="F136" i="11" s="1"/>
  <c r="F137" i="11" a="1"/>
  <c r="F137" i="11" s="1"/>
  <c r="F138" i="11" a="1"/>
  <c r="F138" i="11" s="1"/>
  <c r="F139" i="11" a="1"/>
  <c r="F139" i="11" s="1"/>
  <c r="F140" i="11" a="1"/>
  <c r="F140" i="11" s="1"/>
  <c r="F141" i="11" a="1"/>
  <c r="F141" i="11" s="1"/>
  <c r="F142" i="11" a="1"/>
  <c r="F142" i="11" s="1"/>
  <c r="F143" i="11" a="1"/>
  <c r="F143" i="11" s="1"/>
  <c r="F144" i="11" a="1"/>
  <c r="F144" i="11" s="1"/>
  <c r="F145" i="11" a="1"/>
  <c r="F145" i="11" s="1"/>
  <c r="F146" i="11" a="1"/>
  <c r="F146" i="11" s="1"/>
  <c r="F147" i="11" a="1"/>
  <c r="F147" i="11" s="1"/>
  <c r="F148" i="11" a="1"/>
  <c r="F148" i="11" s="1"/>
  <c r="F149" i="11" a="1"/>
  <c r="F149" i="11" s="1"/>
  <c r="F150" i="11" a="1"/>
  <c r="F150" i="11" s="1"/>
  <c r="F151" i="11" a="1"/>
  <c r="F151" i="11" s="1"/>
  <c r="F152" i="11" a="1"/>
  <c r="F152" i="11" s="1"/>
  <c r="F153" i="11" a="1"/>
  <c r="F153" i="11" s="1"/>
  <c r="F154" i="11" a="1"/>
  <c r="F154" i="11" s="1"/>
  <c r="F155" i="11" a="1"/>
  <c r="F155" i="11" s="1"/>
  <c r="F156" i="11" a="1"/>
  <c r="F156" i="11" s="1"/>
  <c r="F157" i="11" a="1"/>
  <c r="F157" i="11" s="1"/>
  <c r="F158" i="11" a="1"/>
  <c r="F158" i="11" s="1"/>
  <c r="F159" i="11" a="1"/>
  <c r="F159" i="11" s="1"/>
  <c r="F160" i="11" a="1"/>
  <c r="F160" i="11" s="1"/>
  <c r="F161" i="11" a="1"/>
  <c r="F161" i="11" s="1"/>
  <c r="F162" i="11" a="1"/>
  <c r="F162" i="11" s="1"/>
  <c r="F163" i="11" a="1"/>
  <c r="F163" i="11" s="1"/>
  <c r="F164" i="11" a="1"/>
  <c r="F164" i="11" s="1"/>
  <c r="F165" i="11" a="1"/>
  <c r="F165" i="11" s="1"/>
  <c r="F166" i="11" a="1"/>
  <c r="F166" i="11" s="1"/>
  <c r="F167" i="11" a="1"/>
  <c r="F167" i="11" s="1"/>
  <c r="F168" i="11" a="1"/>
  <c r="F168" i="11" s="1"/>
  <c r="F169" i="11" a="1"/>
  <c r="F169" i="11" s="1"/>
  <c r="F170" i="11" a="1"/>
  <c r="F170" i="11" s="1"/>
  <c r="F171" i="11" a="1"/>
  <c r="F171" i="11" s="1"/>
  <c r="F172" i="11" a="1"/>
  <c r="F172" i="11" s="1"/>
  <c r="F173" i="11" a="1"/>
  <c r="F173" i="11" s="1"/>
  <c r="F174" i="11" a="1"/>
  <c r="F174" i="11" s="1"/>
  <c r="F175" i="11" a="1"/>
  <c r="F175" i="11" s="1"/>
  <c r="F176" i="11" a="1"/>
  <c r="F176" i="11" s="1"/>
  <c r="F177" i="11" a="1"/>
  <c r="F177" i="11" s="1"/>
  <c r="F178" i="11" a="1"/>
  <c r="F178" i="11" s="1"/>
  <c r="F179" i="11" a="1"/>
  <c r="F179" i="11" s="1"/>
  <c r="F180" i="11" a="1"/>
  <c r="F180" i="11" s="1"/>
  <c r="F181" i="11" a="1"/>
  <c r="F181" i="11" s="1"/>
  <c r="F182" i="11" a="1"/>
  <c r="F182" i="11" s="1"/>
  <c r="F183" i="11" a="1"/>
  <c r="F183" i="11" s="1"/>
  <c r="F184" i="11" a="1"/>
  <c r="F184" i="11" s="1"/>
  <c r="F185" i="11" a="1"/>
  <c r="F185" i="11" s="1"/>
  <c r="F186" i="11" a="1"/>
  <c r="F186" i="11" s="1"/>
  <c r="F187" i="11" a="1"/>
  <c r="F187" i="11" s="1"/>
  <c r="F188" i="11" a="1"/>
  <c r="F188" i="11" s="1"/>
  <c r="F189" i="11" a="1"/>
  <c r="F189" i="11" s="1"/>
  <c r="F190" i="11" a="1"/>
  <c r="F190" i="11" s="1"/>
  <c r="F191" i="11" a="1"/>
  <c r="F191" i="11" s="1"/>
  <c r="F192" i="11" a="1"/>
  <c r="F192" i="11" s="1"/>
  <c r="F193" i="11" a="1"/>
  <c r="F193" i="11" s="1"/>
  <c r="F194" i="11" a="1"/>
  <c r="F194" i="11" s="1"/>
  <c r="F195" i="11" a="1"/>
  <c r="F195" i="11" s="1"/>
  <c r="F196" i="11" a="1"/>
  <c r="F196" i="11" s="1"/>
  <c r="F197" i="11" a="1"/>
  <c r="F197" i="11" s="1"/>
  <c r="F198" i="11" a="1"/>
  <c r="F198" i="11" s="1"/>
  <c r="F199" i="11" a="1"/>
  <c r="F199" i="11" s="1"/>
  <c r="F200" i="11" a="1"/>
  <c r="F200" i="11" s="1"/>
  <c r="F201" i="11" a="1"/>
  <c r="F201" i="11" s="1"/>
  <c r="F202" i="11" a="1"/>
  <c r="F202" i="11" s="1"/>
  <c r="F203" i="11" a="1"/>
  <c r="F203" i="11" s="1"/>
  <c r="F204" i="11" a="1"/>
  <c r="F204" i="11" s="1"/>
  <c r="F205" i="11" a="1"/>
  <c r="F205" i="11" s="1"/>
  <c r="F206" i="11" a="1"/>
  <c r="F206" i="11" s="1"/>
  <c r="F207" i="11" a="1"/>
  <c r="F207" i="11" s="1"/>
  <c r="F208" i="11" a="1"/>
  <c r="F208" i="11" s="1"/>
  <c r="F209" i="11" a="1"/>
  <c r="F209" i="11" s="1"/>
  <c r="F210" i="11" a="1"/>
  <c r="F210" i="11" s="1"/>
  <c r="F211" i="11" a="1"/>
  <c r="F211" i="11" s="1"/>
  <c r="F212" i="11" a="1"/>
  <c r="F212" i="11" s="1"/>
  <c r="F213" i="11" a="1"/>
  <c r="F213" i="11" s="1"/>
  <c r="F214" i="11" a="1"/>
  <c r="F214" i="11" s="1"/>
  <c r="F215" i="11" a="1"/>
  <c r="F215" i="11" s="1"/>
  <c r="F216" i="11" a="1"/>
  <c r="F216" i="11" s="1"/>
  <c r="F217" i="11" a="1"/>
  <c r="F217" i="11" s="1"/>
  <c r="F218" i="11" a="1"/>
  <c r="F218" i="11" s="1"/>
  <c r="F219" i="11" a="1"/>
  <c r="F219" i="11" s="1"/>
  <c r="F220" i="11" a="1"/>
  <c r="F220" i="11" s="1"/>
  <c r="F221" i="11" a="1"/>
  <c r="F221" i="11" s="1"/>
  <c r="F222" i="11" a="1"/>
  <c r="F222" i="11" s="1"/>
  <c r="F223" i="11" a="1"/>
  <c r="F223" i="11" s="1"/>
  <c r="F224" i="11" a="1"/>
  <c r="F224" i="11" s="1"/>
  <c r="F225" i="11" a="1"/>
  <c r="F225" i="11" s="1"/>
  <c r="F226" i="11" a="1"/>
  <c r="F226" i="11" s="1"/>
  <c r="F227" i="11" a="1"/>
  <c r="F227" i="11" s="1"/>
  <c r="F228" i="11" a="1"/>
  <c r="F228" i="11" s="1"/>
  <c r="F229" i="11" a="1"/>
  <c r="F229" i="11" s="1"/>
  <c r="F230" i="11" a="1"/>
  <c r="F230" i="11" s="1"/>
  <c r="F231" i="11" a="1"/>
  <c r="F231" i="11" s="1"/>
  <c r="F232" i="11" a="1"/>
  <c r="F232" i="11" s="1"/>
  <c r="F233" i="11" a="1"/>
  <c r="F233" i="11" s="1"/>
  <c r="F234" i="11" a="1"/>
  <c r="F234" i="11" s="1"/>
  <c r="F235" i="11" a="1"/>
  <c r="F235" i="11" s="1"/>
  <c r="F236" i="11" a="1"/>
  <c r="F236" i="11" s="1"/>
  <c r="F237" i="11" a="1"/>
  <c r="F237" i="11" s="1"/>
  <c r="F238" i="11" a="1"/>
  <c r="F238" i="11" s="1"/>
  <c r="F239" i="11" a="1"/>
  <c r="F239" i="11" s="1"/>
  <c r="F240" i="11" a="1"/>
  <c r="F240" i="11" s="1"/>
  <c r="F241" i="11" a="1"/>
  <c r="F241" i="11" s="1"/>
  <c r="F242" i="11" a="1"/>
  <c r="F242" i="11" s="1"/>
  <c r="F243" i="11" a="1"/>
  <c r="F243" i="11" s="1"/>
  <c r="F244" i="11" a="1"/>
  <c r="F244" i="11" s="1"/>
  <c r="F245" i="11" a="1"/>
  <c r="F245" i="11" s="1"/>
  <c r="F246" i="11" a="1"/>
  <c r="F246" i="11" s="1"/>
  <c r="F247" i="11" a="1"/>
  <c r="F247" i="11" s="1"/>
  <c r="F248" i="11" a="1"/>
  <c r="F248" i="11" s="1"/>
  <c r="F249" i="11" a="1"/>
  <c r="F249" i="11" s="1"/>
  <c r="F250" i="11" a="1"/>
  <c r="F250" i="11" s="1"/>
  <c r="F251" i="11" a="1"/>
  <c r="F251" i="11" s="1"/>
  <c r="F252" i="11" a="1"/>
  <c r="F252" i="11" s="1"/>
  <c r="F253" i="11" a="1"/>
  <c r="F253" i="11" s="1"/>
  <c r="F254" i="11" a="1"/>
  <c r="F254" i="11" s="1"/>
  <c r="F255" i="11" a="1"/>
  <c r="F255" i="11" s="1"/>
  <c r="F256" i="11" a="1"/>
  <c r="F256" i="11" s="1"/>
  <c r="F257" i="11" a="1"/>
  <c r="F257" i="11" s="1"/>
  <c r="F258" i="11" a="1"/>
  <c r="F258" i="11" s="1"/>
  <c r="F259" i="11" a="1"/>
  <c r="F259" i="11" s="1"/>
  <c r="F260" i="11" a="1"/>
  <c r="F260" i="11" s="1"/>
  <c r="F261" i="11" a="1"/>
  <c r="F261" i="11" s="1"/>
  <c r="F262" i="11" a="1"/>
  <c r="F262" i="11" s="1"/>
  <c r="F263" i="11" a="1"/>
  <c r="F263" i="11" s="1"/>
  <c r="F264" i="11" a="1"/>
  <c r="F264" i="11" s="1"/>
  <c r="F265" i="11" a="1"/>
  <c r="F265" i="11" s="1"/>
  <c r="F266" i="11" a="1"/>
  <c r="F266" i="11" s="1"/>
  <c r="F267" i="11" a="1"/>
  <c r="F267" i="11" s="1"/>
  <c r="F268" i="11" a="1"/>
  <c r="F268" i="11" s="1"/>
  <c r="F269" i="11" a="1"/>
  <c r="F269" i="11" s="1"/>
  <c r="F270" i="11" a="1"/>
  <c r="F270" i="11" s="1"/>
  <c r="F271" i="11" a="1"/>
  <c r="F271" i="11" s="1"/>
  <c r="F272" i="11" a="1"/>
  <c r="F272" i="11" s="1"/>
  <c r="F273" i="11" a="1"/>
  <c r="F273" i="11" s="1"/>
  <c r="F274" i="11" a="1"/>
  <c r="F274" i="11" s="1"/>
  <c r="F275" i="11" a="1"/>
  <c r="F275" i="11" s="1"/>
  <c r="F276" i="11" a="1"/>
  <c r="F276" i="11" s="1"/>
  <c r="F277" i="11" a="1"/>
  <c r="F277" i="11" s="1"/>
  <c r="F278" i="11" a="1"/>
  <c r="F278" i="11" s="1"/>
  <c r="F279" i="11" a="1"/>
  <c r="F279" i="11" s="1"/>
  <c r="F280" i="11" a="1"/>
  <c r="F280" i="11" s="1"/>
  <c r="F281" i="11" a="1"/>
  <c r="F281" i="11" s="1"/>
  <c r="F282" i="11" a="1"/>
  <c r="F282" i="11" s="1"/>
  <c r="F283" i="11" a="1"/>
  <c r="F283" i="11" s="1"/>
  <c r="F284" i="11" a="1"/>
  <c r="F284" i="11" s="1"/>
  <c r="F285" i="11" a="1"/>
  <c r="F285" i="11" s="1"/>
  <c r="F286" i="11" a="1"/>
  <c r="F286" i="11" s="1"/>
  <c r="F287" i="11" a="1"/>
  <c r="F287" i="11" s="1"/>
  <c r="F288" i="11" a="1"/>
  <c r="F288" i="11" s="1"/>
  <c r="F289" i="11" a="1"/>
  <c r="F289" i="11" s="1"/>
  <c r="F290" i="11" a="1"/>
  <c r="F290" i="11" s="1"/>
  <c r="F291" i="11" a="1"/>
  <c r="F291" i="11" s="1"/>
  <c r="F292" i="11" a="1"/>
  <c r="F292" i="11" s="1"/>
  <c r="F293" i="11" a="1"/>
  <c r="F293" i="11" s="1"/>
  <c r="F294" i="11" a="1"/>
  <c r="F294" i="11" s="1"/>
  <c r="F295" i="11" a="1"/>
  <c r="F295" i="11" s="1"/>
  <c r="F296" i="11" a="1"/>
  <c r="F296" i="11" s="1"/>
  <c r="F297" i="11" a="1"/>
  <c r="F297" i="11" s="1"/>
  <c r="F298" i="11" a="1"/>
  <c r="F298" i="11" s="1"/>
  <c r="F299" i="11" a="1"/>
  <c r="F299" i="11" s="1"/>
  <c r="F300" i="11" a="1"/>
  <c r="F300" i="11" s="1"/>
  <c r="F301" i="11" a="1"/>
  <c r="F301" i="11" s="1"/>
  <c r="F302" i="11" a="1"/>
  <c r="F302" i="11" s="1"/>
  <c r="F303" i="11" a="1"/>
  <c r="F303" i="11" s="1"/>
  <c r="F304" i="11" a="1"/>
  <c r="F304" i="11" s="1"/>
  <c r="F305" i="11" a="1"/>
  <c r="F305" i="11" s="1"/>
  <c r="F306" i="11" a="1"/>
  <c r="F306" i="11" s="1"/>
  <c r="F307" i="11" a="1"/>
  <c r="F307" i="11" s="1"/>
  <c r="F308" i="11" a="1"/>
  <c r="F308" i="11" s="1"/>
  <c r="F309" i="11" a="1"/>
  <c r="F309" i="11" s="1"/>
  <c r="F310" i="11" a="1"/>
  <c r="F310" i="11" s="1"/>
  <c r="F311" i="11" a="1"/>
  <c r="F311" i="11" s="1"/>
  <c r="F312" i="11" a="1"/>
  <c r="F312" i="11" s="1"/>
  <c r="F313" i="11" a="1"/>
  <c r="F313" i="11" s="1"/>
  <c r="F314" i="11" a="1"/>
  <c r="F314" i="11" s="1"/>
  <c r="F315" i="11" a="1"/>
  <c r="F315" i="11" s="1"/>
  <c r="F316" i="11" a="1"/>
  <c r="F316" i="11" s="1"/>
  <c r="F317" i="11" a="1"/>
  <c r="F317" i="11" s="1"/>
  <c r="F318" i="11" a="1"/>
  <c r="F318" i="11" s="1"/>
  <c r="F319" i="11" a="1"/>
  <c r="F319" i="11" s="1"/>
  <c r="F320" i="11" a="1"/>
  <c r="F320" i="11" s="1"/>
  <c r="F321" i="11" a="1"/>
  <c r="F321" i="11" s="1"/>
  <c r="F322" i="11" a="1"/>
  <c r="F322" i="11" s="1"/>
  <c r="F323" i="11" a="1"/>
  <c r="F323" i="11" s="1"/>
  <c r="F324" i="11" a="1"/>
  <c r="F324" i="11" s="1"/>
  <c r="F325" i="11" a="1"/>
  <c r="F325" i="11" s="1"/>
  <c r="F326" i="11" a="1"/>
  <c r="F326" i="11" s="1"/>
  <c r="F327" i="11" a="1"/>
  <c r="F327" i="11" s="1"/>
  <c r="F328" i="11" a="1"/>
  <c r="F328" i="11" s="1"/>
  <c r="F329" i="11" a="1"/>
  <c r="F329" i="11" s="1"/>
  <c r="F330" i="11" a="1"/>
  <c r="F330" i="11" s="1"/>
  <c r="F331" i="11" a="1"/>
  <c r="F331" i="11" s="1"/>
  <c r="F332" i="11" a="1"/>
  <c r="F332" i="11" s="1"/>
  <c r="F333" i="11" a="1"/>
  <c r="F333" i="11" s="1"/>
  <c r="F334" i="11" a="1"/>
  <c r="F334" i="11" s="1"/>
  <c r="F335" i="11" a="1"/>
  <c r="F335" i="11" s="1"/>
  <c r="F336" i="11" a="1"/>
  <c r="F336" i="11" s="1"/>
  <c r="F337" i="11" a="1"/>
  <c r="F337" i="11" s="1"/>
  <c r="F338" i="11" a="1"/>
  <c r="F338" i="11" s="1"/>
  <c r="F339" i="11" a="1"/>
  <c r="F339" i="11" s="1"/>
  <c r="F340" i="11" a="1"/>
  <c r="F340" i="11" s="1"/>
  <c r="F341" i="11" a="1"/>
  <c r="F341" i="11" s="1"/>
  <c r="F342" i="11" a="1"/>
  <c r="F342" i="11" s="1"/>
  <c r="F343" i="11" a="1"/>
  <c r="F343" i="11" s="1"/>
  <c r="F344" i="11" a="1"/>
  <c r="F344" i="11" s="1"/>
  <c r="F345" i="11" a="1"/>
  <c r="F345" i="11" s="1"/>
  <c r="F346" i="11" a="1"/>
  <c r="F346" i="11" s="1"/>
  <c r="F347" i="11" a="1"/>
  <c r="F347" i="11" s="1"/>
  <c r="F348" i="11" a="1"/>
  <c r="F348" i="11" s="1"/>
  <c r="F349" i="11" a="1"/>
  <c r="F349" i="11" s="1"/>
  <c r="F350" i="11" a="1"/>
  <c r="F350" i="11" s="1"/>
  <c r="F351" i="11" a="1"/>
  <c r="F351" i="11" s="1"/>
  <c r="F352" i="11" a="1"/>
  <c r="F352" i="11" s="1"/>
  <c r="F353" i="11" a="1"/>
  <c r="F353" i="11" s="1"/>
  <c r="F354" i="11" a="1"/>
  <c r="F354" i="11" s="1"/>
  <c r="F355" i="11" a="1"/>
  <c r="F355" i="11" s="1"/>
  <c r="F356" i="11" a="1"/>
  <c r="F356" i="11" s="1"/>
  <c r="F357" i="11" a="1"/>
  <c r="F357" i="11" s="1"/>
  <c r="F358" i="11" a="1"/>
  <c r="F358" i="11" s="1"/>
  <c r="F359" i="11" a="1"/>
  <c r="F359" i="11" s="1"/>
  <c r="F360" i="11" a="1"/>
  <c r="F360" i="11" s="1"/>
  <c r="F361" i="11" a="1"/>
  <c r="F361" i="11" s="1"/>
  <c r="F362" i="11" a="1"/>
  <c r="F362" i="11" s="1"/>
  <c r="F363" i="11" a="1"/>
  <c r="F363" i="11" s="1"/>
  <c r="F364" i="11" a="1"/>
  <c r="F364" i="11" s="1"/>
  <c r="F365" i="11" a="1"/>
  <c r="F365" i="11" s="1"/>
  <c r="F366" i="11" a="1"/>
  <c r="F366" i="11" s="1"/>
  <c r="F367" i="11" a="1"/>
  <c r="F367" i="11" s="1"/>
  <c r="F368" i="11" a="1"/>
  <c r="F368" i="11" s="1"/>
  <c r="F369" i="11" a="1"/>
  <c r="F369" i="11" s="1"/>
  <c r="F370" i="11" a="1"/>
  <c r="F370" i="11" s="1"/>
  <c r="F371" i="11" a="1"/>
  <c r="F371" i="11" s="1"/>
  <c r="F372" i="11" a="1"/>
  <c r="F372" i="11" s="1"/>
  <c r="F373" i="11" a="1"/>
  <c r="F373" i="11" s="1"/>
  <c r="F374" i="11" a="1"/>
  <c r="F374" i="11" s="1"/>
  <c r="F375" i="11" a="1"/>
  <c r="F375" i="11" s="1"/>
  <c r="F376" i="11" a="1"/>
  <c r="F376" i="11" s="1"/>
  <c r="F377" i="11" a="1"/>
  <c r="F377" i="11" s="1"/>
  <c r="F378" i="11" a="1"/>
  <c r="F378" i="11" s="1"/>
  <c r="F379" i="11" a="1"/>
  <c r="F379" i="11" s="1"/>
  <c r="F380" i="11" a="1"/>
  <c r="F380" i="11" s="1"/>
  <c r="F381" i="11" a="1"/>
  <c r="F381" i="11" s="1"/>
  <c r="F382" i="11" a="1"/>
  <c r="F382" i="11" s="1"/>
  <c r="F383" i="11" a="1"/>
  <c r="F383" i="11" s="1"/>
  <c r="F384" i="11" a="1"/>
  <c r="F384" i="11" s="1"/>
  <c r="F385" i="11" a="1"/>
  <c r="F385" i="11" s="1"/>
  <c r="F386" i="11" a="1"/>
  <c r="F386" i="11" s="1"/>
  <c r="F387" i="11" a="1"/>
  <c r="F387" i="11" s="1"/>
  <c r="F388" i="11" a="1"/>
  <c r="F388" i="11" s="1"/>
  <c r="F389" i="11" a="1"/>
  <c r="F389" i="11" s="1"/>
  <c r="F390" i="11" a="1"/>
  <c r="F390" i="11" s="1"/>
  <c r="F391" i="11" a="1"/>
  <c r="F391" i="11" s="1"/>
  <c r="F392" i="11" a="1"/>
  <c r="F392" i="11" s="1"/>
  <c r="F393" i="11" a="1"/>
  <c r="F393" i="11" s="1"/>
  <c r="F394" i="11" a="1"/>
  <c r="F394" i="11" s="1"/>
  <c r="F395" i="11" a="1"/>
  <c r="F395" i="11" s="1"/>
  <c r="F396" i="11" a="1"/>
  <c r="F396" i="11" s="1"/>
  <c r="F397" i="11" a="1"/>
  <c r="F397" i="11" s="1"/>
  <c r="F398" i="11" a="1"/>
  <c r="F398" i="11" s="1"/>
  <c r="I398" i="11" s="1" a="1"/>
  <c r="I398" i="11" s="1"/>
  <c r="F399" i="11" a="1"/>
  <c r="F399" i="11" s="1"/>
  <c r="F400" i="11" a="1"/>
  <c r="F400" i="11" s="1"/>
  <c r="I400" i="11" s="1" a="1"/>
  <c r="I400" i="11" s="1"/>
  <c r="F401" i="11" a="1"/>
  <c r="F401" i="11" s="1"/>
  <c r="F402" i="11" a="1"/>
  <c r="F402" i="11" s="1"/>
  <c r="I402" i="11" s="1" a="1"/>
  <c r="I402" i="11" s="1"/>
  <c r="F403" i="11" a="1"/>
  <c r="F403" i="11" s="1"/>
  <c r="F404" i="11" a="1"/>
  <c r="F404" i="11" s="1"/>
  <c r="I404" i="11" s="1" a="1"/>
  <c r="I404" i="11" s="1"/>
  <c r="F405" i="11" a="1"/>
  <c r="F405" i="11" s="1"/>
  <c r="F406" i="11" a="1"/>
  <c r="F406" i="11" s="1"/>
  <c r="I406" i="11" s="1" a="1"/>
  <c r="I406" i="11" s="1"/>
  <c r="F407" i="11" a="1"/>
  <c r="F407" i="11" s="1"/>
  <c r="F408" i="11" a="1"/>
  <c r="F408" i="11" s="1"/>
  <c r="I408" i="11" s="1" a="1"/>
  <c r="I408" i="11" s="1"/>
  <c r="F409" i="11" a="1"/>
  <c r="F409" i="11" s="1"/>
  <c r="F410" i="11" a="1"/>
  <c r="F410" i="11" s="1"/>
  <c r="I410" i="11" s="1" a="1"/>
  <c r="I410" i="11" s="1"/>
  <c r="F411" i="11" a="1"/>
  <c r="F411" i="11" s="1"/>
  <c r="F412" i="11" a="1"/>
  <c r="F412" i="11" s="1"/>
  <c r="I412" i="11" s="1" a="1"/>
  <c r="I412" i="11" s="1"/>
  <c r="F413" i="11" a="1"/>
  <c r="F413" i="11" s="1"/>
  <c r="F414" i="11" a="1"/>
  <c r="F414" i="11" s="1"/>
  <c r="I414" i="11" s="1" a="1"/>
  <c r="I414" i="11" s="1"/>
  <c r="F415" i="11" a="1"/>
  <c r="F415" i="11" s="1"/>
  <c r="F416" i="11" a="1"/>
  <c r="F416" i="11" s="1"/>
  <c r="I416" i="11" s="1" a="1"/>
  <c r="I416" i="11" s="1"/>
  <c r="F417" i="11" a="1"/>
  <c r="F417" i="11" s="1"/>
  <c r="F418" i="11" a="1"/>
  <c r="F418" i="11" s="1"/>
  <c r="I418" i="11" s="1" a="1"/>
  <c r="I418" i="11" s="1"/>
  <c r="F419" i="11" a="1"/>
  <c r="F419" i="11" s="1"/>
  <c r="F420" i="11" a="1"/>
  <c r="F420" i="11" s="1"/>
  <c r="I420" i="11" s="1" a="1"/>
  <c r="I420" i="11" s="1"/>
  <c r="F421" i="11" a="1"/>
  <c r="F421" i="11" s="1"/>
  <c r="F422" i="11" a="1"/>
  <c r="F422" i="11" s="1"/>
  <c r="I422" i="11" s="1" a="1"/>
  <c r="I422" i="11" s="1"/>
  <c r="F423" i="11" a="1"/>
  <c r="F423" i="11" s="1"/>
  <c r="F424" i="11" a="1"/>
  <c r="F424" i="11" s="1"/>
  <c r="I424" i="11" s="1" a="1"/>
  <c r="I424" i="11" s="1"/>
  <c r="F425" i="11" a="1"/>
  <c r="F425" i="11" s="1"/>
  <c r="F426" i="11" a="1"/>
  <c r="F426" i="11" s="1"/>
  <c r="I426" i="11" s="1" a="1"/>
  <c r="I426" i="11" s="1"/>
  <c r="F427" i="11" a="1"/>
  <c r="F427" i="11" s="1"/>
  <c r="F428" i="11" a="1"/>
  <c r="F428" i="11" s="1"/>
  <c r="F429" i="11" a="1"/>
  <c r="F429" i="11" s="1"/>
  <c r="F430" i="11" a="1"/>
  <c r="F430" i="11" s="1"/>
  <c r="F431" i="11" a="1"/>
  <c r="F431" i="11" s="1"/>
  <c r="F432" i="11" a="1"/>
  <c r="F432" i="11" s="1"/>
  <c r="F433" i="11" a="1"/>
  <c r="F433" i="11" s="1"/>
  <c r="F434" i="11" a="1"/>
  <c r="F434" i="11" s="1"/>
  <c r="F435" i="11" a="1"/>
  <c r="F435" i="11" s="1"/>
  <c r="F436" i="11" a="1"/>
  <c r="F436" i="11" s="1"/>
  <c r="F437" i="11" a="1"/>
  <c r="F437" i="11" s="1"/>
  <c r="F438" i="11" a="1"/>
  <c r="F438" i="11" s="1"/>
  <c r="F439" i="11" a="1"/>
  <c r="F439" i="11" s="1"/>
  <c r="F440" i="11" a="1"/>
  <c r="F440" i="11" s="1"/>
  <c r="F441" i="11" a="1"/>
  <c r="F441" i="11" s="1"/>
  <c r="F442" i="11" a="1"/>
  <c r="F442" i="11" s="1"/>
  <c r="F443" i="11" a="1"/>
  <c r="F443" i="11" s="1"/>
  <c r="F444" i="11" a="1"/>
  <c r="F444" i="11" s="1"/>
  <c r="F445" i="11" a="1"/>
  <c r="F445" i="11" s="1"/>
  <c r="F446" i="11" a="1"/>
  <c r="F446" i="11" s="1"/>
  <c r="F447" i="11" a="1"/>
  <c r="F447" i="11" s="1"/>
  <c r="F448" i="11" a="1"/>
  <c r="F448" i="11" s="1"/>
  <c r="F449" i="11" a="1"/>
  <c r="F449" i="11" s="1"/>
  <c r="F450" i="11" a="1"/>
  <c r="F450" i="11" s="1"/>
  <c r="F451" i="11" a="1"/>
  <c r="F451" i="11" s="1"/>
  <c r="F452" i="11" a="1"/>
  <c r="F452" i="11" s="1"/>
  <c r="F453" i="11" a="1"/>
  <c r="F453" i="11" s="1"/>
  <c r="F454" i="11" a="1"/>
  <c r="F454" i="11" s="1"/>
  <c r="F455" i="11" a="1"/>
  <c r="F455" i="11" s="1"/>
  <c r="F456" i="11" a="1"/>
  <c r="F456" i="11" s="1"/>
  <c r="F457" i="11" a="1"/>
  <c r="F457" i="11" s="1"/>
  <c r="F458" i="11" a="1"/>
  <c r="F458" i="11" s="1"/>
  <c r="F459" i="11" a="1"/>
  <c r="F459" i="11" s="1"/>
  <c r="F460" i="11" a="1"/>
  <c r="F460" i="11" s="1"/>
  <c r="F461" i="11" a="1"/>
  <c r="F461" i="11" s="1"/>
  <c r="F462" i="11" a="1"/>
  <c r="F462" i="11" s="1"/>
  <c r="F463" i="11" a="1"/>
  <c r="F463" i="11" s="1"/>
  <c r="F464" i="11" a="1"/>
  <c r="F464" i="11" s="1"/>
  <c r="F465" i="11" a="1"/>
  <c r="F465" i="11" s="1"/>
  <c r="F466" i="11" a="1"/>
  <c r="F466" i="11" s="1"/>
  <c r="F467" i="11" a="1"/>
  <c r="F467" i="11" s="1"/>
  <c r="F468" i="11" a="1"/>
  <c r="F468" i="11" s="1"/>
  <c r="F469" i="11" a="1"/>
  <c r="F469" i="11" s="1"/>
  <c r="F470" i="11" a="1"/>
  <c r="F470" i="11" s="1"/>
  <c r="F471" i="11" a="1"/>
  <c r="F471" i="11" s="1"/>
  <c r="F472" i="11" a="1"/>
  <c r="F472" i="11" s="1"/>
  <c r="F473" i="11" a="1"/>
  <c r="F473" i="11" s="1"/>
  <c r="F474" i="11" a="1"/>
  <c r="F474" i="11" s="1"/>
  <c r="F475" i="11" a="1"/>
  <c r="F475" i="11" s="1"/>
  <c r="F476" i="11" a="1"/>
  <c r="F476" i="11" s="1"/>
  <c r="F477" i="11" a="1"/>
  <c r="F477" i="11" s="1"/>
  <c r="F478" i="11" a="1"/>
  <c r="F478" i="11" s="1"/>
  <c r="F479" i="11" a="1"/>
  <c r="F479" i="11" s="1"/>
  <c r="F480" i="11" a="1"/>
  <c r="F480" i="11" s="1"/>
  <c r="F481" i="11" a="1"/>
  <c r="F481" i="11" s="1"/>
  <c r="F482" i="11" a="1"/>
  <c r="F482" i="11" s="1"/>
  <c r="F483" i="11" a="1"/>
  <c r="F483" i="11" s="1"/>
  <c r="F484" i="11" a="1"/>
  <c r="F484" i="11" s="1"/>
  <c r="F485" i="11" a="1"/>
  <c r="F485" i="11" s="1"/>
  <c r="F486" i="11" a="1"/>
  <c r="F486" i="11" s="1"/>
  <c r="F487" i="11" a="1"/>
  <c r="F487" i="11" s="1"/>
  <c r="F488" i="11" a="1"/>
  <c r="F488" i="11" s="1"/>
  <c r="F489" i="11" a="1"/>
  <c r="F489" i="11" s="1"/>
  <c r="F490" i="11" a="1"/>
  <c r="F490" i="11" s="1"/>
  <c r="F491" i="11" a="1"/>
  <c r="F491" i="11" s="1"/>
  <c r="F492" i="11" a="1"/>
  <c r="F492" i="11" s="1"/>
  <c r="F493" i="11" a="1"/>
  <c r="F493" i="11" s="1"/>
  <c r="F494" i="11" a="1"/>
  <c r="F494" i="11" s="1"/>
  <c r="F495" i="11" a="1"/>
  <c r="F495" i="11" s="1"/>
  <c r="F496" i="11" a="1"/>
  <c r="F496" i="11" s="1"/>
  <c r="F497" i="11" a="1"/>
  <c r="F497" i="11" s="1"/>
  <c r="F498" i="11" a="1"/>
  <c r="F498" i="11" s="1"/>
  <c r="F499" i="11" a="1"/>
  <c r="F499" i="11" s="1"/>
  <c r="F500" i="11" a="1"/>
  <c r="F500" i="11" s="1"/>
  <c r="F501" i="11" a="1"/>
  <c r="F501" i="11" s="1"/>
  <c r="F502" i="11" a="1"/>
  <c r="F502" i="11" s="1"/>
  <c r="F503" i="11" a="1"/>
  <c r="F503" i="11" s="1"/>
  <c r="F504" i="11" a="1"/>
  <c r="F504" i="11" s="1"/>
  <c r="F505" i="11" a="1"/>
  <c r="F505" i="11" s="1"/>
  <c r="F506" i="11" a="1"/>
  <c r="F506" i="11" s="1"/>
  <c r="F507" i="11" a="1"/>
  <c r="F507" i="11" s="1"/>
  <c r="F508" i="11" a="1"/>
  <c r="F508" i="11" s="1"/>
  <c r="F509" i="11" a="1"/>
  <c r="F509" i="11" s="1"/>
  <c r="F510" i="11" a="1"/>
  <c r="F510" i="11" s="1"/>
  <c r="F511" i="11" a="1"/>
  <c r="F511" i="11" s="1"/>
  <c r="F512" i="11" a="1"/>
  <c r="F512" i="11" s="1"/>
  <c r="F513" i="11" a="1"/>
  <c r="F513" i="11" s="1"/>
  <c r="F514" i="11" a="1"/>
  <c r="F514" i="11" s="1"/>
  <c r="F515" i="11" a="1"/>
  <c r="F515" i="11" s="1"/>
  <c r="F516" i="11" a="1"/>
  <c r="F516" i="11" s="1"/>
  <c r="F517" i="11" a="1"/>
  <c r="F517" i="11" s="1"/>
  <c r="F518" i="11" a="1"/>
  <c r="F518" i="11" s="1"/>
  <c r="F519" i="11" a="1"/>
  <c r="F519" i="11" s="1"/>
  <c r="F520" i="11" a="1"/>
  <c r="F520" i="11" s="1"/>
  <c r="F521" i="11" a="1"/>
  <c r="F521" i="11" s="1"/>
  <c r="F522" i="11" a="1"/>
  <c r="F522" i="11" s="1"/>
  <c r="F19" i="11" a="1"/>
  <c r="F19" i="11" s="1"/>
  <c r="B20" i="11" a="1"/>
  <c r="B20" i="11" s="1"/>
  <c r="E20" i="11" s="1"/>
  <c r="B21" i="11" a="1"/>
  <c r="B21" i="11" s="1"/>
  <c r="E21" i="11" s="1"/>
  <c r="B22" i="11" a="1"/>
  <c r="B22" i="11" s="1"/>
  <c r="E22" i="11" s="1"/>
  <c r="B23" i="11" a="1"/>
  <c r="B23" i="11" s="1"/>
  <c r="E23" i="11" s="1"/>
  <c r="B24" i="11" a="1"/>
  <c r="B24" i="11" s="1"/>
  <c r="E24" i="11" s="1"/>
  <c r="B25" i="11" a="1"/>
  <c r="B25" i="11" s="1"/>
  <c r="E25" i="11" s="1"/>
  <c r="B26" i="11" a="1"/>
  <c r="B26" i="11" s="1"/>
  <c r="E26" i="11" s="1"/>
  <c r="B27" i="11" a="1"/>
  <c r="B27" i="11" s="1"/>
  <c r="E27" i="11" s="1"/>
  <c r="B28" i="11" a="1"/>
  <c r="B28" i="11" s="1"/>
  <c r="E28" i="11" s="1"/>
  <c r="B29" i="11" a="1"/>
  <c r="B29" i="11" s="1"/>
  <c r="E29" i="11" s="1"/>
  <c r="B30" i="11" a="1"/>
  <c r="B30" i="11" s="1"/>
  <c r="E30" i="11" s="1"/>
  <c r="B31" i="11" a="1"/>
  <c r="B31" i="11" s="1"/>
  <c r="E31" i="11" s="1"/>
  <c r="B32" i="11" a="1"/>
  <c r="B32" i="11" s="1"/>
  <c r="E32" i="11" s="1"/>
  <c r="B33" i="11" a="1"/>
  <c r="B33" i="11" s="1"/>
  <c r="E33" i="11" s="1"/>
  <c r="B34" i="11" a="1"/>
  <c r="B34" i="11" s="1"/>
  <c r="E34" i="11" s="1"/>
  <c r="B35" i="11" a="1"/>
  <c r="B35" i="11" s="1"/>
  <c r="E35" i="11" s="1"/>
  <c r="B36" i="11" a="1"/>
  <c r="B36" i="11" s="1"/>
  <c r="E36" i="11" s="1"/>
  <c r="B37" i="11" a="1"/>
  <c r="B37" i="11" s="1"/>
  <c r="E37" i="11" s="1"/>
  <c r="B38" i="11" a="1"/>
  <c r="B38" i="11" s="1"/>
  <c r="E38" i="11" s="1"/>
  <c r="B39" i="11" a="1"/>
  <c r="B39" i="11" s="1"/>
  <c r="E39" i="11" s="1"/>
  <c r="B40" i="11" a="1"/>
  <c r="B40" i="11" s="1"/>
  <c r="E40" i="11" s="1"/>
  <c r="B41" i="11" a="1"/>
  <c r="B41" i="11" s="1"/>
  <c r="E41" i="11" s="1"/>
  <c r="B42" i="11" a="1"/>
  <c r="B42" i="11" s="1"/>
  <c r="E42" i="11" s="1"/>
  <c r="B43" i="11" a="1"/>
  <c r="B43" i="11" s="1"/>
  <c r="E43" i="11" s="1"/>
  <c r="B44" i="11" a="1"/>
  <c r="B44" i="11" s="1"/>
  <c r="E44" i="11" s="1"/>
  <c r="B45" i="11" a="1"/>
  <c r="B45" i="11" s="1"/>
  <c r="E45" i="11" s="1"/>
  <c r="B46" i="11" a="1"/>
  <c r="B46" i="11" s="1"/>
  <c r="E46" i="11" s="1"/>
  <c r="B47" i="11" a="1"/>
  <c r="B47" i="11" s="1"/>
  <c r="E47" i="11" s="1"/>
  <c r="B48" i="11" a="1"/>
  <c r="B48" i="11" s="1"/>
  <c r="E48" i="11" s="1"/>
  <c r="B49" i="11" a="1"/>
  <c r="B49" i="11" s="1"/>
  <c r="E49" i="11" s="1"/>
  <c r="B50" i="11" a="1"/>
  <c r="B50" i="11" s="1"/>
  <c r="E50" i="11" s="1"/>
  <c r="B51" i="11" a="1"/>
  <c r="B51" i="11" s="1"/>
  <c r="E51" i="11" s="1"/>
  <c r="B52" i="11" a="1"/>
  <c r="B52" i="11" s="1"/>
  <c r="E52" i="11" s="1"/>
  <c r="B53" i="11" a="1"/>
  <c r="B53" i="11" s="1"/>
  <c r="B54" i="11" a="1"/>
  <c r="B54" i="11" s="1"/>
  <c r="E54" i="11" s="1"/>
  <c r="B55" i="11" a="1"/>
  <c r="B55" i="11" s="1"/>
  <c r="E55" i="11" s="1"/>
  <c r="B56" i="11" a="1"/>
  <c r="B56" i="11" s="1"/>
  <c r="E56" i="11" s="1"/>
  <c r="B57" i="11" a="1"/>
  <c r="B57" i="11" s="1"/>
  <c r="E57" i="11" s="1"/>
  <c r="B58" i="11" a="1"/>
  <c r="B58" i="11" s="1"/>
  <c r="E58" i="11" s="1"/>
  <c r="B59" i="11" a="1"/>
  <c r="B59" i="11" s="1"/>
  <c r="E59" i="11" s="1"/>
  <c r="B60" i="11" a="1"/>
  <c r="B60" i="11" s="1"/>
  <c r="E60" i="11" s="1"/>
  <c r="B61" i="11" a="1"/>
  <c r="B61" i="11" s="1"/>
  <c r="E61" i="11" s="1"/>
  <c r="B62" i="11" a="1"/>
  <c r="B62" i="11" s="1"/>
  <c r="E62" i="11" s="1"/>
  <c r="B63" i="11" a="1"/>
  <c r="B63" i="11" s="1"/>
  <c r="E63" i="11" s="1"/>
  <c r="B64" i="11" a="1"/>
  <c r="B64" i="11" s="1"/>
  <c r="E64" i="11" s="1"/>
  <c r="B65" i="11" a="1"/>
  <c r="B65" i="11" s="1"/>
  <c r="E65" i="11" s="1"/>
  <c r="B66" i="11" a="1"/>
  <c r="B66" i="11" s="1"/>
  <c r="E66" i="11" s="1"/>
  <c r="B67" i="11" a="1"/>
  <c r="B67" i="11" s="1"/>
  <c r="E67" i="11" s="1"/>
  <c r="B68" i="11" a="1"/>
  <c r="B68" i="11" s="1"/>
  <c r="E68" i="11" s="1"/>
  <c r="B69" i="11" a="1"/>
  <c r="B69" i="11" s="1"/>
  <c r="E69" i="11" s="1"/>
  <c r="B70" i="11" a="1"/>
  <c r="B70" i="11" s="1"/>
  <c r="E70" i="11" s="1"/>
  <c r="B71" i="11" a="1"/>
  <c r="B71" i="11" s="1"/>
  <c r="E71" i="11" s="1"/>
  <c r="B72" i="11" a="1"/>
  <c r="B72" i="11" s="1"/>
  <c r="E72" i="11" s="1"/>
  <c r="B73" i="11" a="1"/>
  <c r="B73" i="11" s="1"/>
  <c r="E73" i="11" s="1"/>
  <c r="B74" i="11" a="1"/>
  <c r="B74" i="11" s="1"/>
  <c r="E74" i="11" s="1"/>
  <c r="B75" i="11" a="1"/>
  <c r="B75" i="11" s="1"/>
  <c r="E75" i="11" s="1"/>
  <c r="B76" i="11" a="1"/>
  <c r="B76" i="11" s="1"/>
  <c r="E76" i="11" s="1"/>
  <c r="B77" i="11" a="1"/>
  <c r="B77" i="11" s="1"/>
  <c r="E77" i="11" s="1"/>
  <c r="B78" i="11" a="1"/>
  <c r="B78" i="11" s="1"/>
  <c r="E78" i="11" s="1"/>
  <c r="B79" i="11" a="1"/>
  <c r="B79" i="11" s="1"/>
  <c r="E79" i="11" s="1"/>
  <c r="B80" i="11" a="1"/>
  <c r="B80" i="11" s="1"/>
  <c r="E80" i="11" s="1"/>
  <c r="B81" i="11" a="1"/>
  <c r="B81" i="11" s="1"/>
  <c r="E81" i="11" s="1"/>
  <c r="B82" i="11" a="1"/>
  <c r="B82" i="11" s="1"/>
  <c r="E82" i="11" s="1"/>
  <c r="B83" i="11" a="1"/>
  <c r="B83" i="11" s="1"/>
  <c r="E83" i="11" s="1"/>
  <c r="B84" i="11" a="1"/>
  <c r="B84" i="11" s="1"/>
  <c r="E84" i="11" s="1"/>
  <c r="B85" i="11" a="1"/>
  <c r="B85" i="11" s="1"/>
  <c r="E85" i="11" s="1"/>
  <c r="B86" i="11" a="1"/>
  <c r="B86" i="11" s="1"/>
  <c r="E86" i="11" s="1"/>
  <c r="B87" i="11" a="1"/>
  <c r="B87" i="11" s="1"/>
  <c r="E87" i="11" s="1"/>
  <c r="B88" i="11" a="1"/>
  <c r="B88" i="11" s="1"/>
  <c r="E88" i="11" s="1"/>
  <c r="B89" i="11" a="1"/>
  <c r="B89" i="11" s="1"/>
  <c r="E89" i="11" s="1"/>
  <c r="B90" i="11" a="1"/>
  <c r="B90" i="11" s="1"/>
  <c r="E90" i="11" s="1"/>
  <c r="B91" i="11" a="1"/>
  <c r="B91" i="11" s="1"/>
  <c r="E91" i="11" s="1"/>
  <c r="B92" i="11" a="1"/>
  <c r="B92" i="11" s="1"/>
  <c r="E92" i="11" s="1"/>
  <c r="B93" i="11" a="1"/>
  <c r="B93" i="11" s="1"/>
  <c r="E93" i="11" s="1"/>
  <c r="B94" i="11" a="1"/>
  <c r="B94" i="11" s="1"/>
  <c r="E94" i="11" s="1"/>
  <c r="B95" i="11" a="1"/>
  <c r="B95" i="11" s="1"/>
  <c r="E95" i="11" s="1"/>
  <c r="B96" i="11" a="1"/>
  <c r="B96" i="11" s="1"/>
  <c r="E96" i="11" s="1"/>
  <c r="B97" i="11" a="1"/>
  <c r="B97" i="11" s="1"/>
  <c r="E97" i="11" s="1"/>
  <c r="B98" i="11" a="1"/>
  <c r="B98" i="11" s="1"/>
  <c r="E98" i="11" s="1"/>
  <c r="B99" i="11" a="1"/>
  <c r="B99" i="11" s="1"/>
  <c r="E99" i="11" s="1"/>
  <c r="B100" i="11" a="1"/>
  <c r="B100" i="11" s="1"/>
  <c r="E100" i="11" s="1"/>
  <c r="B101" i="11" a="1"/>
  <c r="B101" i="11" s="1"/>
  <c r="E101" i="11" s="1"/>
  <c r="B102" i="11" a="1"/>
  <c r="B102" i="11" s="1"/>
  <c r="E102" i="11" s="1"/>
  <c r="B103" i="11" a="1"/>
  <c r="B103" i="11" s="1"/>
  <c r="E103" i="11" s="1"/>
  <c r="B104" i="11" a="1"/>
  <c r="B104" i="11" s="1"/>
  <c r="E104" i="11" s="1"/>
  <c r="B105" i="11" a="1"/>
  <c r="B105" i="11" s="1"/>
  <c r="E105" i="11" s="1"/>
  <c r="B106" i="11" a="1"/>
  <c r="B106" i="11" s="1"/>
  <c r="E106" i="11" s="1"/>
  <c r="B107" i="11" a="1"/>
  <c r="B107" i="11" s="1"/>
  <c r="E107" i="11" s="1"/>
  <c r="B108" i="11" a="1"/>
  <c r="B108" i="11" s="1"/>
  <c r="E108" i="11" s="1"/>
  <c r="B109" i="11" a="1"/>
  <c r="B109" i="11" s="1"/>
  <c r="E109" i="11" s="1"/>
  <c r="B110" i="11" a="1"/>
  <c r="B110" i="11" s="1"/>
  <c r="E110" i="11" s="1"/>
  <c r="B111" i="11" a="1"/>
  <c r="B111" i="11" s="1"/>
  <c r="E111" i="11" s="1"/>
  <c r="B112" i="11" a="1"/>
  <c r="B112" i="11" s="1"/>
  <c r="E112" i="11" s="1"/>
  <c r="B113" i="11" a="1"/>
  <c r="B113" i="11" s="1"/>
  <c r="E113" i="11" s="1"/>
  <c r="B114" i="11" a="1"/>
  <c r="B114" i="11" s="1"/>
  <c r="E114" i="11" s="1"/>
  <c r="B115" i="11" a="1"/>
  <c r="B115" i="11" s="1"/>
  <c r="E115" i="11" s="1"/>
  <c r="B116" i="11" a="1"/>
  <c r="B116" i="11" s="1"/>
  <c r="E116" i="11" s="1"/>
  <c r="B117" i="11" a="1"/>
  <c r="B117" i="11" s="1"/>
  <c r="E117" i="11" s="1"/>
  <c r="B118" i="11" a="1"/>
  <c r="B118" i="11" s="1"/>
  <c r="E118" i="11" s="1"/>
  <c r="B119" i="11" a="1"/>
  <c r="B119" i="11" s="1"/>
  <c r="E119" i="11" s="1"/>
  <c r="B120" i="11" a="1"/>
  <c r="B120" i="11" s="1"/>
  <c r="E120" i="11" s="1"/>
  <c r="B121" i="11" a="1"/>
  <c r="B121" i="11" s="1"/>
  <c r="E121" i="11" s="1"/>
  <c r="B122" i="11" a="1"/>
  <c r="B122" i="11" s="1"/>
  <c r="E122" i="11" s="1"/>
  <c r="B123" i="11" a="1"/>
  <c r="B123" i="11" s="1"/>
  <c r="E123" i="11" s="1"/>
  <c r="B124" i="11" a="1"/>
  <c r="B124" i="11" s="1"/>
  <c r="E124" i="11" s="1"/>
  <c r="B125" i="11" a="1"/>
  <c r="B125" i="11" s="1"/>
  <c r="E125" i="11" s="1"/>
  <c r="B126" i="11" a="1"/>
  <c r="B126" i="11" s="1"/>
  <c r="E126" i="11" s="1"/>
  <c r="B127" i="11" a="1"/>
  <c r="B127" i="11" s="1"/>
  <c r="E127" i="11" s="1"/>
  <c r="B128" i="11" a="1"/>
  <c r="B128" i="11" s="1"/>
  <c r="E128" i="11" s="1"/>
  <c r="B129" i="11" a="1"/>
  <c r="B129" i="11" s="1"/>
  <c r="E129" i="11" s="1"/>
  <c r="B130" i="11" a="1"/>
  <c r="B130" i="11" s="1"/>
  <c r="E130" i="11" s="1"/>
  <c r="B131" i="11" a="1"/>
  <c r="B131" i="11" s="1"/>
  <c r="E131" i="11" s="1"/>
  <c r="B132" i="11" a="1"/>
  <c r="B132" i="11" s="1"/>
  <c r="E132" i="11" s="1"/>
  <c r="B133" i="11" a="1"/>
  <c r="B133" i="11" s="1"/>
  <c r="E133" i="11" s="1"/>
  <c r="B134" i="11" a="1"/>
  <c r="B134" i="11" s="1"/>
  <c r="E134" i="11" s="1"/>
  <c r="B135" i="11" a="1"/>
  <c r="B135" i="11" s="1"/>
  <c r="E135" i="11" s="1"/>
  <c r="B136" i="11" a="1"/>
  <c r="B136" i="11" s="1"/>
  <c r="E136" i="11" s="1"/>
  <c r="B137" i="11" a="1"/>
  <c r="B137" i="11" s="1"/>
  <c r="E137" i="11" s="1"/>
  <c r="B138" i="11" a="1"/>
  <c r="B138" i="11" s="1"/>
  <c r="E138" i="11" s="1"/>
  <c r="B139" i="11" a="1"/>
  <c r="B139" i="11" s="1"/>
  <c r="E139" i="11" s="1"/>
  <c r="B140" i="11" a="1"/>
  <c r="B140" i="11" s="1"/>
  <c r="E140" i="11" s="1"/>
  <c r="B141" i="11" a="1"/>
  <c r="B141" i="11" s="1"/>
  <c r="E141" i="11" s="1"/>
  <c r="B142" i="11" a="1"/>
  <c r="B142" i="11" s="1"/>
  <c r="E142" i="11" s="1"/>
  <c r="B143" i="11" a="1"/>
  <c r="B143" i="11" s="1"/>
  <c r="E143" i="11" s="1"/>
  <c r="B144" i="11" a="1"/>
  <c r="B144" i="11" s="1"/>
  <c r="E144" i="11" s="1"/>
  <c r="B145" i="11" a="1"/>
  <c r="B145" i="11" s="1"/>
  <c r="E145" i="11" s="1"/>
  <c r="B146" i="11" a="1"/>
  <c r="B146" i="11" s="1"/>
  <c r="E146" i="11" s="1"/>
  <c r="B147" i="11" a="1"/>
  <c r="B147" i="11" s="1"/>
  <c r="E147" i="11" s="1"/>
  <c r="B148" i="11" a="1"/>
  <c r="B148" i="11" s="1"/>
  <c r="E148" i="11" s="1"/>
  <c r="B149" i="11" a="1"/>
  <c r="B149" i="11" s="1"/>
  <c r="E149" i="11" s="1"/>
  <c r="B150" i="11" a="1"/>
  <c r="B150" i="11" s="1"/>
  <c r="E150" i="11" s="1"/>
  <c r="B151" i="11" a="1"/>
  <c r="B151" i="11" s="1"/>
  <c r="E151" i="11" s="1"/>
  <c r="B152" i="11" a="1"/>
  <c r="B152" i="11" s="1"/>
  <c r="E152" i="11" s="1"/>
  <c r="B153" i="11" a="1"/>
  <c r="B153" i="11" s="1"/>
  <c r="E153" i="11" s="1"/>
  <c r="B154" i="11" a="1"/>
  <c r="B154" i="11" s="1"/>
  <c r="E154" i="11" s="1"/>
  <c r="B155" i="11" a="1"/>
  <c r="B155" i="11" s="1"/>
  <c r="E155" i="11" s="1"/>
  <c r="B156" i="11" a="1"/>
  <c r="B156" i="11" s="1"/>
  <c r="E156" i="11" s="1"/>
  <c r="B157" i="11" a="1"/>
  <c r="B157" i="11" s="1"/>
  <c r="E157" i="11" s="1"/>
  <c r="B158" i="11" a="1"/>
  <c r="B158" i="11" s="1"/>
  <c r="E158" i="11" s="1"/>
  <c r="B159" i="11" a="1"/>
  <c r="B159" i="11" s="1"/>
  <c r="E159" i="11" s="1"/>
  <c r="B160" i="11" a="1"/>
  <c r="B160" i="11" s="1"/>
  <c r="E160" i="11" s="1"/>
  <c r="B161" i="11" a="1"/>
  <c r="B161" i="11" s="1"/>
  <c r="E161" i="11" s="1"/>
  <c r="B162" i="11" a="1"/>
  <c r="B162" i="11" s="1"/>
  <c r="E162" i="11" s="1"/>
  <c r="B163" i="11" a="1"/>
  <c r="B163" i="11" s="1"/>
  <c r="E163" i="11" s="1"/>
  <c r="B164" i="11" a="1"/>
  <c r="B164" i="11" s="1"/>
  <c r="E164" i="11" s="1"/>
  <c r="B165" i="11" a="1"/>
  <c r="B165" i="11" s="1"/>
  <c r="E165" i="11" s="1"/>
  <c r="B166" i="11" a="1"/>
  <c r="B166" i="11" s="1"/>
  <c r="E166" i="11" s="1"/>
  <c r="B167" i="11" a="1"/>
  <c r="B167" i="11" s="1"/>
  <c r="E167" i="11" s="1"/>
  <c r="B168" i="11" a="1"/>
  <c r="B168" i="11" s="1"/>
  <c r="E168" i="11" s="1"/>
  <c r="B169" i="11" a="1"/>
  <c r="B169" i="11" s="1"/>
  <c r="E169" i="11" s="1"/>
  <c r="B170" i="11" a="1"/>
  <c r="B170" i="11" s="1"/>
  <c r="E170" i="11" s="1"/>
  <c r="B171" i="11" a="1"/>
  <c r="B171" i="11" s="1"/>
  <c r="E171" i="11" s="1"/>
  <c r="B172" i="11" a="1"/>
  <c r="B172" i="11" s="1"/>
  <c r="E172" i="11" s="1"/>
  <c r="B173" i="11" a="1"/>
  <c r="B173" i="11" s="1"/>
  <c r="E173" i="11" s="1"/>
  <c r="B174" i="11" a="1"/>
  <c r="B174" i="11" s="1"/>
  <c r="E174" i="11" s="1"/>
  <c r="B175" i="11" a="1"/>
  <c r="B175" i="11" s="1"/>
  <c r="E175" i="11" s="1"/>
  <c r="B176" i="11" a="1"/>
  <c r="B176" i="11" s="1"/>
  <c r="E176" i="11" s="1"/>
  <c r="B177" i="11" a="1"/>
  <c r="B177" i="11" s="1"/>
  <c r="E177" i="11" s="1"/>
  <c r="B178" i="11" a="1"/>
  <c r="B178" i="11" s="1"/>
  <c r="E178" i="11" s="1"/>
  <c r="B179" i="11" a="1"/>
  <c r="B179" i="11" s="1"/>
  <c r="E179" i="11" s="1"/>
  <c r="B180" i="11" a="1"/>
  <c r="B180" i="11" s="1"/>
  <c r="E180" i="11" s="1"/>
  <c r="B181" i="11" a="1"/>
  <c r="B181" i="11" s="1"/>
  <c r="E181" i="11" s="1"/>
  <c r="B182" i="11" a="1"/>
  <c r="B182" i="11" s="1"/>
  <c r="E182" i="11" s="1"/>
  <c r="B183" i="11" a="1"/>
  <c r="B183" i="11" s="1"/>
  <c r="E183" i="11" s="1"/>
  <c r="B184" i="11" a="1"/>
  <c r="B184" i="11" s="1"/>
  <c r="E184" i="11" s="1"/>
  <c r="B185" i="11" a="1"/>
  <c r="B185" i="11" s="1"/>
  <c r="E185" i="11" s="1"/>
  <c r="B186" i="11" a="1"/>
  <c r="B186" i="11" s="1"/>
  <c r="E186" i="11" s="1"/>
  <c r="B187" i="11" a="1"/>
  <c r="B187" i="11" s="1"/>
  <c r="E187" i="11" s="1"/>
  <c r="B188" i="11" a="1"/>
  <c r="B188" i="11" s="1"/>
  <c r="E188" i="11" s="1"/>
  <c r="B189" i="11" a="1"/>
  <c r="B189" i="11" s="1"/>
  <c r="E189" i="11" s="1"/>
  <c r="B190" i="11" a="1"/>
  <c r="B190" i="11" s="1"/>
  <c r="E190" i="11" s="1"/>
  <c r="B191" i="11" a="1"/>
  <c r="B191" i="11" s="1"/>
  <c r="E191" i="11" s="1"/>
  <c r="B192" i="11" a="1"/>
  <c r="B192" i="11" s="1"/>
  <c r="E192" i="11" s="1"/>
  <c r="B193" i="11" a="1"/>
  <c r="B193" i="11" s="1"/>
  <c r="E193" i="11" s="1"/>
  <c r="B194" i="11" a="1"/>
  <c r="B194" i="11" s="1"/>
  <c r="E194" i="11" s="1"/>
  <c r="B195" i="11" a="1"/>
  <c r="B195" i="11" s="1"/>
  <c r="E195" i="11" s="1"/>
  <c r="B196" i="11" a="1"/>
  <c r="B196" i="11" s="1"/>
  <c r="E196" i="11" s="1"/>
  <c r="B197" i="11" a="1"/>
  <c r="B197" i="11" s="1"/>
  <c r="E197" i="11" s="1"/>
  <c r="B198" i="11" a="1"/>
  <c r="B198" i="11" s="1"/>
  <c r="E198" i="11" s="1"/>
  <c r="B199" i="11" a="1"/>
  <c r="B199" i="11" s="1"/>
  <c r="E199" i="11" s="1"/>
  <c r="B200" i="11" a="1"/>
  <c r="B200" i="11" s="1"/>
  <c r="E200" i="11" s="1"/>
  <c r="B201" i="11" a="1"/>
  <c r="B201" i="11" s="1"/>
  <c r="E201" i="11" s="1"/>
  <c r="B202" i="11" a="1"/>
  <c r="B202" i="11" s="1"/>
  <c r="E202" i="11" s="1"/>
  <c r="B203" i="11" a="1"/>
  <c r="B203" i="11" s="1"/>
  <c r="E203" i="11" s="1"/>
  <c r="B204" i="11" a="1"/>
  <c r="B204" i="11" s="1"/>
  <c r="E204" i="11" s="1"/>
  <c r="B205" i="11" a="1"/>
  <c r="B205" i="11" s="1"/>
  <c r="E205" i="11" s="1"/>
  <c r="B206" i="11" a="1"/>
  <c r="B206" i="11" s="1"/>
  <c r="E206" i="11" s="1"/>
  <c r="B207" i="11" a="1"/>
  <c r="B207" i="11" s="1"/>
  <c r="E207" i="11" s="1"/>
  <c r="B208" i="11" a="1"/>
  <c r="B208" i="11" s="1"/>
  <c r="E208" i="11" s="1"/>
  <c r="B209" i="11" a="1"/>
  <c r="B209" i="11" s="1"/>
  <c r="E209" i="11" s="1"/>
  <c r="B210" i="11" a="1"/>
  <c r="B210" i="11" s="1"/>
  <c r="E210" i="11" s="1"/>
  <c r="B211" i="11" a="1"/>
  <c r="B211" i="11" s="1"/>
  <c r="E211" i="11" s="1"/>
  <c r="B212" i="11" a="1"/>
  <c r="B212" i="11" s="1"/>
  <c r="E212" i="11" s="1"/>
  <c r="B213" i="11" a="1"/>
  <c r="B213" i="11" s="1"/>
  <c r="E213" i="11" s="1"/>
  <c r="B214" i="11" a="1"/>
  <c r="B214" i="11" s="1"/>
  <c r="E214" i="11" s="1"/>
  <c r="B215" i="11" a="1"/>
  <c r="B215" i="11" s="1"/>
  <c r="E215" i="11" s="1"/>
  <c r="B216" i="11" a="1"/>
  <c r="B216" i="11" s="1"/>
  <c r="E216" i="11" s="1"/>
  <c r="B217" i="11" a="1"/>
  <c r="B217" i="11" s="1"/>
  <c r="E217" i="11" s="1"/>
  <c r="B218" i="11" a="1"/>
  <c r="B218" i="11" s="1"/>
  <c r="E218" i="11" s="1"/>
  <c r="B219" i="11" a="1"/>
  <c r="B219" i="11" s="1"/>
  <c r="E219" i="11" s="1"/>
  <c r="B220" i="11" a="1"/>
  <c r="B220" i="11" s="1"/>
  <c r="E220" i="11" s="1"/>
  <c r="B221" i="11" a="1"/>
  <c r="B221" i="11" s="1"/>
  <c r="E221" i="11" s="1"/>
  <c r="B222" i="11" a="1"/>
  <c r="B222" i="11" s="1"/>
  <c r="E222" i="11" s="1"/>
  <c r="B223" i="11" a="1"/>
  <c r="B223" i="11" s="1"/>
  <c r="E223" i="11" s="1"/>
  <c r="B224" i="11" a="1"/>
  <c r="B224" i="11" s="1"/>
  <c r="E224" i="11" s="1"/>
  <c r="B225" i="11" a="1"/>
  <c r="B225" i="11" s="1"/>
  <c r="E225" i="11" s="1"/>
  <c r="B226" i="11" a="1"/>
  <c r="B226" i="11" s="1"/>
  <c r="E226" i="11" s="1"/>
  <c r="B227" i="11" a="1"/>
  <c r="B227" i="11" s="1"/>
  <c r="E227" i="11" s="1"/>
  <c r="B228" i="11" a="1"/>
  <c r="B228" i="11" s="1"/>
  <c r="E228" i="11" s="1"/>
  <c r="B229" i="11" a="1"/>
  <c r="B229" i="11" s="1"/>
  <c r="E229" i="11" s="1"/>
  <c r="B230" i="11" a="1"/>
  <c r="B230" i="11" s="1"/>
  <c r="E230" i="11" s="1"/>
  <c r="B231" i="11" a="1"/>
  <c r="B231" i="11" s="1"/>
  <c r="E231" i="11" s="1"/>
  <c r="B232" i="11" a="1"/>
  <c r="B232" i="11" s="1"/>
  <c r="E232" i="11" s="1"/>
  <c r="B233" i="11" a="1"/>
  <c r="B233" i="11" s="1"/>
  <c r="E233" i="11" s="1"/>
  <c r="B234" i="11" a="1"/>
  <c r="B234" i="11" s="1"/>
  <c r="E234" i="11" s="1"/>
  <c r="B235" i="11" a="1"/>
  <c r="B235" i="11" s="1"/>
  <c r="E235" i="11" s="1"/>
  <c r="B236" i="11" a="1"/>
  <c r="B236" i="11" s="1"/>
  <c r="E236" i="11" s="1"/>
  <c r="B237" i="11" a="1"/>
  <c r="B237" i="11" s="1"/>
  <c r="E237" i="11" s="1"/>
  <c r="B238" i="11" a="1"/>
  <c r="B238" i="11" s="1"/>
  <c r="E238" i="11" s="1"/>
  <c r="B239" i="11" a="1"/>
  <c r="B239" i="11" s="1"/>
  <c r="E239" i="11" s="1"/>
  <c r="B240" i="11" a="1"/>
  <c r="B240" i="11" s="1"/>
  <c r="E240" i="11" s="1"/>
  <c r="B241" i="11" a="1"/>
  <c r="B241" i="11" s="1"/>
  <c r="E241" i="11" s="1"/>
  <c r="B242" i="11" a="1"/>
  <c r="B242" i="11" s="1"/>
  <c r="E242" i="11" s="1"/>
  <c r="B243" i="11" a="1"/>
  <c r="B243" i="11" s="1"/>
  <c r="E243" i="11" s="1"/>
  <c r="B244" i="11" a="1"/>
  <c r="B244" i="11" s="1"/>
  <c r="E244" i="11" s="1"/>
  <c r="B245" i="11" a="1"/>
  <c r="B245" i="11" s="1"/>
  <c r="E245" i="11" s="1"/>
  <c r="B246" i="11" a="1"/>
  <c r="B246" i="11" s="1"/>
  <c r="E246" i="11" s="1"/>
  <c r="B247" i="11" a="1"/>
  <c r="B247" i="11" s="1"/>
  <c r="E247" i="11" s="1"/>
  <c r="B248" i="11" a="1"/>
  <c r="B248" i="11" s="1"/>
  <c r="E248" i="11" s="1"/>
  <c r="B249" i="11" a="1"/>
  <c r="B249" i="11" s="1"/>
  <c r="E249" i="11" s="1"/>
  <c r="B250" i="11" a="1"/>
  <c r="B250" i="11" s="1"/>
  <c r="E250" i="11" s="1"/>
  <c r="B251" i="11" a="1"/>
  <c r="B251" i="11" s="1"/>
  <c r="E251" i="11" s="1"/>
  <c r="B252" i="11" a="1"/>
  <c r="B252" i="11" s="1"/>
  <c r="E252" i="11" s="1"/>
  <c r="B253" i="11" a="1"/>
  <c r="B253" i="11" s="1"/>
  <c r="E253" i="11" s="1"/>
  <c r="B254" i="11" a="1"/>
  <c r="B254" i="11" s="1"/>
  <c r="E254" i="11" s="1"/>
  <c r="B255" i="11" a="1"/>
  <c r="B255" i="11" s="1"/>
  <c r="E255" i="11" s="1"/>
  <c r="B256" i="11" a="1"/>
  <c r="B256" i="11" s="1"/>
  <c r="E256" i="11" s="1"/>
  <c r="B257" i="11" a="1"/>
  <c r="B257" i="11" s="1"/>
  <c r="E257" i="11" s="1"/>
  <c r="B258" i="11" a="1"/>
  <c r="B258" i="11" s="1"/>
  <c r="E258" i="11" s="1"/>
  <c r="B259" i="11" a="1"/>
  <c r="B259" i="11" s="1"/>
  <c r="E259" i="11" s="1"/>
  <c r="B260" i="11" a="1"/>
  <c r="B260" i="11" s="1"/>
  <c r="E260" i="11" s="1"/>
  <c r="B261" i="11" a="1"/>
  <c r="B261" i="11" s="1"/>
  <c r="E261" i="11" s="1"/>
  <c r="B262" i="11" a="1"/>
  <c r="B262" i="11" s="1"/>
  <c r="E262" i="11" s="1"/>
  <c r="B263" i="11" a="1"/>
  <c r="B263" i="11" s="1"/>
  <c r="E263" i="11" s="1"/>
  <c r="B264" i="11" a="1"/>
  <c r="B264" i="11" s="1"/>
  <c r="E264" i="11" s="1"/>
  <c r="B265" i="11" a="1"/>
  <c r="B265" i="11" s="1"/>
  <c r="E265" i="11" s="1"/>
  <c r="B266" i="11" a="1"/>
  <c r="B266" i="11" s="1"/>
  <c r="E266" i="11" s="1"/>
  <c r="B267" i="11" a="1"/>
  <c r="B267" i="11" s="1"/>
  <c r="E267" i="11" s="1"/>
  <c r="B268" i="11" a="1"/>
  <c r="B268" i="11" s="1"/>
  <c r="E268" i="11" s="1"/>
  <c r="B269" i="11" a="1"/>
  <c r="B269" i="11" s="1"/>
  <c r="E269" i="11" s="1"/>
  <c r="B270" i="11" a="1"/>
  <c r="B270" i="11" s="1"/>
  <c r="E270" i="11" s="1"/>
  <c r="B271" i="11" a="1"/>
  <c r="B271" i="11" s="1"/>
  <c r="E271" i="11" s="1"/>
  <c r="B272" i="11" a="1"/>
  <c r="B272" i="11" s="1"/>
  <c r="E272" i="11" s="1"/>
  <c r="B273" i="11" a="1"/>
  <c r="B273" i="11" s="1"/>
  <c r="E273" i="11" s="1"/>
  <c r="B274" i="11" a="1"/>
  <c r="B274" i="11" s="1"/>
  <c r="E274" i="11" s="1"/>
  <c r="B275" i="11" a="1"/>
  <c r="B275" i="11" s="1"/>
  <c r="E275" i="11" s="1"/>
  <c r="B276" i="11" a="1"/>
  <c r="B276" i="11" s="1"/>
  <c r="E276" i="11" s="1"/>
  <c r="B277" i="11" a="1"/>
  <c r="B277" i="11" s="1"/>
  <c r="E277" i="11" s="1"/>
  <c r="B278" i="11" a="1"/>
  <c r="B278" i="11" s="1"/>
  <c r="E278" i="11" s="1"/>
  <c r="B279" i="11" a="1"/>
  <c r="B279" i="11" s="1"/>
  <c r="E279" i="11" s="1"/>
  <c r="B280" i="11" a="1"/>
  <c r="B280" i="11" s="1"/>
  <c r="E280" i="11" s="1"/>
  <c r="B281" i="11" a="1"/>
  <c r="B281" i="11" s="1"/>
  <c r="E281" i="11" s="1"/>
  <c r="B282" i="11" a="1"/>
  <c r="B282" i="11" s="1"/>
  <c r="E282" i="11" s="1"/>
  <c r="B283" i="11" a="1"/>
  <c r="B283" i="11" s="1"/>
  <c r="E283" i="11" s="1"/>
  <c r="B284" i="11" a="1"/>
  <c r="B284" i="11" s="1"/>
  <c r="E284" i="11" s="1"/>
  <c r="B285" i="11" a="1"/>
  <c r="B285" i="11" s="1"/>
  <c r="E285" i="11" s="1"/>
  <c r="B286" i="11" a="1"/>
  <c r="B286" i="11" s="1"/>
  <c r="E286" i="11" s="1"/>
  <c r="B287" i="11" a="1"/>
  <c r="B287" i="11" s="1"/>
  <c r="E287" i="11" s="1"/>
  <c r="B288" i="11" a="1"/>
  <c r="B288" i="11" s="1"/>
  <c r="E288" i="11" s="1"/>
  <c r="B289" i="11" a="1"/>
  <c r="B289" i="11" s="1"/>
  <c r="E289" i="11" s="1"/>
  <c r="B290" i="11" a="1"/>
  <c r="B290" i="11" s="1"/>
  <c r="E290" i="11" s="1"/>
  <c r="B291" i="11" a="1"/>
  <c r="B291" i="11" s="1"/>
  <c r="E291" i="11" s="1"/>
  <c r="B292" i="11" a="1"/>
  <c r="B292" i="11" s="1"/>
  <c r="E292" i="11" s="1"/>
  <c r="B293" i="11" a="1"/>
  <c r="B293" i="11" s="1"/>
  <c r="E293" i="11" s="1"/>
  <c r="B294" i="11" a="1"/>
  <c r="B294" i="11" s="1"/>
  <c r="E294" i="11" s="1"/>
  <c r="B295" i="11" a="1"/>
  <c r="B295" i="11" s="1"/>
  <c r="E295" i="11" s="1"/>
  <c r="B296" i="11" a="1"/>
  <c r="B296" i="11" s="1"/>
  <c r="E296" i="11" s="1"/>
  <c r="B297" i="11" a="1"/>
  <c r="B297" i="11" s="1"/>
  <c r="E297" i="11" s="1"/>
  <c r="B298" i="11" a="1"/>
  <c r="B298" i="11" s="1"/>
  <c r="E298" i="11" s="1"/>
  <c r="B299" i="11" a="1"/>
  <c r="B299" i="11" s="1"/>
  <c r="E299" i="11" s="1"/>
  <c r="B300" i="11" a="1"/>
  <c r="B300" i="11" s="1"/>
  <c r="E300" i="11" s="1"/>
  <c r="B301" i="11" a="1"/>
  <c r="B301" i="11" s="1"/>
  <c r="E301" i="11" s="1"/>
  <c r="B302" i="11" a="1"/>
  <c r="B302" i="11" s="1"/>
  <c r="E302" i="11" s="1"/>
  <c r="B303" i="11" a="1"/>
  <c r="B303" i="11" s="1"/>
  <c r="E303" i="11" s="1"/>
  <c r="B304" i="11" a="1"/>
  <c r="B304" i="11" s="1"/>
  <c r="E304" i="11" s="1"/>
  <c r="B305" i="11" a="1"/>
  <c r="B305" i="11" s="1"/>
  <c r="E305" i="11" s="1"/>
  <c r="B306" i="11" a="1"/>
  <c r="B306" i="11" s="1"/>
  <c r="E306" i="11" s="1"/>
  <c r="B307" i="11" a="1"/>
  <c r="B307" i="11" s="1"/>
  <c r="E307" i="11" s="1"/>
  <c r="B308" i="11" a="1"/>
  <c r="B308" i="11" s="1"/>
  <c r="E308" i="11" s="1"/>
  <c r="B309" i="11" a="1"/>
  <c r="B309" i="11" s="1"/>
  <c r="E309" i="11" s="1"/>
  <c r="B310" i="11" a="1"/>
  <c r="B310" i="11" s="1"/>
  <c r="E310" i="11" s="1"/>
  <c r="B311" i="11" a="1"/>
  <c r="B311" i="11" s="1"/>
  <c r="E311" i="11" s="1"/>
  <c r="B312" i="11" a="1"/>
  <c r="B312" i="11" s="1"/>
  <c r="E312" i="11" s="1"/>
  <c r="B313" i="11" a="1"/>
  <c r="B313" i="11" s="1"/>
  <c r="E313" i="11" s="1"/>
  <c r="B314" i="11" a="1"/>
  <c r="B314" i="11" s="1"/>
  <c r="E314" i="11" s="1"/>
  <c r="B315" i="11" a="1"/>
  <c r="B315" i="11" s="1"/>
  <c r="E315" i="11" s="1"/>
  <c r="B316" i="11" a="1"/>
  <c r="B316" i="11" s="1"/>
  <c r="E316" i="11" s="1"/>
  <c r="B317" i="11" a="1"/>
  <c r="B317" i="11" s="1"/>
  <c r="E317" i="11" s="1"/>
  <c r="B318" i="11" a="1"/>
  <c r="B318" i="11" s="1"/>
  <c r="E318" i="11" s="1"/>
  <c r="B319" i="11" a="1"/>
  <c r="B319" i="11" s="1"/>
  <c r="E319" i="11" s="1"/>
  <c r="B320" i="11" a="1"/>
  <c r="B320" i="11" s="1"/>
  <c r="E320" i="11" s="1"/>
  <c r="B321" i="11" a="1"/>
  <c r="B321" i="11" s="1"/>
  <c r="E321" i="11" s="1"/>
  <c r="B322" i="11" a="1"/>
  <c r="B322" i="11" s="1"/>
  <c r="E322" i="11" s="1"/>
  <c r="B323" i="11" a="1"/>
  <c r="B323" i="11" s="1"/>
  <c r="E323" i="11" s="1"/>
  <c r="B324" i="11" a="1"/>
  <c r="B324" i="11" s="1"/>
  <c r="E324" i="11" s="1"/>
  <c r="B325" i="11" a="1"/>
  <c r="B325" i="11" s="1"/>
  <c r="E325" i="11" s="1"/>
  <c r="B326" i="11" a="1"/>
  <c r="B326" i="11" s="1"/>
  <c r="E326" i="11" s="1"/>
  <c r="B327" i="11" a="1"/>
  <c r="B327" i="11" s="1"/>
  <c r="E327" i="11" s="1"/>
  <c r="B328" i="11" a="1"/>
  <c r="B328" i="11" s="1"/>
  <c r="E328" i="11" s="1"/>
  <c r="B329" i="11" a="1"/>
  <c r="B329" i="11" s="1"/>
  <c r="E329" i="11" s="1"/>
  <c r="B330" i="11" a="1"/>
  <c r="B330" i="11" s="1"/>
  <c r="E330" i="11" s="1"/>
  <c r="B331" i="11" a="1"/>
  <c r="B331" i="11" s="1"/>
  <c r="E331" i="11" s="1"/>
  <c r="B332" i="11" a="1"/>
  <c r="B332" i="11" s="1"/>
  <c r="E332" i="11" s="1"/>
  <c r="B333" i="11" a="1"/>
  <c r="B333" i="11" s="1"/>
  <c r="E333" i="11" s="1"/>
  <c r="B334" i="11" a="1"/>
  <c r="B334" i="11" s="1"/>
  <c r="E334" i="11" s="1"/>
  <c r="B335" i="11" a="1"/>
  <c r="B335" i="11" s="1"/>
  <c r="E335" i="11" s="1"/>
  <c r="B336" i="11" a="1"/>
  <c r="B336" i="11" s="1"/>
  <c r="E336" i="11" s="1"/>
  <c r="B337" i="11" a="1"/>
  <c r="B337" i="11" s="1"/>
  <c r="E337" i="11" s="1"/>
  <c r="B338" i="11" a="1"/>
  <c r="B338" i="11" s="1"/>
  <c r="E338" i="11" s="1"/>
  <c r="B339" i="11" a="1"/>
  <c r="B339" i="11" s="1"/>
  <c r="E339" i="11" s="1"/>
  <c r="B340" i="11" a="1"/>
  <c r="B340" i="11" s="1"/>
  <c r="E340" i="11" s="1"/>
  <c r="B341" i="11" a="1"/>
  <c r="B341" i="11" s="1"/>
  <c r="E341" i="11" s="1"/>
  <c r="B342" i="11" a="1"/>
  <c r="B342" i="11" s="1"/>
  <c r="E342" i="11" s="1"/>
  <c r="B343" i="11" a="1"/>
  <c r="B343" i="11" s="1"/>
  <c r="E343" i="11" s="1"/>
  <c r="B344" i="11" a="1"/>
  <c r="B344" i="11" s="1"/>
  <c r="E344" i="11" s="1"/>
  <c r="B345" i="11" a="1"/>
  <c r="B345" i="11" s="1"/>
  <c r="E345" i="11" s="1"/>
  <c r="B346" i="11" a="1"/>
  <c r="B346" i="11" s="1"/>
  <c r="E346" i="11" s="1"/>
  <c r="B347" i="11" a="1"/>
  <c r="B347" i="11" s="1"/>
  <c r="E347" i="11" s="1"/>
  <c r="B348" i="11" a="1"/>
  <c r="B348" i="11" s="1"/>
  <c r="E348" i="11" s="1"/>
  <c r="B349" i="11" a="1"/>
  <c r="B349" i="11" s="1"/>
  <c r="E349" i="11" s="1"/>
  <c r="B350" i="11" a="1"/>
  <c r="B350" i="11" s="1"/>
  <c r="E350" i="11" s="1"/>
  <c r="B351" i="11" a="1"/>
  <c r="B351" i="11" s="1"/>
  <c r="E351" i="11" s="1"/>
  <c r="B352" i="11" a="1"/>
  <c r="B352" i="11" s="1"/>
  <c r="E352" i="11" s="1"/>
  <c r="B353" i="11" a="1"/>
  <c r="B353" i="11" s="1"/>
  <c r="E353" i="11" s="1"/>
  <c r="B354" i="11" a="1"/>
  <c r="B354" i="11" s="1"/>
  <c r="E354" i="11" s="1"/>
  <c r="B355" i="11" a="1"/>
  <c r="B355" i="11" s="1"/>
  <c r="E355" i="11" s="1"/>
  <c r="B356" i="11" a="1"/>
  <c r="B356" i="11" s="1"/>
  <c r="E356" i="11" s="1"/>
  <c r="B357" i="11" a="1"/>
  <c r="B357" i="11" s="1"/>
  <c r="E357" i="11" s="1"/>
  <c r="B358" i="11" a="1"/>
  <c r="B358" i="11" s="1"/>
  <c r="E358" i="11" s="1"/>
  <c r="B359" i="11" a="1"/>
  <c r="B359" i="11" s="1"/>
  <c r="E359" i="11" s="1"/>
  <c r="B360" i="11" a="1"/>
  <c r="B360" i="11" s="1"/>
  <c r="E360" i="11" s="1"/>
  <c r="B361" i="11" a="1"/>
  <c r="B361" i="11" s="1"/>
  <c r="E361" i="11" s="1"/>
  <c r="B362" i="11" a="1"/>
  <c r="B362" i="11" s="1"/>
  <c r="E362" i="11" s="1"/>
  <c r="B363" i="11" a="1"/>
  <c r="B363" i="11" s="1"/>
  <c r="E363" i="11" s="1"/>
  <c r="B364" i="11" a="1"/>
  <c r="B364" i="11" s="1"/>
  <c r="E364" i="11" s="1"/>
  <c r="B365" i="11" a="1"/>
  <c r="B365" i="11" s="1"/>
  <c r="E365" i="11" s="1"/>
  <c r="B366" i="11" a="1"/>
  <c r="B366" i="11" s="1"/>
  <c r="E366" i="11" s="1"/>
  <c r="B367" i="11" a="1"/>
  <c r="B367" i="11" s="1"/>
  <c r="E367" i="11" s="1"/>
  <c r="B368" i="11" a="1"/>
  <c r="B368" i="11" s="1"/>
  <c r="E368" i="11" s="1"/>
  <c r="B369" i="11" a="1"/>
  <c r="B369" i="11" s="1"/>
  <c r="E369" i="11" s="1"/>
  <c r="B370" i="11" a="1"/>
  <c r="B370" i="11" s="1"/>
  <c r="E370" i="11" s="1"/>
  <c r="B371" i="11" a="1"/>
  <c r="B371" i="11" s="1"/>
  <c r="E371" i="11" s="1"/>
  <c r="B372" i="11" a="1"/>
  <c r="B372" i="11" s="1"/>
  <c r="E372" i="11" s="1"/>
  <c r="B373" i="11" a="1"/>
  <c r="B373" i="11" s="1"/>
  <c r="E373" i="11" s="1"/>
  <c r="B374" i="11" a="1"/>
  <c r="B374" i="11" s="1"/>
  <c r="E374" i="11" s="1"/>
  <c r="B375" i="11" a="1"/>
  <c r="B375" i="11" s="1"/>
  <c r="E375" i="11" s="1"/>
  <c r="B376" i="11" a="1"/>
  <c r="B376" i="11" s="1"/>
  <c r="E376" i="11" s="1"/>
  <c r="B377" i="11" a="1"/>
  <c r="B377" i="11" s="1"/>
  <c r="E377" i="11" s="1"/>
  <c r="B378" i="11" a="1"/>
  <c r="B378" i="11" s="1"/>
  <c r="E378" i="11" s="1"/>
  <c r="B379" i="11" a="1"/>
  <c r="B379" i="11" s="1"/>
  <c r="E379" i="11" s="1"/>
  <c r="B380" i="11" a="1"/>
  <c r="B380" i="11" s="1"/>
  <c r="E380" i="11" s="1"/>
  <c r="B381" i="11" a="1"/>
  <c r="B381" i="11" s="1"/>
  <c r="E381" i="11" s="1"/>
  <c r="B382" i="11" a="1"/>
  <c r="B382" i="11" s="1"/>
  <c r="E382" i="11" s="1"/>
  <c r="B383" i="11" a="1"/>
  <c r="B383" i="11" s="1"/>
  <c r="E383" i="11" s="1"/>
  <c r="B384" i="11" a="1"/>
  <c r="B384" i="11" s="1"/>
  <c r="E384" i="11" s="1"/>
  <c r="B385" i="11" a="1"/>
  <c r="B385" i="11" s="1"/>
  <c r="E385" i="11" s="1"/>
  <c r="B386" i="11" a="1"/>
  <c r="B386" i="11" s="1"/>
  <c r="E386" i="11" s="1"/>
  <c r="B387" i="11" a="1"/>
  <c r="B387" i="11" s="1"/>
  <c r="E387" i="11" s="1"/>
  <c r="B388" i="11" a="1"/>
  <c r="B388" i="11" s="1"/>
  <c r="E388" i="11" s="1"/>
  <c r="B389" i="11" a="1"/>
  <c r="B389" i="11" s="1"/>
  <c r="E389" i="11" s="1"/>
  <c r="B390" i="11" a="1"/>
  <c r="B390" i="11" s="1"/>
  <c r="E390" i="11" s="1"/>
  <c r="B391" i="11" a="1"/>
  <c r="B391" i="11" s="1"/>
  <c r="E391" i="11" s="1"/>
  <c r="B392" i="11" a="1"/>
  <c r="B392" i="11" s="1"/>
  <c r="E392" i="11" s="1"/>
  <c r="B393" i="11" a="1"/>
  <c r="B393" i="11" s="1"/>
  <c r="E393" i="11" s="1"/>
  <c r="B394" i="11" a="1"/>
  <c r="B394" i="11" s="1"/>
  <c r="E394" i="11" s="1"/>
  <c r="B395" i="11" a="1"/>
  <c r="B395" i="11" s="1"/>
  <c r="E395" i="11" s="1"/>
  <c r="B396" i="11" a="1"/>
  <c r="B396" i="11" s="1"/>
  <c r="E396" i="11" s="1"/>
  <c r="B19" i="11" a="1"/>
  <c r="B19" i="11" s="1"/>
  <c r="O9" i="11"/>
  <c r="E19" i="11" l="1"/>
  <c r="I522" i="11" a="1"/>
  <c r="I522" i="11" s="1"/>
  <c r="I520" i="11" a="1"/>
  <c r="I520" i="11" s="1"/>
  <c r="I518" i="11" a="1"/>
  <c r="I518" i="11" s="1"/>
  <c r="I516" i="11" a="1"/>
  <c r="I516" i="11" s="1"/>
  <c r="I514" i="11" a="1"/>
  <c r="I514" i="11" s="1"/>
  <c r="I512" i="11" a="1"/>
  <c r="I512" i="11" s="1"/>
  <c r="I510" i="11" a="1"/>
  <c r="I510" i="11" s="1"/>
  <c r="I508" i="11" a="1"/>
  <c r="I508" i="11" s="1"/>
  <c r="I506" i="11" a="1"/>
  <c r="I506" i="11" s="1"/>
  <c r="I504" i="11" a="1"/>
  <c r="I504" i="11" s="1"/>
  <c r="I502" i="11" a="1"/>
  <c r="I502" i="11" s="1"/>
  <c r="I500" i="11" a="1"/>
  <c r="I500" i="11" s="1"/>
  <c r="I498" i="11" a="1"/>
  <c r="I498" i="11" s="1"/>
  <c r="I496" i="11" a="1"/>
  <c r="I496" i="11" s="1"/>
  <c r="I494" i="11" a="1"/>
  <c r="I494" i="11" s="1"/>
  <c r="I492" i="11" a="1"/>
  <c r="I492" i="11" s="1"/>
  <c r="I490" i="11" a="1"/>
  <c r="I490" i="11" s="1"/>
  <c r="I472" i="11" a="1"/>
  <c r="I472" i="11" s="1"/>
  <c r="I470" i="11" a="1"/>
  <c r="I470" i="11" s="1"/>
  <c r="I468" i="11" a="1"/>
  <c r="I468" i="11" s="1"/>
  <c r="I466" i="11" a="1"/>
  <c r="I466" i="11" s="1"/>
  <c r="I464" i="11" a="1"/>
  <c r="I464" i="11" s="1"/>
  <c r="I462" i="11" a="1"/>
  <c r="I462" i="11" s="1"/>
  <c r="I460" i="11" a="1"/>
  <c r="I460" i="11" s="1"/>
  <c r="I458" i="11" a="1"/>
  <c r="I458" i="11" s="1"/>
  <c r="I456" i="11" a="1"/>
  <c r="I456" i="11" s="1"/>
  <c r="I454" i="11" a="1"/>
  <c r="I454" i="11" s="1"/>
  <c r="I452" i="11" a="1"/>
  <c r="I452" i="11" s="1"/>
  <c r="I450" i="11" a="1"/>
  <c r="I450" i="11" s="1"/>
  <c r="I448" i="11" a="1"/>
  <c r="I448" i="11" s="1"/>
  <c r="I446" i="11" a="1"/>
  <c r="I446" i="11" s="1"/>
  <c r="I444" i="11" a="1"/>
  <c r="I444" i="11" s="1"/>
  <c r="I442" i="11" a="1"/>
  <c r="I442" i="11" s="1"/>
  <c r="I440" i="11" a="1"/>
  <c r="I440" i="11" s="1"/>
  <c r="I438" i="11" a="1"/>
  <c r="I438" i="11" s="1"/>
  <c r="I436" i="11" a="1"/>
  <c r="I436" i="11" s="1"/>
  <c r="I434" i="11" a="1"/>
  <c r="I434" i="11" s="1"/>
  <c r="I432" i="11" a="1"/>
  <c r="I432" i="11" s="1"/>
  <c r="I430" i="11" a="1"/>
  <c r="I430" i="11" s="1"/>
  <c r="I428" i="11" a="1"/>
  <c r="I428" i="11" s="1"/>
  <c r="I521" i="11" a="1"/>
  <c r="I521" i="11" s="1"/>
  <c r="I519" i="11" a="1"/>
  <c r="I519" i="11" s="1"/>
  <c r="I517" i="11" a="1"/>
  <c r="I517" i="11" s="1"/>
  <c r="I515" i="11" a="1"/>
  <c r="I515" i="11" s="1"/>
  <c r="I513" i="11" a="1"/>
  <c r="I513" i="11" s="1"/>
  <c r="I511" i="11" a="1"/>
  <c r="I511" i="11" s="1"/>
  <c r="I509" i="11" a="1"/>
  <c r="I509" i="11" s="1"/>
  <c r="I507" i="11" a="1"/>
  <c r="I507" i="11" s="1"/>
  <c r="I505" i="11" a="1"/>
  <c r="I505" i="11" s="1"/>
  <c r="I503" i="11" a="1"/>
  <c r="I503" i="11" s="1"/>
  <c r="I501" i="11" a="1"/>
  <c r="I501" i="11" s="1"/>
  <c r="I499" i="11" a="1"/>
  <c r="I499" i="11" s="1"/>
  <c r="I497" i="11" a="1"/>
  <c r="I497" i="11" s="1"/>
  <c r="I495" i="11" a="1"/>
  <c r="I495" i="11" s="1"/>
  <c r="I493" i="11" a="1"/>
  <c r="I493" i="11" s="1"/>
  <c r="I491" i="11" a="1"/>
  <c r="I491" i="11" s="1"/>
  <c r="I489" i="11" a="1"/>
  <c r="I489" i="11" s="1"/>
  <c r="I487" i="11" a="1"/>
  <c r="I487" i="11" s="1"/>
  <c r="I485" i="11" a="1"/>
  <c r="I485" i="11" s="1"/>
  <c r="I483" i="11" a="1"/>
  <c r="I483" i="11" s="1"/>
  <c r="I481" i="11" a="1"/>
  <c r="I481" i="11" s="1"/>
  <c r="I479" i="11" a="1"/>
  <c r="I479" i="11" s="1"/>
  <c r="I473" i="11" a="1"/>
  <c r="I473" i="11" s="1"/>
  <c r="I471" i="11" a="1"/>
  <c r="I471" i="11" s="1"/>
  <c r="I469" i="11" a="1"/>
  <c r="I469" i="11" s="1"/>
  <c r="I467" i="11" a="1"/>
  <c r="I467" i="11" s="1"/>
  <c r="I465" i="11" a="1"/>
  <c r="I465" i="11" s="1"/>
  <c r="I463" i="11" a="1"/>
  <c r="I463" i="11" s="1"/>
  <c r="I461" i="11" a="1"/>
  <c r="I461" i="11" s="1"/>
  <c r="I459" i="11" a="1"/>
  <c r="I459" i="11" s="1"/>
  <c r="I457" i="11" a="1"/>
  <c r="I457" i="11" s="1"/>
  <c r="I455" i="11" a="1"/>
  <c r="I455" i="11" s="1"/>
  <c r="I453" i="11" a="1"/>
  <c r="I453" i="11" s="1"/>
  <c r="I451" i="11" a="1"/>
  <c r="I451" i="11" s="1"/>
  <c r="I449" i="11" a="1"/>
  <c r="I449" i="11" s="1"/>
  <c r="I447" i="11" a="1"/>
  <c r="I447" i="11" s="1"/>
  <c r="I445" i="11" a="1"/>
  <c r="I445" i="11" s="1"/>
  <c r="I443" i="11" a="1"/>
  <c r="I443" i="11" s="1"/>
  <c r="I441" i="11" a="1"/>
  <c r="I441" i="11" s="1"/>
  <c r="I439" i="11" a="1"/>
  <c r="I439" i="11" s="1"/>
  <c r="I437" i="11" a="1"/>
  <c r="I437" i="11" s="1"/>
  <c r="I435" i="11" a="1"/>
  <c r="I435" i="11" s="1"/>
  <c r="I433" i="11" a="1"/>
  <c r="I433" i="11" s="1"/>
  <c r="I431" i="11" a="1"/>
  <c r="I431" i="11" s="1"/>
  <c r="I429" i="11" a="1"/>
  <c r="I429" i="11" s="1"/>
  <c r="I427" i="11" a="1"/>
  <c r="I427" i="11" s="1"/>
  <c r="I425" i="11" a="1"/>
  <c r="I425" i="11" s="1"/>
  <c r="I423" i="11" a="1"/>
  <c r="I423" i="11" s="1"/>
  <c r="I421" i="11" a="1"/>
  <c r="I421" i="11" s="1"/>
  <c r="I419" i="11" a="1"/>
  <c r="I419" i="11" s="1"/>
  <c r="I417" i="11" a="1"/>
  <c r="I417" i="11" s="1"/>
  <c r="I415" i="11" a="1"/>
  <c r="I415" i="11" s="1"/>
  <c r="I413" i="11" a="1"/>
  <c r="I413" i="11" s="1"/>
  <c r="I411" i="11" a="1"/>
  <c r="I411" i="11" s="1"/>
  <c r="I409" i="11" a="1"/>
  <c r="I409" i="11" s="1"/>
  <c r="I407" i="11" a="1"/>
  <c r="I407" i="11" s="1"/>
  <c r="I405" i="11" a="1"/>
  <c r="I405" i="11" s="1"/>
  <c r="I403" i="11" a="1"/>
  <c r="I403" i="11" s="1"/>
  <c r="I401" i="11" a="1"/>
  <c r="I401" i="11" s="1"/>
  <c r="I399" i="11" a="1"/>
  <c r="I399" i="11" s="1"/>
  <c r="I397" i="11" a="1"/>
  <c r="I397" i="11" s="1"/>
  <c r="L19" i="11"/>
  <c r="O19" i="11" s="1"/>
  <c r="D19" i="11"/>
  <c r="D396" i="11"/>
  <c r="I396" i="11" s="1" a="1"/>
  <c r="I396" i="11" s="1"/>
  <c r="D395" i="11"/>
  <c r="I395" i="11" s="1" a="1"/>
  <c r="I395" i="11" s="1"/>
  <c r="D394" i="11"/>
  <c r="I394" i="11" s="1" a="1"/>
  <c r="I394" i="11" s="1"/>
  <c r="D393" i="11"/>
  <c r="I393" i="11" s="1" a="1"/>
  <c r="I393" i="11" s="1"/>
  <c r="D392" i="11"/>
  <c r="I392" i="11" s="1" a="1"/>
  <c r="I392" i="11" s="1"/>
  <c r="D391" i="11"/>
  <c r="I391" i="11" s="1" a="1"/>
  <c r="I391" i="11" s="1"/>
  <c r="D390" i="11"/>
  <c r="I390" i="11" s="1" a="1"/>
  <c r="I390" i="11" s="1"/>
  <c r="D389" i="11"/>
  <c r="I389" i="11" s="1" a="1"/>
  <c r="I389" i="11" s="1"/>
  <c r="D388" i="11"/>
  <c r="I388" i="11" s="1" a="1"/>
  <c r="I388" i="11" s="1"/>
  <c r="D387" i="11"/>
  <c r="I387" i="11" s="1" a="1"/>
  <c r="I387" i="11" s="1"/>
  <c r="D386" i="11"/>
  <c r="I386" i="11" s="1" a="1"/>
  <c r="I386" i="11" s="1"/>
  <c r="D385" i="11"/>
  <c r="I385" i="11" s="1" a="1"/>
  <c r="I385" i="11" s="1"/>
  <c r="D384" i="11"/>
  <c r="I384" i="11" s="1" a="1"/>
  <c r="I384" i="11" s="1"/>
  <c r="D383" i="11"/>
  <c r="I383" i="11" s="1" a="1"/>
  <c r="I383" i="11" s="1"/>
  <c r="D382" i="11"/>
  <c r="I382" i="11" s="1" a="1"/>
  <c r="I382" i="11" s="1"/>
  <c r="D381" i="11"/>
  <c r="I381" i="11" s="1" a="1"/>
  <c r="I381" i="11" s="1"/>
  <c r="D380" i="11"/>
  <c r="I380" i="11" s="1" a="1"/>
  <c r="I380" i="11" s="1"/>
  <c r="D379" i="11"/>
  <c r="I379" i="11" s="1" a="1"/>
  <c r="I379" i="11" s="1"/>
  <c r="D378" i="11"/>
  <c r="I378" i="11" s="1" a="1"/>
  <c r="I378" i="11" s="1"/>
  <c r="D377" i="11"/>
  <c r="I377" i="11" s="1" a="1"/>
  <c r="I377" i="11" s="1"/>
  <c r="D376" i="11"/>
  <c r="I376" i="11" s="1" a="1"/>
  <c r="I376" i="11" s="1"/>
  <c r="D375" i="11"/>
  <c r="I375" i="11" s="1" a="1"/>
  <c r="I375" i="11" s="1"/>
  <c r="D374" i="11"/>
  <c r="I374" i="11" s="1" a="1"/>
  <c r="I374" i="11" s="1"/>
  <c r="D373" i="11"/>
  <c r="I373" i="11" s="1" a="1"/>
  <c r="I373" i="11" s="1"/>
  <c r="D372" i="11"/>
  <c r="I372" i="11" s="1" a="1"/>
  <c r="I372" i="11" s="1"/>
  <c r="D371" i="11"/>
  <c r="I371" i="11" s="1" a="1"/>
  <c r="I371" i="11" s="1"/>
  <c r="D370" i="11"/>
  <c r="I370" i="11" s="1" a="1"/>
  <c r="I370" i="11" s="1"/>
  <c r="D369" i="11"/>
  <c r="I369" i="11" s="1" a="1"/>
  <c r="I369" i="11" s="1"/>
  <c r="D368" i="11"/>
  <c r="I368" i="11" s="1" a="1"/>
  <c r="I368" i="11" s="1"/>
  <c r="D367" i="11"/>
  <c r="I367" i="11" s="1" a="1"/>
  <c r="I367" i="11" s="1"/>
  <c r="D366" i="11"/>
  <c r="I366" i="11" s="1" a="1"/>
  <c r="I366" i="11" s="1"/>
  <c r="D365" i="11"/>
  <c r="I365" i="11" s="1" a="1"/>
  <c r="I365" i="11" s="1"/>
  <c r="D364" i="11"/>
  <c r="I364" i="11" s="1" a="1"/>
  <c r="I364" i="11" s="1"/>
  <c r="D363" i="11"/>
  <c r="I363" i="11" s="1" a="1"/>
  <c r="I363" i="11" s="1"/>
  <c r="D362" i="11"/>
  <c r="I362" i="11" s="1" a="1"/>
  <c r="I362" i="11" s="1"/>
  <c r="D361" i="11"/>
  <c r="D360" i="11"/>
  <c r="I360" i="11" s="1" a="1"/>
  <c r="I360" i="11" s="1"/>
  <c r="D359" i="11"/>
  <c r="I359" i="11" s="1" a="1"/>
  <c r="I359" i="11" s="1"/>
  <c r="D358" i="11"/>
  <c r="I358" i="11" s="1" a="1"/>
  <c r="I358" i="11" s="1"/>
  <c r="D357" i="11"/>
  <c r="D356" i="11"/>
  <c r="I356" i="11" s="1" a="1"/>
  <c r="I356" i="11" s="1"/>
  <c r="D355" i="11"/>
  <c r="I355" i="11" s="1" a="1"/>
  <c r="I355" i="11" s="1"/>
  <c r="D354" i="11"/>
  <c r="I354" i="11" s="1" a="1"/>
  <c r="I354" i="11" s="1"/>
  <c r="D353" i="11"/>
  <c r="D352" i="11"/>
  <c r="I352" i="11" s="1" a="1"/>
  <c r="I352" i="11" s="1"/>
  <c r="D351" i="11"/>
  <c r="I351" i="11" s="1" a="1"/>
  <c r="I351" i="11" s="1"/>
  <c r="D350" i="11"/>
  <c r="I350" i="11" s="1" a="1"/>
  <c r="I350" i="11" s="1"/>
  <c r="D349" i="11"/>
  <c r="D348" i="11"/>
  <c r="I348" i="11" s="1" a="1"/>
  <c r="I348" i="11" s="1"/>
  <c r="D347" i="11"/>
  <c r="I347" i="11" s="1" a="1"/>
  <c r="I347" i="11" s="1"/>
  <c r="D346" i="11"/>
  <c r="I346" i="11" s="1" a="1"/>
  <c r="I346" i="11" s="1"/>
  <c r="D345" i="11"/>
  <c r="D344" i="11"/>
  <c r="I344" i="11" s="1" a="1"/>
  <c r="I344" i="11" s="1"/>
  <c r="D343" i="11"/>
  <c r="I343" i="11" s="1" a="1"/>
  <c r="I343" i="11" s="1"/>
  <c r="D342" i="11"/>
  <c r="I342" i="11" s="1" a="1"/>
  <c r="I342" i="11" s="1"/>
  <c r="D341" i="11"/>
  <c r="D340" i="11"/>
  <c r="I340" i="11" s="1" a="1"/>
  <c r="I340" i="11" s="1"/>
  <c r="D339" i="11"/>
  <c r="I339" i="11" s="1" a="1"/>
  <c r="I339" i="11" s="1"/>
  <c r="D338" i="11"/>
  <c r="I338" i="11" s="1" a="1"/>
  <c r="I338" i="11" s="1"/>
  <c r="D337" i="11"/>
  <c r="D336" i="11"/>
  <c r="I336" i="11" s="1" a="1"/>
  <c r="I336" i="11" s="1"/>
  <c r="D335" i="11"/>
  <c r="I335" i="11" s="1" a="1"/>
  <c r="I335" i="11" s="1"/>
  <c r="D334" i="11"/>
  <c r="I334" i="11" s="1" a="1"/>
  <c r="I334" i="11" s="1"/>
  <c r="D333" i="11"/>
  <c r="D332" i="11"/>
  <c r="I332" i="11" s="1" a="1"/>
  <c r="I332" i="11" s="1"/>
  <c r="D331" i="11"/>
  <c r="I331" i="11" s="1" a="1"/>
  <c r="I331" i="11" s="1"/>
  <c r="D330" i="11"/>
  <c r="I330" i="11" s="1" a="1"/>
  <c r="I330" i="11" s="1"/>
  <c r="D329" i="11"/>
  <c r="D328" i="11"/>
  <c r="I328" i="11" s="1" a="1"/>
  <c r="I328" i="11" s="1"/>
  <c r="D327" i="11"/>
  <c r="I327" i="11" s="1" a="1"/>
  <c r="I327" i="11" s="1"/>
  <c r="D326" i="11"/>
  <c r="I326" i="11" s="1" a="1"/>
  <c r="I326" i="11" s="1"/>
  <c r="D325" i="11"/>
  <c r="D324" i="11"/>
  <c r="I324" i="11" s="1" a="1"/>
  <c r="I324" i="11" s="1"/>
  <c r="D323" i="11"/>
  <c r="I323" i="11" s="1" a="1"/>
  <c r="I323" i="11" s="1"/>
  <c r="D322" i="11"/>
  <c r="I322" i="11" s="1" a="1"/>
  <c r="I322" i="11" s="1"/>
  <c r="D321" i="11"/>
  <c r="D320" i="11"/>
  <c r="I320" i="11" s="1" a="1"/>
  <c r="I320" i="11" s="1"/>
  <c r="D319" i="11"/>
  <c r="I319" i="11" s="1" a="1"/>
  <c r="I319" i="11" s="1"/>
  <c r="D318" i="11"/>
  <c r="I318" i="11" s="1" a="1"/>
  <c r="I318" i="11" s="1"/>
  <c r="D317" i="11"/>
  <c r="D316" i="11"/>
  <c r="I316" i="11" s="1" a="1"/>
  <c r="I316" i="11" s="1"/>
  <c r="D315" i="11"/>
  <c r="I315" i="11" s="1" a="1"/>
  <c r="I315" i="11" s="1"/>
  <c r="D314" i="11"/>
  <c r="I314" i="11" s="1" a="1"/>
  <c r="I314" i="11" s="1"/>
  <c r="D313" i="11"/>
  <c r="D312" i="11"/>
  <c r="I312" i="11" s="1" a="1"/>
  <c r="I312" i="11" s="1"/>
  <c r="D311" i="11"/>
  <c r="I311" i="11" s="1" a="1"/>
  <c r="I311" i="11" s="1"/>
  <c r="D310" i="11"/>
  <c r="I310" i="11" s="1" a="1"/>
  <c r="I310" i="11" s="1"/>
  <c r="D309" i="11"/>
  <c r="D308" i="11"/>
  <c r="I308" i="11" s="1" a="1"/>
  <c r="I308" i="11" s="1"/>
  <c r="D307" i="11"/>
  <c r="I307" i="11" s="1" a="1"/>
  <c r="I307" i="11" s="1"/>
  <c r="D306" i="11"/>
  <c r="I306" i="11" s="1" a="1"/>
  <c r="I306" i="11" s="1"/>
  <c r="D305" i="11"/>
  <c r="D304" i="11"/>
  <c r="I304" i="11" s="1" a="1"/>
  <c r="I304" i="11" s="1"/>
  <c r="D303" i="11"/>
  <c r="I303" i="11" s="1" a="1"/>
  <c r="I303" i="11" s="1"/>
  <c r="D302" i="11"/>
  <c r="I302" i="11" s="1" a="1"/>
  <c r="I302" i="11" s="1"/>
  <c r="D301" i="11"/>
  <c r="D300" i="11"/>
  <c r="I300" i="11" s="1" a="1"/>
  <c r="I300" i="11" s="1"/>
  <c r="D299" i="11"/>
  <c r="I299" i="11" s="1" a="1"/>
  <c r="I299" i="11" s="1"/>
  <c r="D298" i="11"/>
  <c r="I298" i="11" s="1" a="1"/>
  <c r="I298" i="11" s="1"/>
  <c r="D297" i="11"/>
  <c r="D296" i="11"/>
  <c r="I296" i="11" s="1" a="1"/>
  <c r="I296" i="11" s="1"/>
  <c r="D295" i="11"/>
  <c r="I295" i="11" s="1" a="1"/>
  <c r="I295" i="11" s="1"/>
  <c r="D294" i="11"/>
  <c r="I294" i="11" s="1" a="1"/>
  <c r="I294" i="11" s="1"/>
  <c r="D293" i="11"/>
  <c r="D292" i="11"/>
  <c r="D291" i="11"/>
  <c r="I291" i="11" s="1" a="1"/>
  <c r="I291" i="11" s="1"/>
  <c r="D290" i="11"/>
  <c r="D289" i="11"/>
  <c r="D288" i="11"/>
  <c r="D287" i="11"/>
  <c r="I287" i="11" s="1" a="1"/>
  <c r="I287" i="11" s="1"/>
  <c r="D286" i="11"/>
  <c r="D285" i="11"/>
  <c r="D284" i="11"/>
  <c r="D283" i="11"/>
  <c r="I283" i="11" s="1" a="1"/>
  <c r="I283" i="11" s="1"/>
  <c r="D282" i="11"/>
  <c r="D281" i="11"/>
  <c r="D280" i="11"/>
  <c r="D279" i="11"/>
  <c r="I279" i="11" s="1" a="1"/>
  <c r="I279" i="11" s="1"/>
  <c r="D278" i="11"/>
  <c r="D277" i="11"/>
  <c r="D276" i="11"/>
  <c r="D275" i="11"/>
  <c r="I275" i="11" s="1" a="1"/>
  <c r="I275" i="11" s="1"/>
  <c r="D274" i="11"/>
  <c r="D273" i="11"/>
  <c r="D272" i="11"/>
  <c r="D271" i="11"/>
  <c r="I271" i="11" s="1" a="1"/>
  <c r="I271" i="11" s="1"/>
  <c r="D270" i="11"/>
  <c r="D269" i="11"/>
  <c r="D268" i="11"/>
  <c r="D267" i="11"/>
  <c r="I267" i="11" s="1" a="1"/>
  <c r="I267" i="11" s="1"/>
  <c r="D266" i="11"/>
  <c r="D265" i="11"/>
  <c r="D264" i="11"/>
  <c r="D263" i="11"/>
  <c r="I263" i="11" s="1" a="1"/>
  <c r="I263" i="11" s="1"/>
  <c r="D262" i="11"/>
  <c r="D261" i="11"/>
  <c r="D260" i="11"/>
  <c r="D259" i="11"/>
  <c r="I259" i="11" s="1" a="1"/>
  <c r="I259" i="11" s="1"/>
  <c r="D258" i="11"/>
  <c r="D257" i="11"/>
  <c r="D256" i="11"/>
  <c r="D255" i="11"/>
  <c r="I255" i="11" s="1" a="1"/>
  <c r="I255" i="11" s="1"/>
  <c r="D254" i="11"/>
  <c r="D253" i="11"/>
  <c r="D252" i="11"/>
  <c r="D251" i="11"/>
  <c r="I251" i="11" s="1" a="1"/>
  <c r="I251" i="11" s="1"/>
  <c r="D250" i="11"/>
  <c r="D249" i="11"/>
  <c r="D248" i="11"/>
  <c r="D247" i="11"/>
  <c r="I247" i="11" s="1" a="1"/>
  <c r="I247" i="11" s="1"/>
  <c r="D246" i="11"/>
  <c r="D245" i="11"/>
  <c r="D244" i="11"/>
  <c r="D243" i="11"/>
  <c r="I243" i="11" s="1" a="1"/>
  <c r="I243" i="11" s="1"/>
  <c r="D242" i="11"/>
  <c r="D241" i="11"/>
  <c r="D240" i="11"/>
  <c r="D239" i="11"/>
  <c r="I239" i="11" s="1" a="1"/>
  <c r="I239" i="11" s="1"/>
  <c r="D238" i="11"/>
  <c r="D237" i="11"/>
  <c r="D236" i="11"/>
  <c r="D235" i="11"/>
  <c r="I235" i="11" s="1" a="1"/>
  <c r="I235" i="11" s="1"/>
  <c r="D234" i="11"/>
  <c r="D233" i="11"/>
  <c r="D232" i="11"/>
  <c r="D231" i="11"/>
  <c r="I231" i="11" s="1" a="1"/>
  <c r="I231" i="11" s="1"/>
  <c r="D230" i="11"/>
  <c r="D229" i="11"/>
  <c r="D228" i="11"/>
  <c r="D227" i="11"/>
  <c r="I227" i="11" s="1" a="1"/>
  <c r="I227" i="11" s="1"/>
  <c r="D226" i="11"/>
  <c r="D225" i="11"/>
  <c r="D224" i="11"/>
  <c r="D223" i="11"/>
  <c r="I223" i="11" s="1" a="1"/>
  <c r="I223" i="11" s="1"/>
  <c r="D222" i="11"/>
  <c r="D221" i="11"/>
  <c r="D220" i="11"/>
  <c r="D219" i="11"/>
  <c r="I219" i="11" s="1" a="1"/>
  <c r="I219" i="11" s="1"/>
  <c r="D218" i="11"/>
  <c r="D217" i="11"/>
  <c r="D216" i="11"/>
  <c r="D215" i="11"/>
  <c r="I215" i="11" s="1" a="1"/>
  <c r="I215" i="11" s="1"/>
  <c r="D214" i="11"/>
  <c r="D213" i="11"/>
  <c r="D212" i="11"/>
  <c r="D211" i="11"/>
  <c r="I211" i="11" s="1" a="1"/>
  <c r="I211" i="11" s="1"/>
  <c r="D210" i="11"/>
  <c r="D209" i="11"/>
  <c r="D208" i="11"/>
  <c r="D207" i="11"/>
  <c r="I207" i="11" s="1" a="1"/>
  <c r="I207" i="11" s="1"/>
  <c r="D206" i="11"/>
  <c r="D205" i="11"/>
  <c r="D204" i="11"/>
  <c r="D203" i="11"/>
  <c r="I203" i="11" s="1" a="1"/>
  <c r="I203" i="11" s="1"/>
  <c r="D202" i="11"/>
  <c r="D201" i="11"/>
  <c r="D200" i="11"/>
  <c r="D199" i="11"/>
  <c r="I199" i="11" s="1" a="1"/>
  <c r="I199" i="11" s="1"/>
  <c r="D198" i="11"/>
  <c r="D197" i="11"/>
  <c r="D196" i="11"/>
  <c r="D195" i="11"/>
  <c r="I195" i="11" s="1" a="1"/>
  <c r="I195" i="11" s="1"/>
  <c r="D194" i="11"/>
  <c r="I194" i="11" s="1" a="1"/>
  <c r="I194" i="11" s="1"/>
  <c r="D193" i="11"/>
  <c r="I193" i="11" s="1" a="1"/>
  <c r="I193" i="11" s="1"/>
  <c r="D192" i="11"/>
  <c r="I192" i="11" s="1" a="1"/>
  <c r="I192" i="11" s="1"/>
  <c r="D191" i="11"/>
  <c r="I191" i="11" s="1" a="1"/>
  <c r="I191" i="11" s="1"/>
  <c r="D190" i="11"/>
  <c r="I190" i="11" s="1" a="1"/>
  <c r="I190" i="11" s="1"/>
  <c r="D189" i="11"/>
  <c r="D188" i="11"/>
  <c r="I188" i="11" s="1" a="1"/>
  <c r="I188" i="11" s="1"/>
  <c r="D187" i="11"/>
  <c r="I187" i="11" s="1" a="1"/>
  <c r="I187" i="11" s="1"/>
  <c r="D186" i="11"/>
  <c r="I186" i="11" s="1" a="1"/>
  <c r="I186" i="11" s="1"/>
  <c r="D185" i="11"/>
  <c r="D184" i="11"/>
  <c r="I184" i="11" s="1" a="1"/>
  <c r="I184" i="11" s="1"/>
  <c r="D183" i="11"/>
  <c r="I183" i="11" s="1" a="1"/>
  <c r="I183" i="11" s="1"/>
  <c r="D182" i="11"/>
  <c r="I182" i="11" s="1" a="1"/>
  <c r="I182" i="11" s="1"/>
  <c r="D181" i="11"/>
  <c r="D180" i="11"/>
  <c r="I180" i="11" s="1" a="1"/>
  <c r="I180" i="11" s="1"/>
  <c r="D179" i="11"/>
  <c r="I179" i="11" s="1" a="1"/>
  <c r="I179" i="11" s="1"/>
  <c r="D178" i="11"/>
  <c r="I178" i="11" s="1" a="1"/>
  <c r="I178" i="11" s="1"/>
  <c r="D177" i="11"/>
  <c r="D176" i="11"/>
  <c r="I176" i="11" s="1" a="1"/>
  <c r="I176" i="11" s="1"/>
  <c r="D175" i="11"/>
  <c r="I175" i="11" s="1" a="1"/>
  <c r="I175" i="11" s="1"/>
  <c r="D174" i="11"/>
  <c r="I174" i="11" s="1" a="1"/>
  <c r="I174" i="11" s="1"/>
  <c r="D173" i="11"/>
  <c r="D172" i="11"/>
  <c r="I172" i="11" s="1" a="1"/>
  <c r="I172" i="11" s="1"/>
  <c r="D171" i="11"/>
  <c r="I171" i="11" s="1" a="1"/>
  <c r="I171" i="11" s="1"/>
  <c r="D170" i="11"/>
  <c r="I170" i="11" s="1" a="1"/>
  <c r="I170" i="11" s="1"/>
  <c r="D169" i="11"/>
  <c r="D168" i="11"/>
  <c r="I168" i="11" s="1" a="1"/>
  <c r="I168" i="11" s="1"/>
  <c r="D167" i="11"/>
  <c r="I167" i="11" s="1" a="1"/>
  <c r="I167" i="11" s="1"/>
  <c r="D166" i="11"/>
  <c r="I166" i="11" s="1" a="1"/>
  <c r="I166" i="11" s="1"/>
  <c r="D165" i="11"/>
  <c r="D164" i="11"/>
  <c r="I164" i="11" s="1" a="1"/>
  <c r="I164" i="11" s="1"/>
  <c r="D163" i="11"/>
  <c r="I163" i="11" s="1" a="1"/>
  <c r="I163" i="11" s="1"/>
  <c r="D162" i="11"/>
  <c r="I162" i="11" s="1" a="1"/>
  <c r="I162" i="11" s="1"/>
  <c r="D161" i="11"/>
  <c r="D160" i="11"/>
  <c r="I160" i="11" s="1" a="1"/>
  <c r="I160" i="11" s="1"/>
  <c r="D159" i="11"/>
  <c r="I159" i="11" s="1" a="1"/>
  <c r="I159" i="11" s="1"/>
  <c r="D158" i="11"/>
  <c r="I158" i="11" s="1" a="1"/>
  <c r="I158" i="11" s="1"/>
  <c r="D157" i="11"/>
  <c r="D156" i="11"/>
  <c r="I156" i="11" s="1" a="1"/>
  <c r="I156" i="11" s="1"/>
  <c r="D155" i="11"/>
  <c r="I155" i="11" s="1" a="1"/>
  <c r="I155" i="11" s="1"/>
  <c r="D154" i="11"/>
  <c r="I154" i="11" s="1" a="1"/>
  <c r="I154" i="11" s="1"/>
  <c r="D153" i="11"/>
  <c r="D152" i="11"/>
  <c r="I152" i="11" s="1" a="1"/>
  <c r="I152" i="11" s="1"/>
  <c r="D151" i="11"/>
  <c r="I151" i="11" s="1" a="1"/>
  <c r="I151" i="11" s="1"/>
  <c r="D150" i="11"/>
  <c r="I150" i="11" s="1" a="1"/>
  <c r="I150" i="11" s="1"/>
  <c r="D149" i="11"/>
  <c r="D148" i="11"/>
  <c r="I148" i="11" s="1" a="1"/>
  <c r="I148" i="11" s="1"/>
  <c r="D147" i="11"/>
  <c r="I147" i="11" s="1" a="1"/>
  <c r="I147" i="11" s="1"/>
  <c r="D146" i="11"/>
  <c r="I146" i="11" s="1" a="1"/>
  <c r="I146" i="11" s="1"/>
  <c r="D145" i="11"/>
  <c r="D144" i="11"/>
  <c r="I144" i="11" s="1" a="1"/>
  <c r="I144" i="11" s="1"/>
  <c r="D143" i="11"/>
  <c r="I143" i="11" s="1" a="1"/>
  <c r="I143" i="11" s="1"/>
  <c r="L142" i="11"/>
  <c r="O142" i="11" s="1"/>
  <c r="D142" i="11"/>
  <c r="I142" i="11" s="1" a="1"/>
  <c r="I142" i="11" s="1"/>
  <c r="L141" i="11"/>
  <c r="O141" i="11" s="1"/>
  <c r="D141" i="11"/>
  <c r="L140" i="11"/>
  <c r="O140" i="11" s="1"/>
  <c r="D140" i="11"/>
  <c r="I140" i="11" s="1" a="1"/>
  <c r="I140" i="11" s="1"/>
  <c r="L139" i="11"/>
  <c r="O139" i="11" s="1"/>
  <c r="D139" i="11"/>
  <c r="I139" i="11" s="1" a="1"/>
  <c r="I139" i="11" s="1"/>
  <c r="L138" i="11"/>
  <c r="O138" i="11" s="1"/>
  <c r="D138" i="11"/>
  <c r="I138" i="11" s="1" a="1"/>
  <c r="I138" i="11" s="1"/>
  <c r="L137" i="11"/>
  <c r="O137" i="11" s="1"/>
  <c r="D137" i="11"/>
  <c r="L136" i="11"/>
  <c r="O136" i="11" s="1"/>
  <c r="D136" i="11"/>
  <c r="I136" i="11" s="1" a="1"/>
  <c r="I136" i="11" s="1"/>
  <c r="L135" i="11"/>
  <c r="O135" i="11" s="1"/>
  <c r="D135" i="11"/>
  <c r="I135" i="11" s="1" a="1"/>
  <c r="I135" i="11" s="1"/>
  <c r="L134" i="11"/>
  <c r="O134" i="11" s="1"/>
  <c r="D134" i="11"/>
  <c r="I134" i="11" s="1" a="1"/>
  <c r="I134" i="11" s="1"/>
  <c r="L133" i="11"/>
  <c r="O133" i="11" s="1"/>
  <c r="D133" i="11"/>
  <c r="L132" i="11"/>
  <c r="O132" i="11" s="1"/>
  <c r="D132" i="11"/>
  <c r="I132" i="11" s="1" a="1"/>
  <c r="I132" i="11" s="1"/>
  <c r="L131" i="11"/>
  <c r="O131" i="11" s="1"/>
  <c r="D131" i="11"/>
  <c r="I131" i="11" s="1" a="1"/>
  <c r="I131" i="11" s="1"/>
  <c r="L130" i="11"/>
  <c r="O130" i="11" s="1"/>
  <c r="D130" i="11"/>
  <c r="I130" i="11" s="1" a="1"/>
  <c r="I130" i="11" s="1"/>
  <c r="L129" i="11"/>
  <c r="O129" i="11" s="1"/>
  <c r="D129" i="11"/>
  <c r="L128" i="11"/>
  <c r="O128" i="11" s="1"/>
  <c r="D128" i="11"/>
  <c r="I128" i="11" s="1" a="1"/>
  <c r="I128" i="11" s="1"/>
  <c r="L127" i="11"/>
  <c r="O127" i="11" s="1"/>
  <c r="D127" i="11"/>
  <c r="I127" i="11" s="1" a="1"/>
  <c r="I127" i="11" s="1"/>
  <c r="L126" i="11"/>
  <c r="O126" i="11" s="1"/>
  <c r="D126" i="11"/>
  <c r="I126" i="11" s="1" a="1"/>
  <c r="I126" i="11" s="1"/>
  <c r="L125" i="11"/>
  <c r="O125" i="11" s="1"/>
  <c r="D125" i="11"/>
  <c r="L124" i="11"/>
  <c r="O124" i="11" s="1"/>
  <c r="D124" i="11"/>
  <c r="I124" i="11" s="1" a="1"/>
  <c r="I124" i="11" s="1"/>
  <c r="L123" i="11"/>
  <c r="O123" i="11" s="1"/>
  <c r="D123" i="11"/>
  <c r="I123" i="11" s="1" a="1"/>
  <c r="I123" i="11" s="1"/>
  <c r="L122" i="11"/>
  <c r="O122" i="11" s="1"/>
  <c r="D122" i="11"/>
  <c r="I122" i="11" s="1" a="1"/>
  <c r="I122" i="11" s="1"/>
  <c r="L121" i="11"/>
  <c r="O121" i="11" s="1"/>
  <c r="D121" i="11"/>
  <c r="L120" i="11"/>
  <c r="O120" i="11" s="1"/>
  <c r="D120" i="11"/>
  <c r="I120" i="11" s="1" a="1"/>
  <c r="I120" i="11" s="1"/>
  <c r="L119" i="11"/>
  <c r="O119" i="11" s="1"/>
  <c r="D119" i="11"/>
  <c r="I119" i="11" s="1" a="1"/>
  <c r="I119" i="11" s="1"/>
  <c r="L118" i="11"/>
  <c r="O118" i="11" s="1"/>
  <c r="D118" i="11"/>
  <c r="I118" i="11" s="1" a="1"/>
  <c r="I118" i="11" s="1"/>
  <c r="L117" i="11"/>
  <c r="O117" i="11" s="1"/>
  <c r="D117" i="11"/>
  <c r="L116" i="11"/>
  <c r="O116" i="11" s="1"/>
  <c r="D116" i="11"/>
  <c r="I116" i="11" s="1" a="1"/>
  <c r="I116" i="11" s="1"/>
  <c r="L115" i="11"/>
  <c r="O115" i="11" s="1"/>
  <c r="D115" i="11"/>
  <c r="I115" i="11" s="1" a="1"/>
  <c r="I115" i="11" s="1"/>
  <c r="L114" i="11"/>
  <c r="O114" i="11" s="1"/>
  <c r="D114" i="11"/>
  <c r="I114" i="11" s="1" a="1"/>
  <c r="I114" i="11" s="1"/>
  <c r="L113" i="11"/>
  <c r="O113" i="11" s="1"/>
  <c r="D113" i="11"/>
  <c r="L112" i="11"/>
  <c r="O112" i="11" s="1"/>
  <c r="D112" i="11"/>
  <c r="I112" i="11" s="1" a="1"/>
  <c r="I112" i="11" s="1"/>
  <c r="L111" i="11"/>
  <c r="O111" i="11" s="1"/>
  <c r="D111" i="11"/>
  <c r="I111" i="11" s="1" a="1"/>
  <c r="I111" i="11" s="1"/>
  <c r="L110" i="11"/>
  <c r="O110" i="11" s="1"/>
  <c r="D110" i="11"/>
  <c r="I110" i="11" s="1" a="1"/>
  <c r="I110" i="11" s="1"/>
  <c r="L109" i="11"/>
  <c r="O109" i="11" s="1"/>
  <c r="D109" i="11"/>
  <c r="I109" i="11" s="1" a="1"/>
  <c r="I109" i="11" s="1"/>
  <c r="L108" i="11"/>
  <c r="O108" i="11" s="1"/>
  <c r="D108" i="11"/>
  <c r="I108" i="11" s="1" a="1"/>
  <c r="I108" i="11" s="1"/>
  <c r="L107" i="11"/>
  <c r="O107" i="11" s="1"/>
  <c r="D107" i="11"/>
  <c r="I107" i="11" s="1" a="1"/>
  <c r="I107" i="11" s="1"/>
  <c r="L106" i="11"/>
  <c r="O106" i="11" s="1"/>
  <c r="D106" i="11"/>
  <c r="I106" i="11" s="1" a="1"/>
  <c r="I106" i="11" s="1"/>
  <c r="L105" i="11"/>
  <c r="O105" i="11" s="1"/>
  <c r="D105" i="11"/>
  <c r="I105" i="11" s="1" a="1"/>
  <c r="I105" i="11" s="1"/>
  <c r="L104" i="11"/>
  <c r="O104" i="11" s="1"/>
  <c r="D104" i="11"/>
  <c r="I104" i="11" s="1" a="1"/>
  <c r="I104" i="11" s="1"/>
  <c r="L103" i="11"/>
  <c r="O103" i="11" s="1"/>
  <c r="D103" i="11"/>
  <c r="I103" i="11" s="1" a="1"/>
  <c r="I103" i="11" s="1"/>
  <c r="L102" i="11"/>
  <c r="O102" i="11" s="1"/>
  <c r="D102" i="11"/>
  <c r="I102" i="11" s="1" a="1"/>
  <c r="I102" i="11" s="1"/>
  <c r="L101" i="11"/>
  <c r="O101" i="11" s="1"/>
  <c r="D101" i="11"/>
  <c r="I101" i="11" s="1" a="1"/>
  <c r="I101" i="11" s="1"/>
  <c r="L100" i="11"/>
  <c r="O100" i="11" s="1"/>
  <c r="D100" i="11"/>
  <c r="I100" i="11" s="1" a="1"/>
  <c r="I100" i="11" s="1"/>
  <c r="L99" i="11"/>
  <c r="O99" i="11" s="1"/>
  <c r="D99" i="11"/>
  <c r="I99" i="11" s="1" a="1"/>
  <c r="I99" i="11" s="1"/>
  <c r="L98" i="11"/>
  <c r="O98" i="11" s="1"/>
  <c r="D98" i="11"/>
  <c r="I98" i="11" s="1" a="1"/>
  <c r="I98" i="11" s="1"/>
  <c r="L97" i="11"/>
  <c r="O97" i="11" s="1"/>
  <c r="D97" i="11"/>
  <c r="I97" i="11" s="1" a="1"/>
  <c r="I97" i="11" s="1"/>
  <c r="L96" i="11"/>
  <c r="O96" i="11" s="1"/>
  <c r="D96" i="11"/>
  <c r="I96" i="11" s="1" a="1"/>
  <c r="I96" i="11" s="1"/>
  <c r="L95" i="11"/>
  <c r="O95" i="11" s="1"/>
  <c r="D95" i="11"/>
  <c r="I95" i="11" s="1" a="1"/>
  <c r="I95" i="11" s="1"/>
  <c r="L94" i="11"/>
  <c r="O94" i="11" s="1"/>
  <c r="D94" i="11"/>
  <c r="I94" i="11" s="1" a="1"/>
  <c r="I94" i="11" s="1"/>
  <c r="L93" i="11"/>
  <c r="O93" i="11" s="1"/>
  <c r="D93" i="11"/>
  <c r="I93" i="11" s="1" a="1"/>
  <c r="I93" i="11" s="1"/>
  <c r="L92" i="11"/>
  <c r="O92" i="11" s="1"/>
  <c r="D92" i="11"/>
  <c r="I92" i="11" s="1" a="1"/>
  <c r="I92" i="11" s="1"/>
  <c r="L91" i="11"/>
  <c r="O91" i="11" s="1"/>
  <c r="D91" i="11"/>
  <c r="I91" i="11" s="1" a="1"/>
  <c r="I91" i="11" s="1"/>
  <c r="L90" i="11"/>
  <c r="O90" i="11" s="1"/>
  <c r="D90" i="11"/>
  <c r="I90" i="11" s="1" a="1"/>
  <c r="I90" i="11" s="1"/>
  <c r="L89" i="11"/>
  <c r="O89" i="11" s="1"/>
  <c r="D89" i="11"/>
  <c r="I89" i="11" s="1" a="1"/>
  <c r="I89" i="11" s="1"/>
  <c r="L88" i="11"/>
  <c r="O88" i="11" s="1"/>
  <c r="D88" i="11"/>
  <c r="I88" i="11" s="1" a="1"/>
  <c r="I88" i="11" s="1"/>
  <c r="L87" i="11"/>
  <c r="O87" i="11" s="1"/>
  <c r="D87" i="11"/>
  <c r="I87" i="11" s="1" a="1"/>
  <c r="I87" i="11" s="1"/>
  <c r="L86" i="11"/>
  <c r="O86" i="11" s="1"/>
  <c r="D86" i="11"/>
  <c r="I86" i="11" s="1" a="1"/>
  <c r="I86" i="11" s="1"/>
  <c r="L85" i="11"/>
  <c r="O85" i="11" s="1"/>
  <c r="D85" i="11"/>
  <c r="I85" i="11" s="1" a="1"/>
  <c r="I85" i="11" s="1"/>
  <c r="L84" i="11"/>
  <c r="O84" i="11" s="1"/>
  <c r="D84" i="11"/>
  <c r="I84" i="11" s="1" a="1"/>
  <c r="I84" i="11" s="1"/>
  <c r="L83" i="11"/>
  <c r="O83" i="11" s="1"/>
  <c r="D83" i="11"/>
  <c r="I83" i="11" s="1" a="1"/>
  <c r="I83" i="11" s="1"/>
  <c r="L82" i="11"/>
  <c r="O82" i="11" s="1"/>
  <c r="D82" i="11"/>
  <c r="I82" i="11" s="1" a="1"/>
  <c r="I82" i="11" s="1"/>
  <c r="L81" i="11"/>
  <c r="O81" i="11" s="1"/>
  <c r="D81" i="11"/>
  <c r="I81" i="11" s="1" a="1"/>
  <c r="I81" i="11" s="1"/>
  <c r="L80" i="11"/>
  <c r="O80" i="11" s="1"/>
  <c r="D80" i="11"/>
  <c r="I80" i="11" s="1" a="1"/>
  <c r="I80" i="11" s="1"/>
  <c r="L79" i="11"/>
  <c r="O79" i="11" s="1"/>
  <c r="D79" i="11"/>
  <c r="I79" i="11" s="1" a="1"/>
  <c r="I79" i="11" s="1"/>
  <c r="L78" i="11"/>
  <c r="O78" i="11" s="1"/>
  <c r="D78" i="11"/>
  <c r="I78" i="11" s="1" a="1"/>
  <c r="I78" i="11" s="1"/>
  <c r="L77" i="11"/>
  <c r="O77" i="11" s="1"/>
  <c r="D77" i="11"/>
  <c r="I77" i="11" s="1" a="1"/>
  <c r="I77" i="11" s="1"/>
  <c r="L76" i="11"/>
  <c r="O76" i="11" s="1"/>
  <c r="D76" i="11"/>
  <c r="I76" i="11" s="1" a="1"/>
  <c r="I76" i="11" s="1"/>
  <c r="L75" i="11"/>
  <c r="O75" i="11" s="1"/>
  <c r="D75" i="11"/>
  <c r="I75" i="11" s="1" a="1"/>
  <c r="I75" i="11" s="1"/>
  <c r="L74" i="11"/>
  <c r="O74" i="11" s="1"/>
  <c r="D74" i="11"/>
  <c r="I74" i="11" s="1" a="1"/>
  <c r="I74" i="11" s="1"/>
  <c r="L73" i="11"/>
  <c r="O73" i="11" s="1"/>
  <c r="D73" i="11"/>
  <c r="I73" i="11" s="1" a="1"/>
  <c r="I73" i="11" s="1"/>
  <c r="L72" i="11"/>
  <c r="O72" i="11" s="1"/>
  <c r="D72" i="11"/>
  <c r="I72" i="11" s="1" a="1"/>
  <c r="I72" i="11" s="1"/>
  <c r="L71" i="11"/>
  <c r="O71" i="11" s="1"/>
  <c r="D71" i="11"/>
  <c r="I71" i="11" s="1" a="1"/>
  <c r="I71" i="11" s="1"/>
  <c r="L70" i="11"/>
  <c r="O70" i="11" s="1"/>
  <c r="D70" i="11"/>
  <c r="I70" i="11" s="1" a="1"/>
  <c r="I70" i="11" s="1"/>
  <c r="L69" i="11"/>
  <c r="O69" i="11" s="1"/>
  <c r="D69" i="11"/>
  <c r="I69" i="11" s="1" a="1"/>
  <c r="I69" i="11" s="1"/>
  <c r="L68" i="11"/>
  <c r="O68" i="11" s="1"/>
  <c r="D68" i="11"/>
  <c r="I68" i="11" s="1" a="1"/>
  <c r="I68" i="11" s="1"/>
  <c r="L67" i="11"/>
  <c r="O67" i="11" s="1"/>
  <c r="D67" i="11"/>
  <c r="I67" i="11" s="1" a="1"/>
  <c r="I67" i="11" s="1"/>
  <c r="L66" i="11"/>
  <c r="O66" i="11" s="1"/>
  <c r="D66" i="11"/>
  <c r="I66" i="11" s="1" a="1"/>
  <c r="I66" i="11" s="1"/>
  <c r="L65" i="11"/>
  <c r="O65" i="11" s="1"/>
  <c r="D65" i="11"/>
  <c r="I65" i="11" s="1" a="1"/>
  <c r="I65" i="11" s="1"/>
  <c r="L64" i="11"/>
  <c r="O64" i="11" s="1"/>
  <c r="D64" i="11"/>
  <c r="I64" i="11" s="1" a="1"/>
  <c r="I64" i="11" s="1"/>
  <c r="L63" i="11"/>
  <c r="O63" i="11" s="1"/>
  <c r="D63" i="11"/>
  <c r="I63" i="11" s="1" a="1"/>
  <c r="I63" i="11" s="1"/>
  <c r="L62" i="11"/>
  <c r="O62" i="11" s="1"/>
  <c r="D62" i="11"/>
  <c r="I62" i="11" s="1" a="1"/>
  <c r="I62" i="11" s="1"/>
  <c r="L61" i="11"/>
  <c r="O61" i="11" s="1"/>
  <c r="D61" i="11"/>
  <c r="I61" i="11" s="1" a="1"/>
  <c r="I61" i="11" s="1"/>
  <c r="L60" i="11"/>
  <c r="O60" i="11" s="1"/>
  <c r="D60" i="11"/>
  <c r="I60" i="11" s="1" a="1"/>
  <c r="I60" i="11" s="1"/>
  <c r="L59" i="11"/>
  <c r="O59" i="11" s="1"/>
  <c r="D59" i="11"/>
  <c r="I59" i="11" s="1" a="1"/>
  <c r="I59" i="11" s="1"/>
  <c r="L58" i="11"/>
  <c r="O58" i="11" s="1"/>
  <c r="D58" i="11"/>
  <c r="I58" i="11" s="1" a="1"/>
  <c r="I58" i="11" s="1"/>
  <c r="L57" i="11"/>
  <c r="O57" i="11" s="1"/>
  <c r="D57" i="11"/>
  <c r="I57" i="11" s="1" a="1"/>
  <c r="I57" i="11" s="1"/>
  <c r="L56" i="11"/>
  <c r="O56" i="11" s="1"/>
  <c r="D56" i="11"/>
  <c r="I56" i="11" s="1" a="1"/>
  <c r="I56" i="11" s="1"/>
  <c r="L55" i="11"/>
  <c r="O55" i="11" s="1"/>
  <c r="D55" i="11"/>
  <c r="I55" i="11" s="1" a="1"/>
  <c r="I55" i="11" s="1"/>
  <c r="L54" i="11"/>
  <c r="O54" i="11" s="1"/>
  <c r="D54" i="11"/>
  <c r="I54" i="11" s="1" a="1"/>
  <c r="I54" i="11" s="1"/>
  <c r="L53" i="11"/>
  <c r="O53" i="11" s="1"/>
  <c r="D53" i="11"/>
  <c r="I53" i="11" s="1" a="1"/>
  <c r="I53" i="11" s="1"/>
  <c r="L52" i="11"/>
  <c r="O52" i="11" s="1"/>
  <c r="D52" i="11"/>
  <c r="I52" i="11" s="1" a="1"/>
  <c r="I52" i="11" s="1"/>
  <c r="P36" i="4" s="1"/>
  <c r="L51" i="11"/>
  <c r="O51" i="11" s="1"/>
  <c r="D51" i="11"/>
  <c r="I51" i="11" s="1" a="1"/>
  <c r="I51" i="11" s="1"/>
  <c r="P35" i="4" s="1"/>
  <c r="L50" i="11"/>
  <c r="O50" i="11" s="1"/>
  <c r="D50" i="11"/>
  <c r="I50" i="11" s="1" a="1"/>
  <c r="I50" i="11" s="1"/>
  <c r="P34" i="4" s="1"/>
  <c r="L49" i="11"/>
  <c r="O49" i="11" s="1"/>
  <c r="D49" i="11"/>
  <c r="I49" i="11" s="1" a="1"/>
  <c r="I49" i="11" s="1"/>
  <c r="P33" i="4" s="1"/>
  <c r="L48" i="11"/>
  <c r="O48" i="11" s="1"/>
  <c r="D48" i="11"/>
  <c r="I48" i="11" s="1" a="1"/>
  <c r="I48" i="11" s="1"/>
  <c r="P32" i="4" s="1"/>
  <c r="L47" i="11"/>
  <c r="O47" i="11" s="1"/>
  <c r="D47" i="11"/>
  <c r="I47" i="11" s="1" a="1"/>
  <c r="I47" i="11" s="1"/>
  <c r="P31" i="4" s="1"/>
  <c r="L46" i="11"/>
  <c r="O46" i="11" s="1"/>
  <c r="D46" i="11"/>
  <c r="I46" i="11" s="1" a="1"/>
  <c r="I46" i="11" s="1"/>
  <c r="P30" i="4" s="1"/>
  <c r="L45" i="11"/>
  <c r="O45" i="11" s="1"/>
  <c r="D45" i="11"/>
  <c r="I45" i="11" s="1" a="1"/>
  <c r="I45" i="11" s="1"/>
  <c r="P29" i="4" s="1"/>
  <c r="L44" i="11"/>
  <c r="O44" i="11" s="1"/>
  <c r="D44" i="11"/>
  <c r="I44" i="11" s="1" a="1"/>
  <c r="I44" i="11" s="1"/>
  <c r="P28" i="4" s="1"/>
  <c r="L43" i="11"/>
  <c r="O43" i="11" s="1"/>
  <c r="D43" i="11"/>
  <c r="I43" i="11" s="1" a="1"/>
  <c r="I43" i="11" s="1"/>
  <c r="P27" i="4" s="1"/>
  <c r="L42" i="11"/>
  <c r="O42" i="11" s="1"/>
  <c r="D42" i="11"/>
  <c r="I42" i="11" s="1" a="1"/>
  <c r="I42" i="11" s="1"/>
  <c r="P26" i="4" s="1"/>
  <c r="L41" i="11"/>
  <c r="O41" i="11" s="1"/>
  <c r="D41" i="11"/>
  <c r="I41" i="11" s="1" a="1"/>
  <c r="I41" i="11" s="1"/>
  <c r="P25" i="4" s="1"/>
  <c r="L40" i="11"/>
  <c r="O40" i="11" s="1"/>
  <c r="D40" i="11"/>
  <c r="I40" i="11" s="1" a="1"/>
  <c r="I40" i="11" s="1"/>
  <c r="P24" i="4" s="1"/>
  <c r="L39" i="11"/>
  <c r="O39" i="11" s="1"/>
  <c r="D39" i="11"/>
  <c r="I39" i="11" s="1" a="1"/>
  <c r="I39" i="11" s="1"/>
  <c r="P23" i="4" s="1"/>
  <c r="L38" i="11"/>
  <c r="O38" i="11" s="1"/>
  <c r="D38" i="11"/>
  <c r="I38" i="11" s="1" a="1"/>
  <c r="I38" i="11" s="1"/>
  <c r="P22" i="4" s="1"/>
  <c r="L37" i="11"/>
  <c r="O37" i="11" s="1"/>
  <c r="D37" i="11"/>
  <c r="I37" i="11" s="1" a="1"/>
  <c r="I37" i="11" s="1"/>
  <c r="P21" i="4" s="1"/>
  <c r="L36" i="11"/>
  <c r="O36" i="11" s="1"/>
  <c r="D36" i="11"/>
  <c r="I36" i="11" s="1" a="1"/>
  <c r="I36" i="11" s="1"/>
  <c r="P20" i="4" s="1"/>
  <c r="L35" i="11"/>
  <c r="O35" i="11" s="1"/>
  <c r="D35" i="11"/>
  <c r="I35" i="11" s="1" a="1"/>
  <c r="I35" i="11" s="1"/>
  <c r="P19" i="4" s="1"/>
  <c r="L34" i="11"/>
  <c r="O34" i="11" s="1"/>
  <c r="D34" i="11"/>
  <c r="I34" i="11" s="1" a="1"/>
  <c r="I34" i="11" s="1"/>
  <c r="P18" i="4" s="1"/>
  <c r="L33" i="11"/>
  <c r="O33" i="11" s="1"/>
  <c r="D33" i="11"/>
  <c r="I33" i="11" s="1" a="1"/>
  <c r="I33" i="11" s="1"/>
  <c r="P17" i="4" s="1"/>
  <c r="L32" i="11"/>
  <c r="O32" i="11" s="1"/>
  <c r="D32" i="11"/>
  <c r="I32" i="11" s="1" a="1"/>
  <c r="I32" i="11" s="1"/>
  <c r="P16" i="4" s="1"/>
  <c r="L31" i="11"/>
  <c r="O31" i="11" s="1"/>
  <c r="D31" i="11"/>
  <c r="I31" i="11" s="1" a="1"/>
  <c r="I31" i="11" s="1"/>
  <c r="P15" i="4" s="1"/>
  <c r="L30" i="11"/>
  <c r="O30" i="11" s="1"/>
  <c r="D30" i="11"/>
  <c r="I30" i="11" s="1" a="1"/>
  <c r="I30" i="11" s="1"/>
  <c r="P14" i="4" s="1"/>
  <c r="L29" i="11"/>
  <c r="O29" i="11" s="1"/>
  <c r="D29" i="11"/>
  <c r="I29" i="11" s="1" a="1"/>
  <c r="I29" i="11" s="1"/>
  <c r="P13" i="4" s="1"/>
  <c r="L28" i="11"/>
  <c r="O28" i="11" s="1"/>
  <c r="D28" i="11"/>
  <c r="I28" i="11" s="1" a="1"/>
  <c r="I28" i="11" s="1"/>
  <c r="P12" i="4" s="1"/>
  <c r="L27" i="11"/>
  <c r="O27" i="11" s="1"/>
  <c r="D27" i="11"/>
  <c r="I27" i="11" s="1" a="1"/>
  <c r="I27" i="11" s="1"/>
  <c r="P11" i="4" s="1"/>
  <c r="L26" i="11"/>
  <c r="O26" i="11" s="1"/>
  <c r="D26" i="11"/>
  <c r="I26" i="11" s="1" a="1"/>
  <c r="I26" i="11" s="1"/>
  <c r="P10" i="4" s="1"/>
  <c r="L25" i="11"/>
  <c r="O25" i="11" s="1"/>
  <c r="D25" i="11"/>
  <c r="I25" i="11" s="1" a="1"/>
  <c r="I25" i="11" s="1"/>
  <c r="P9" i="4" s="1"/>
  <c r="L24" i="11"/>
  <c r="O24" i="11" s="1"/>
  <c r="D24" i="11"/>
  <c r="I24" i="11" s="1" a="1"/>
  <c r="I24" i="11" s="1"/>
  <c r="P8" i="4" s="1"/>
  <c r="L23" i="11"/>
  <c r="O23" i="11" s="1"/>
  <c r="D23" i="11"/>
  <c r="I23" i="11" s="1" a="1"/>
  <c r="I23" i="11" s="1"/>
  <c r="P7" i="4" s="1"/>
  <c r="L22" i="11"/>
  <c r="O22" i="11" s="1"/>
  <c r="D22" i="11"/>
  <c r="I22" i="11" s="1" a="1"/>
  <c r="I22" i="11" s="1"/>
  <c r="P6" i="4" s="1"/>
  <c r="L21" i="11"/>
  <c r="O21" i="11" s="1"/>
  <c r="D21" i="11"/>
  <c r="I21" i="11" s="1" a="1"/>
  <c r="I21" i="11" s="1"/>
  <c r="P5" i="4" s="1"/>
  <c r="L20" i="11"/>
  <c r="O20" i="11" s="1"/>
  <c r="D20" i="11"/>
  <c r="I20" i="11" s="1" a="1"/>
  <c r="I20" i="11" s="1"/>
  <c r="P4" i="4" s="1"/>
  <c r="I292" i="11" a="1"/>
  <c r="I292" i="11" s="1"/>
  <c r="I290" i="11" a="1"/>
  <c r="I290" i="11" s="1"/>
  <c r="I288" i="11" a="1"/>
  <c r="I288" i="11" s="1"/>
  <c r="I286" i="11" a="1"/>
  <c r="I286" i="11" s="1"/>
  <c r="I284" i="11" a="1"/>
  <c r="I284" i="11" s="1"/>
  <c r="I282" i="11" a="1"/>
  <c r="I282" i="11" s="1"/>
  <c r="I280" i="11" a="1"/>
  <c r="I280" i="11" s="1"/>
  <c r="I278" i="11" a="1"/>
  <c r="I278" i="11" s="1"/>
  <c r="I276" i="11" a="1"/>
  <c r="I276" i="11" s="1"/>
  <c r="I274" i="11" a="1"/>
  <c r="I274" i="11" s="1"/>
  <c r="I272" i="11" a="1"/>
  <c r="I272" i="11" s="1"/>
  <c r="I270" i="11" a="1"/>
  <c r="I270" i="11" s="1"/>
  <c r="I268" i="11" a="1"/>
  <c r="I268" i="11" s="1"/>
  <c r="I266" i="11" a="1"/>
  <c r="I266" i="11" s="1"/>
  <c r="I264" i="11" a="1"/>
  <c r="I264" i="11" s="1"/>
  <c r="I262" i="11" a="1"/>
  <c r="I262" i="11" s="1"/>
  <c r="I260" i="11" a="1"/>
  <c r="I260" i="11" s="1"/>
  <c r="I258" i="11" a="1"/>
  <c r="I258" i="11" s="1"/>
  <c r="I256" i="11" a="1"/>
  <c r="I256" i="11" s="1"/>
  <c r="I254" i="11" a="1"/>
  <c r="I254" i="11" s="1"/>
  <c r="I252" i="11" a="1"/>
  <c r="I252" i="11" s="1"/>
  <c r="I250" i="11" a="1"/>
  <c r="I250" i="11" s="1"/>
  <c r="I248" i="11" a="1"/>
  <c r="I248" i="11" s="1"/>
  <c r="I246" i="11" a="1"/>
  <c r="I246" i="11" s="1"/>
  <c r="I244" i="11" a="1"/>
  <c r="I244" i="11" s="1"/>
  <c r="I242" i="11" a="1"/>
  <c r="I242" i="11" s="1"/>
  <c r="I240" i="11" a="1"/>
  <c r="I240" i="11" s="1"/>
  <c r="I238" i="11" a="1"/>
  <c r="I238" i="11" s="1"/>
  <c r="I236" i="11" a="1"/>
  <c r="I236" i="11" s="1"/>
  <c r="I234" i="11" a="1"/>
  <c r="I234" i="11" s="1"/>
  <c r="I232" i="11" a="1"/>
  <c r="I232" i="11" s="1"/>
  <c r="I230" i="11" a="1"/>
  <c r="I230" i="11" s="1"/>
  <c r="I228" i="11" a="1"/>
  <c r="I228" i="11" s="1"/>
  <c r="I226" i="11" a="1"/>
  <c r="I226" i="11" s="1"/>
  <c r="I224" i="11" a="1"/>
  <c r="I224" i="11" s="1"/>
  <c r="I222" i="11" a="1"/>
  <c r="I222" i="11" s="1"/>
  <c r="I220" i="11" a="1"/>
  <c r="I220" i="11" s="1"/>
  <c r="I218" i="11" a="1"/>
  <c r="I218" i="11" s="1"/>
  <c r="I216" i="11" a="1"/>
  <c r="I216" i="11" s="1"/>
  <c r="I214" i="11" a="1"/>
  <c r="I214" i="11" s="1"/>
  <c r="I212" i="11" a="1"/>
  <c r="I212" i="11" s="1"/>
  <c r="I210" i="11" a="1"/>
  <c r="I210" i="11" s="1"/>
  <c r="I208" i="11" a="1"/>
  <c r="I208" i="11" s="1"/>
  <c r="I206" i="11" a="1"/>
  <c r="I206" i="11" s="1"/>
  <c r="I204" i="11" a="1"/>
  <c r="I204" i="11" s="1"/>
  <c r="I202" i="11" a="1"/>
  <c r="I202" i="11" s="1"/>
  <c r="I200" i="11" a="1"/>
  <c r="I200" i="11" s="1"/>
  <c r="I198" i="11" a="1"/>
  <c r="I198" i="11" s="1"/>
  <c r="I196" i="11" a="1"/>
  <c r="I196" i="11" s="1"/>
  <c r="I189" i="11" a="1"/>
  <c r="I189" i="11" s="1"/>
  <c r="I185" i="11" a="1"/>
  <c r="I185" i="11" s="1"/>
  <c r="I181" i="11" a="1"/>
  <c r="I181" i="11" s="1"/>
  <c r="I177" i="11" a="1"/>
  <c r="I177" i="11" s="1"/>
  <c r="I173" i="11" a="1"/>
  <c r="I173" i="11" s="1"/>
  <c r="I169" i="11" a="1"/>
  <c r="I169" i="11" s="1"/>
  <c r="I165" i="11" a="1"/>
  <c r="I165" i="11" s="1"/>
  <c r="I161" i="11" a="1"/>
  <c r="I161" i="11" s="1"/>
  <c r="I157" i="11" a="1"/>
  <c r="I157" i="11" s="1"/>
  <c r="I153" i="11" a="1"/>
  <c r="I153" i="11" s="1"/>
  <c r="I149" i="11" a="1"/>
  <c r="I149" i="11" s="1"/>
  <c r="I145" i="11" a="1"/>
  <c r="I145" i="11" s="1"/>
  <c r="I141" i="11" a="1"/>
  <c r="I141" i="11" s="1"/>
  <c r="I137" i="11" a="1"/>
  <c r="I137" i="11" s="1"/>
  <c r="I133" i="11" a="1"/>
  <c r="I133" i="11" s="1"/>
  <c r="I129" i="11" a="1"/>
  <c r="I129" i="11" s="1"/>
  <c r="I125" i="11" a="1"/>
  <c r="I125" i="11" s="1"/>
  <c r="I121" i="11" a="1"/>
  <c r="I121" i="11" s="1"/>
  <c r="I117" i="11" a="1"/>
  <c r="I117" i="11" s="1"/>
  <c r="M39" i="11"/>
  <c r="M55" i="11"/>
  <c r="M69" i="11"/>
  <c r="M73" i="11"/>
  <c r="M77" i="11"/>
  <c r="M81" i="11"/>
  <c r="M85" i="11"/>
  <c r="M89" i="11"/>
  <c r="M93" i="11"/>
  <c r="M97" i="11"/>
  <c r="M101" i="11"/>
  <c r="M105" i="11"/>
  <c r="M109" i="11"/>
  <c r="M113" i="11"/>
  <c r="M117" i="11"/>
  <c r="M121" i="11"/>
  <c r="M125" i="11"/>
  <c r="M129" i="11"/>
  <c r="M133" i="11"/>
  <c r="M137" i="11"/>
  <c r="M141" i="11"/>
  <c r="M24" i="11"/>
  <c r="M32" i="11"/>
  <c r="M40" i="11"/>
  <c r="M48" i="11"/>
  <c r="M56" i="11"/>
  <c r="M64" i="11"/>
  <c r="M68" i="11"/>
  <c r="M76" i="11"/>
  <c r="M84" i="11"/>
  <c r="M92" i="11"/>
  <c r="M100" i="11"/>
  <c r="M108" i="11"/>
  <c r="M112" i="11"/>
  <c r="M116" i="11"/>
  <c r="M120" i="11"/>
  <c r="M124" i="11"/>
  <c r="M128" i="11"/>
  <c r="M132" i="11"/>
  <c r="M136" i="11"/>
  <c r="M140" i="11"/>
  <c r="M30" i="11"/>
  <c r="M46" i="11"/>
  <c r="M62" i="11"/>
  <c r="M78" i="11"/>
  <c r="M94" i="11"/>
  <c r="M110" i="11"/>
  <c r="M118" i="11"/>
  <c r="M126" i="11"/>
  <c r="M134" i="11"/>
  <c r="M142" i="11"/>
  <c r="M26" i="11"/>
  <c r="M42" i="11"/>
  <c r="M58" i="11"/>
  <c r="M82" i="11"/>
  <c r="M98" i="11"/>
  <c r="M114" i="11"/>
  <c r="M122" i="11"/>
  <c r="M130" i="11"/>
  <c r="M138" i="11"/>
  <c r="I361" i="11" a="1"/>
  <c r="I361" i="11" s="1"/>
  <c r="I357" i="11" a="1"/>
  <c r="I357" i="11" s="1"/>
  <c r="I353" i="11" a="1"/>
  <c r="I353" i="11" s="1"/>
  <c r="I349" i="11" a="1"/>
  <c r="I349" i="11" s="1"/>
  <c r="I345" i="11" a="1"/>
  <c r="I345" i="11" s="1"/>
  <c r="I341" i="11" a="1"/>
  <c r="I341" i="11" s="1"/>
  <c r="I337" i="11" a="1"/>
  <c r="I337" i="11" s="1"/>
  <c r="I333" i="11" a="1"/>
  <c r="I333" i="11" s="1"/>
  <c r="I329" i="11" a="1"/>
  <c r="I329" i="11" s="1"/>
  <c r="I325" i="11" a="1"/>
  <c r="I325" i="11" s="1"/>
  <c r="I321" i="11" a="1"/>
  <c r="I321" i="11" s="1"/>
  <c r="I317" i="11" a="1"/>
  <c r="I317" i="11" s="1"/>
  <c r="I313" i="11" a="1"/>
  <c r="I313" i="11" s="1"/>
  <c r="I309" i="11" a="1"/>
  <c r="I309" i="11" s="1"/>
  <c r="I305" i="11" a="1"/>
  <c r="I305" i="11" s="1"/>
  <c r="I301" i="11" a="1"/>
  <c r="I301" i="11" s="1"/>
  <c r="I297" i="11" a="1"/>
  <c r="I297" i="11" s="1"/>
  <c r="I293" i="11" a="1"/>
  <c r="I293" i="11" s="1"/>
  <c r="I289" i="11" a="1"/>
  <c r="I289" i="11" s="1"/>
  <c r="I285" i="11" a="1"/>
  <c r="I285" i="11" s="1"/>
  <c r="I281" i="11" a="1"/>
  <c r="I281" i="11" s="1"/>
  <c r="I277" i="11" a="1"/>
  <c r="I277" i="11" s="1"/>
  <c r="I273" i="11" a="1"/>
  <c r="I273" i="11" s="1"/>
  <c r="I269" i="11" a="1"/>
  <c r="I269" i="11" s="1"/>
  <c r="I265" i="11" a="1"/>
  <c r="I265" i="11" s="1"/>
  <c r="I261" i="11" a="1"/>
  <c r="I261" i="11" s="1"/>
  <c r="I257" i="11" a="1"/>
  <c r="I257" i="11" s="1"/>
  <c r="I253" i="11" a="1"/>
  <c r="I253" i="11" s="1"/>
  <c r="I249" i="11" a="1"/>
  <c r="I249" i="11" s="1"/>
  <c r="I245" i="11" a="1"/>
  <c r="I245" i="11" s="1"/>
  <c r="I241" i="11" a="1"/>
  <c r="I241" i="11" s="1"/>
  <c r="I237" i="11" a="1"/>
  <c r="I237" i="11" s="1"/>
  <c r="I233" i="11" a="1"/>
  <c r="I233" i="11" s="1"/>
  <c r="I229" i="11" a="1"/>
  <c r="I229" i="11" s="1"/>
  <c r="I225" i="11" a="1"/>
  <c r="I225" i="11" s="1"/>
  <c r="I221" i="11" a="1"/>
  <c r="I221" i="11" s="1"/>
  <c r="I217" i="11" a="1"/>
  <c r="I217" i="11" s="1"/>
  <c r="I213" i="11" a="1"/>
  <c r="I213" i="11" s="1"/>
  <c r="I209" i="11" a="1"/>
  <c r="I209" i="11" s="1"/>
  <c r="I205" i="11" a="1"/>
  <c r="I205" i="11" s="1"/>
  <c r="I201" i="11" a="1"/>
  <c r="I201" i="11" s="1"/>
  <c r="I197" i="11" a="1"/>
  <c r="I197" i="11" s="1"/>
  <c r="I19" i="11" a="1"/>
  <c r="I19" i="11" s="1"/>
  <c r="P3" i="4" s="1"/>
  <c r="I488" i="11" a="1"/>
  <c r="I488" i="11" s="1"/>
  <c r="I486" i="11" a="1"/>
  <c r="I486" i="11" s="1"/>
  <c r="I484" i="11" a="1"/>
  <c r="I484" i="11" s="1"/>
  <c r="I482" i="11" a="1"/>
  <c r="I482" i="11" s="1"/>
  <c r="I480" i="11" a="1"/>
  <c r="I480" i="11" s="1"/>
  <c r="I478" i="11" a="1"/>
  <c r="I478" i="11" s="1"/>
  <c r="I476" i="11" a="1"/>
  <c r="I476" i="11" s="1"/>
  <c r="I474" i="11" a="1"/>
  <c r="I474" i="11" s="1"/>
  <c r="I113" i="11" a="1"/>
  <c r="I113" i="11" s="1"/>
  <c r="I477" i="11" a="1"/>
  <c r="I477" i="11" s="1"/>
  <c r="I475" i="11" a="1"/>
  <c r="I475" i="11" s="1"/>
  <c r="M8" i="11"/>
  <c r="M7" i="11"/>
  <c r="M66" i="11" l="1"/>
  <c r="M50" i="11"/>
  <c r="M34" i="11"/>
  <c r="M54" i="11"/>
  <c r="M38" i="11"/>
  <c r="M22" i="11"/>
  <c r="M60" i="11"/>
  <c r="M52" i="11"/>
  <c r="M44" i="11"/>
  <c r="M36" i="11"/>
  <c r="M28" i="11"/>
  <c r="M20" i="11"/>
  <c r="M139" i="11"/>
  <c r="M135" i="11"/>
  <c r="M131" i="11"/>
  <c r="M127" i="11"/>
  <c r="M123" i="11"/>
  <c r="M119" i="11"/>
  <c r="M115" i="11"/>
  <c r="M111" i="11"/>
  <c r="M107" i="11"/>
  <c r="M103" i="11"/>
  <c r="M99" i="11"/>
  <c r="M95" i="11"/>
  <c r="M91" i="11"/>
  <c r="M87" i="11"/>
  <c r="M83" i="11"/>
  <c r="M79" i="11"/>
  <c r="M75" i="11"/>
  <c r="M71" i="11"/>
  <c r="M67" i="11"/>
  <c r="M63" i="11"/>
  <c r="M47" i="11"/>
  <c r="M27" i="11"/>
  <c r="M19" i="11"/>
  <c r="M106" i="11"/>
  <c r="M90" i="11"/>
  <c r="M74" i="11"/>
  <c r="M102" i="11"/>
  <c r="M86" i="11"/>
  <c r="M70" i="11"/>
  <c r="M104" i="11"/>
  <c r="M96" i="11"/>
  <c r="M88" i="11"/>
  <c r="M80" i="11"/>
  <c r="M72" i="11"/>
  <c r="M59" i="11"/>
  <c r="M51" i="11"/>
  <c r="M43" i="11"/>
  <c r="M35" i="11"/>
  <c r="M31" i="11"/>
  <c r="M23" i="11"/>
  <c r="M65" i="11"/>
  <c r="M61" i="11"/>
  <c r="M57" i="11"/>
  <c r="M53" i="11"/>
  <c r="M49" i="11"/>
  <c r="M45" i="11"/>
  <c r="M41" i="11"/>
  <c r="M37" i="11"/>
  <c r="M33" i="11"/>
  <c r="M29" i="11"/>
  <c r="M25" i="11"/>
  <c r="M21" i="11"/>
  <c r="C7" i="11"/>
  <c r="C11" i="11"/>
  <c r="C13" i="11"/>
  <c r="C12" i="11"/>
  <c r="C8" i="11"/>
  <c r="C10" i="11"/>
  <c r="C14" i="11"/>
  <c r="C9" i="11"/>
  <c r="M11" i="11"/>
  <c r="O8" i="11" l="1"/>
  <c r="O7" i="11"/>
  <c r="T69" i="8" l="1"/>
  <c r="Q69" i="8"/>
  <c r="N69" i="8"/>
  <c r="K69" i="8"/>
  <c r="H69" i="8"/>
  <c r="T53" i="8"/>
  <c r="T55" i="8" s="1"/>
  <c r="H53" i="8"/>
  <c r="H55" i="8" s="1"/>
  <c r="H72" i="8" s="1"/>
  <c r="H74" i="8" s="1"/>
  <c r="N53" i="8"/>
  <c r="N55" i="8" s="1"/>
  <c r="Q53" i="8"/>
  <c r="Q55" i="8" s="1"/>
  <c r="N72" i="8" l="1"/>
  <c r="N74" i="8" s="1"/>
  <c r="K53" i="8"/>
  <c r="K55" i="8" s="1"/>
  <c r="Q72" i="8"/>
  <c r="Q74" i="8" s="1"/>
  <c r="T72" i="8"/>
  <c r="T74" i="8" s="1"/>
  <c r="F6" i="2"/>
  <c r="F5" i="2"/>
  <c r="F4" i="2"/>
  <c r="F3" i="2"/>
  <c r="F2" i="2"/>
  <c r="K72" i="8" l="1"/>
  <c r="K74" i="8" s="1"/>
  <c r="O6" i="11" l="1"/>
  <c r="O11" i="11" s="1"/>
  <c r="C15" i="11"/>
  <c r="H19" i="11" l="1"/>
  <c r="L6" i="11"/>
  <c r="N19" i="11"/>
  <c r="N20" i="11"/>
  <c r="P20" i="11" s="1"/>
  <c r="N27" i="11"/>
  <c r="H288" i="11"/>
  <c r="H356" i="11"/>
  <c r="H61" i="11"/>
  <c r="H492" i="11"/>
  <c r="H392" i="11"/>
  <c r="H264" i="11"/>
  <c r="H141" i="11"/>
  <c r="H455" i="11"/>
  <c r="H319" i="11"/>
  <c r="H186" i="11"/>
  <c r="H46" i="11"/>
  <c r="H450" i="11"/>
  <c r="H274" i="11"/>
  <c r="H227" i="11"/>
  <c r="H372" i="11"/>
  <c r="H137" i="11"/>
  <c r="H355" i="11"/>
  <c r="H444" i="11"/>
  <c r="H316" i="11"/>
  <c r="H191" i="11"/>
  <c r="H53" i="11"/>
  <c r="H379" i="11"/>
  <c r="H485" i="11"/>
  <c r="H352" i="11"/>
  <c r="H521" i="11"/>
  <c r="H67" i="11"/>
  <c r="H228" i="11"/>
  <c r="H371" i="11"/>
  <c r="H456" i="11"/>
  <c r="H328" i="11"/>
  <c r="H200" i="11"/>
  <c r="H65" i="11"/>
  <c r="H391" i="11"/>
  <c r="H255" i="11"/>
  <c r="H122" i="11"/>
  <c r="H519" i="11"/>
  <c r="H386" i="11"/>
  <c r="H75" i="11"/>
  <c r="H468" i="11"/>
  <c r="H260" i="11"/>
  <c r="H29" i="11"/>
  <c r="H513" i="11"/>
  <c r="H380" i="11"/>
  <c r="H252" i="11"/>
  <c r="H129" i="11"/>
  <c r="H443" i="11"/>
  <c r="H516" i="11"/>
  <c r="H416" i="11"/>
  <c r="N23" i="11"/>
  <c r="P23" i="11" s="1"/>
  <c r="N114" i="11"/>
  <c r="P114" i="11" s="1"/>
  <c r="N21" i="11"/>
  <c r="P21" i="11" s="1"/>
  <c r="N93" i="11"/>
  <c r="P93" i="11" s="1"/>
  <c r="N122" i="11"/>
  <c r="P122" i="11" s="1"/>
  <c r="N77" i="11"/>
  <c r="P77" i="11" s="1"/>
  <c r="N68" i="11"/>
  <c r="P68" i="11" s="1"/>
  <c r="N90" i="11"/>
  <c r="P90" i="11" s="1"/>
  <c r="N54" i="11"/>
  <c r="P54" i="11" s="1"/>
  <c r="N31" i="11"/>
  <c r="P31" i="11" s="1"/>
  <c r="N63" i="11"/>
  <c r="P63" i="11" s="1"/>
  <c r="N49" i="11"/>
  <c r="P49" i="11" s="1"/>
  <c r="N85" i="11"/>
  <c r="P85" i="11" s="1"/>
  <c r="N106" i="11"/>
  <c r="P106" i="11" s="1"/>
  <c r="N138" i="11"/>
  <c r="P138" i="11" s="1"/>
  <c r="N69" i="11"/>
  <c r="P69" i="11" s="1"/>
  <c r="N64" i="11"/>
  <c r="P64" i="11" s="1"/>
  <c r="N39" i="11"/>
  <c r="P39" i="11" s="1"/>
  <c r="N142" i="11"/>
  <c r="P142" i="11" s="1"/>
  <c r="N25" i="11"/>
  <c r="P25" i="11" s="1"/>
  <c r="N120" i="11"/>
  <c r="P120" i="11" s="1"/>
  <c r="N35" i="11"/>
  <c r="P35" i="11" s="1"/>
  <c r="N131" i="11"/>
  <c r="P131" i="11" s="1"/>
  <c r="N103" i="11"/>
  <c r="P103" i="11" s="1"/>
  <c r="N128" i="11"/>
  <c r="P128" i="11" s="1"/>
  <c r="N111" i="11"/>
  <c r="P111" i="11" s="1"/>
  <c r="N32" i="11"/>
  <c r="P32" i="11" s="1"/>
  <c r="N58" i="11"/>
  <c r="P58" i="11" s="1"/>
  <c r="N48" i="11"/>
  <c r="P48" i="11" s="1"/>
  <c r="N65" i="11"/>
  <c r="P65" i="11" s="1"/>
  <c r="N50" i="11"/>
  <c r="P50" i="11" s="1"/>
  <c r="N76" i="11"/>
  <c r="P76" i="11" s="1"/>
  <c r="N66" i="11"/>
  <c r="P66" i="11" s="1"/>
  <c r="N97" i="11"/>
  <c r="P97" i="11" s="1"/>
  <c r="N104" i="11"/>
  <c r="P104" i="11" s="1"/>
  <c r="N87" i="11"/>
  <c r="P87" i="11" s="1"/>
  <c r="N98" i="11"/>
  <c r="P98" i="11" s="1"/>
  <c r="N108" i="11"/>
  <c r="P108" i="11" s="1"/>
  <c r="N136" i="11"/>
  <c r="P136" i="11" s="1"/>
  <c r="N61" i="11"/>
  <c r="P61" i="11" s="1"/>
  <c r="D6" i="11"/>
  <c r="N28" i="11"/>
  <c r="P28" i="11" s="1"/>
  <c r="N24" i="11"/>
  <c r="P24" i="11" s="1"/>
  <c r="N43" i="11"/>
  <c r="P43" i="11" s="1"/>
  <c r="N34" i="11"/>
  <c r="P34" i="11" s="1"/>
  <c r="N60" i="11"/>
  <c r="P60" i="11" s="1"/>
  <c r="N88" i="11"/>
  <c r="P88" i="11" s="1"/>
  <c r="N86" i="11"/>
  <c r="P86" i="11" s="1"/>
  <c r="N91" i="11"/>
  <c r="P91" i="11" s="1"/>
  <c r="N89" i="11"/>
  <c r="P89" i="11" s="1"/>
  <c r="N101" i="11"/>
  <c r="P101" i="11" s="1"/>
  <c r="N126" i="11"/>
  <c r="P126" i="11" s="1"/>
  <c r="N117" i="11"/>
  <c r="P117" i="11" s="1"/>
  <c r="N110" i="11"/>
  <c r="P110" i="11" s="1"/>
  <c r="N30" i="11"/>
  <c r="P30" i="11" s="1"/>
  <c r="N125" i="11"/>
  <c r="P125" i="11" s="1"/>
  <c r="N40" i="11"/>
  <c r="P40" i="11" s="1"/>
  <c r="N139" i="11"/>
  <c r="P139" i="11" s="1"/>
  <c r="N115" i="11"/>
  <c r="P115" i="11" s="1"/>
  <c r="N26" i="11"/>
  <c r="P26" i="11" s="1"/>
  <c r="N127" i="11"/>
  <c r="P127" i="11" s="1"/>
  <c r="N22" i="11"/>
  <c r="P22" i="11" s="1"/>
  <c r="N118" i="11"/>
  <c r="P118" i="11" s="1"/>
  <c r="N42" i="11"/>
  <c r="P42" i="11" s="1"/>
  <c r="N140" i="11"/>
  <c r="P140" i="11" s="1"/>
  <c r="N59" i="11"/>
  <c r="P59" i="11" s="1"/>
  <c r="N41" i="11"/>
  <c r="P41" i="11" s="1"/>
  <c r="N67" i="11"/>
  <c r="P67" i="11" s="1"/>
  <c r="N112" i="11"/>
  <c r="P112" i="11" s="1"/>
  <c r="N119" i="11"/>
  <c r="P119" i="11" s="1"/>
  <c r="N141" i="11"/>
  <c r="P141" i="11" s="1"/>
  <c r="N129" i="11"/>
  <c r="P129" i="11" s="1"/>
  <c r="N45" i="11"/>
  <c r="P45" i="11" s="1"/>
  <c r="D12" i="11"/>
  <c r="H7" i="11" s="1"/>
  <c r="N80" i="11"/>
  <c r="P80" i="11" s="1"/>
  <c r="N123" i="11"/>
  <c r="P123" i="11" s="1"/>
  <c r="N37" i="11"/>
  <c r="P37" i="11" s="1"/>
  <c r="N133" i="11"/>
  <c r="P133" i="11" s="1"/>
  <c r="N46" i="11"/>
  <c r="P46" i="11" s="1"/>
  <c r="N74" i="11"/>
  <c r="P74" i="11" s="1"/>
  <c r="N57" i="11"/>
  <c r="P57" i="11" s="1"/>
  <c r="N62" i="11"/>
  <c r="P62" i="11" s="1"/>
  <c r="N52" i="11"/>
  <c r="P52" i="11" s="1"/>
  <c r="N84" i="11"/>
  <c r="P84" i="11" s="1"/>
  <c r="N81" i="11"/>
  <c r="P81" i="11" s="1"/>
  <c r="N94" i="11"/>
  <c r="P94" i="11" s="1"/>
  <c r="N71" i="11"/>
  <c r="P71" i="11" s="1"/>
  <c r="N53" i="11"/>
  <c r="P53" i="11" s="1"/>
  <c r="N78" i="11"/>
  <c r="P78" i="11" s="1"/>
  <c r="N83" i="11"/>
  <c r="P83" i="11" s="1"/>
  <c r="N75" i="11"/>
  <c r="P75" i="11" s="1"/>
  <c r="N72" i="11"/>
  <c r="P72" i="11" s="1"/>
  <c r="N96" i="11"/>
  <c r="P96" i="11" s="1"/>
  <c r="N102" i="11"/>
  <c r="P102" i="11" s="1"/>
  <c r="N107" i="11"/>
  <c r="P107" i="11" s="1"/>
  <c r="N134" i="11"/>
  <c r="P134" i="11" s="1"/>
  <c r="N113" i="11"/>
  <c r="P113" i="11" s="1"/>
  <c r="N137" i="11"/>
  <c r="P137" i="11" s="1"/>
  <c r="N70" i="11"/>
  <c r="P70" i="11" s="1"/>
  <c r="D7" i="11"/>
  <c r="D9" i="11"/>
  <c r="L8" i="11"/>
  <c r="N8" i="11" s="1"/>
  <c r="D13" i="11"/>
  <c r="H8" i="11" s="1"/>
  <c r="N100" i="11"/>
  <c r="P100" i="11" s="1"/>
  <c r="N109" i="11"/>
  <c r="P109" i="11" s="1"/>
  <c r="L7" i="11"/>
  <c r="N7" i="11" s="1"/>
  <c r="D8" i="11"/>
  <c r="N47" i="11"/>
  <c r="P47" i="11" s="1"/>
  <c r="N44" i="11"/>
  <c r="P44" i="11" s="1"/>
  <c r="N36" i="11"/>
  <c r="P36" i="11" s="1"/>
  <c r="N73" i="11"/>
  <c r="P73" i="11" s="1"/>
  <c r="N55" i="11"/>
  <c r="P55" i="11" s="1"/>
  <c r="N82" i="11"/>
  <c r="P82" i="11" s="1"/>
  <c r="N79" i="11"/>
  <c r="P79" i="11" s="1"/>
  <c r="N92" i="11"/>
  <c r="P92" i="11" s="1"/>
  <c r="N95" i="11"/>
  <c r="P95" i="11" s="1"/>
  <c r="N105" i="11"/>
  <c r="P105" i="11" s="1"/>
  <c r="N130" i="11"/>
  <c r="P130" i="11" s="1"/>
  <c r="H107" i="11"/>
  <c r="H52" i="11"/>
  <c r="H197" i="11"/>
  <c r="H325" i="11"/>
  <c r="H453" i="11"/>
  <c r="H139" i="11"/>
  <c r="H72" i="11"/>
  <c r="H217" i="11"/>
  <c r="H345" i="11"/>
  <c r="H473" i="11"/>
  <c r="H115" i="11"/>
  <c r="H44" i="11"/>
  <c r="H184" i="11"/>
  <c r="H317" i="11"/>
  <c r="H445" i="11"/>
  <c r="H131" i="11"/>
  <c r="H64" i="11"/>
  <c r="K64" i="11" s="1"/>
  <c r="H209" i="11"/>
  <c r="H337" i="11"/>
  <c r="H465" i="11"/>
  <c r="H202" i="11"/>
  <c r="H270" i="11"/>
  <c r="H334" i="11"/>
  <c r="H398" i="11"/>
  <c r="H462" i="11"/>
  <c r="H498" i="11"/>
  <c r="H58" i="11"/>
  <c r="H134" i="11"/>
  <c r="H203" i="11"/>
  <c r="H267" i="11"/>
  <c r="H27" i="11"/>
  <c r="K27" i="11" s="1"/>
  <c r="H167" i="11"/>
  <c r="H250" i="11"/>
  <c r="H314" i="11"/>
  <c r="H484" i="11"/>
  <c r="H106" i="11"/>
  <c r="H100" i="11"/>
  <c r="H245" i="11"/>
  <c r="H373" i="11"/>
  <c r="H47" i="11"/>
  <c r="K47" i="11" s="1"/>
  <c r="H187" i="11"/>
  <c r="H132" i="11"/>
  <c r="H265" i="11"/>
  <c r="H393" i="11"/>
  <c r="D14" i="11"/>
  <c r="H114" i="11"/>
  <c r="H92" i="11"/>
  <c r="H237" i="11"/>
  <c r="H365" i="11"/>
  <c r="H39" i="11"/>
  <c r="K39" i="11" s="1"/>
  <c r="H179" i="11"/>
  <c r="H124" i="11"/>
  <c r="H257" i="11"/>
  <c r="H449" i="11"/>
  <c r="H262" i="11"/>
  <c r="H390" i="11"/>
  <c r="H490" i="11"/>
  <c r="H126" i="11"/>
  <c r="H43" i="11"/>
  <c r="D11" i="11"/>
  <c r="H105" i="11"/>
  <c r="H84" i="11"/>
  <c r="H229" i="11"/>
  <c r="H357" i="11"/>
  <c r="H31" i="11"/>
  <c r="H171" i="11"/>
  <c r="H104" i="11"/>
  <c r="H249" i="11"/>
  <c r="H377" i="11"/>
  <c r="H83" i="11"/>
  <c r="H113" i="11"/>
  <c r="H76" i="11"/>
  <c r="H221" i="11"/>
  <c r="H349" i="11"/>
  <c r="H23" i="11"/>
  <c r="K23" i="11" s="1"/>
  <c r="H163" i="11"/>
  <c r="H96" i="11"/>
  <c r="H241" i="11"/>
  <c r="H369" i="11"/>
  <c r="H99" i="11"/>
  <c r="H222" i="11"/>
  <c r="H286" i="11"/>
  <c r="H350" i="11"/>
  <c r="H414" i="11"/>
  <c r="H483" i="11"/>
  <c r="H514" i="11"/>
  <c r="H74" i="11"/>
  <c r="H150" i="11"/>
  <c r="H219" i="11"/>
  <c r="H283" i="11"/>
  <c r="H59" i="11"/>
  <c r="H194" i="11"/>
  <c r="H266" i="11"/>
  <c r="H330" i="11"/>
  <c r="H110" i="11"/>
  <c r="H108" i="11"/>
  <c r="H144" i="11"/>
  <c r="H277" i="11"/>
  <c r="H405" i="11"/>
  <c r="H79" i="11"/>
  <c r="H24" i="11"/>
  <c r="K24" i="11" s="1"/>
  <c r="H164" i="11"/>
  <c r="H297" i="11"/>
  <c r="N51" i="11"/>
  <c r="P51" i="11" s="1"/>
  <c r="L9" i="11"/>
  <c r="N9" i="11" s="1"/>
  <c r="N121" i="11"/>
  <c r="P121" i="11" s="1"/>
  <c r="N56" i="11"/>
  <c r="P56" i="11" s="1"/>
  <c r="N99" i="11"/>
  <c r="P99" i="11" s="1"/>
  <c r="N132" i="11"/>
  <c r="P132" i="11" s="1"/>
  <c r="N116" i="11"/>
  <c r="P116" i="11" s="1"/>
  <c r="N29" i="11"/>
  <c r="P29" i="11" s="1"/>
  <c r="N124" i="11"/>
  <c r="P124" i="11" s="1"/>
  <c r="N38" i="11"/>
  <c r="P38" i="11" s="1"/>
  <c r="N135" i="11"/>
  <c r="P135" i="11" s="1"/>
  <c r="N33" i="11"/>
  <c r="P33" i="11" s="1"/>
  <c r="H109" i="11"/>
  <c r="H474" i="11"/>
  <c r="H128" i="11"/>
  <c r="H261" i="11"/>
  <c r="H389" i="11"/>
  <c r="H63" i="11"/>
  <c r="K63" i="11" s="1"/>
  <c r="H198" i="11"/>
  <c r="H148" i="11"/>
  <c r="H281" i="11"/>
  <c r="H409" i="11"/>
  <c r="H476" i="11"/>
  <c r="H482" i="11"/>
  <c r="H120" i="11"/>
  <c r="H253" i="11"/>
  <c r="H381" i="11"/>
  <c r="H55" i="11"/>
  <c r="H192" i="11"/>
  <c r="H140" i="11"/>
  <c r="H273" i="11"/>
  <c r="H401" i="11"/>
  <c r="H143" i="11"/>
  <c r="H238" i="11"/>
  <c r="H302" i="11"/>
  <c r="H366" i="11"/>
  <c r="H430" i="11"/>
  <c r="H499" i="11"/>
  <c r="H26" i="11"/>
  <c r="K26" i="11" s="1"/>
  <c r="H90" i="11"/>
  <c r="H166" i="11"/>
  <c r="H235" i="11"/>
  <c r="H299" i="11"/>
  <c r="H91" i="11"/>
  <c r="H218" i="11"/>
  <c r="H282" i="11"/>
  <c r="H346" i="11"/>
  <c r="H112" i="11"/>
  <c r="H36" i="11"/>
  <c r="K36" i="11" s="1"/>
  <c r="H176" i="11"/>
  <c r="H309" i="11"/>
  <c r="H437" i="11"/>
  <c r="H123" i="11"/>
  <c r="H56" i="11"/>
  <c r="K56" i="11" s="1"/>
  <c r="H201" i="11"/>
  <c r="H329" i="11"/>
  <c r="H457" i="11"/>
  <c r="H477" i="11"/>
  <c r="H28" i="11"/>
  <c r="K28" i="11" s="1"/>
  <c r="H168" i="11"/>
  <c r="H301" i="11"/>
  <c r="H429" i="11"/>
  <c r="H103" i="11"/>
  <c r="H48" i="11"/>
  <c r="K48" i="11" s="1"/>
  <c r="H188" i="11"/>
  <c r="H321" i="11"/>
  <c r="H190" i="11"/>
  <c r="H326" i="11"/>
  <c r="H454" i="11"/>
  <c r="H50" i="11"/>
  <c r="K50" i="11" s="1"/>
  <c r="H211" i="11"/>
  <c r="H258" i="11"/>
  <c r="H478" i="11"/>
  <c r="H20" i="11"/>
  <c r="H160" i="11"/>
  <c r="H293" i="11"/>
  <c r="H421" i="11"/>
  <c r="H95" i="11"/>
  <c r="H40" i="11"/>
  <c r="H180" i="11"/>
  <c r="H313" i="11"/>
  <c r="H441" i="11"/>
  <c r="H486" i="11"/>
  <c r="H111" i="11"/>
  <c r="H152" i="11"/>
  <c r="H285" i="11"/>
  <c r="H413" i="11"/>
  <c r="H87" i="11"/>
  <c r="H32" i="11"/>
  <c r="H172" i="11"/>
  <c r="H305" i="11"/>
  <c r="H433" i="11"/>
  <c r="H175" i="11"/>
  <c r="H254" i="11"/>
  <c r="H318" i="11"/>
  <c r="H382" i="11"/>
  <c r="H446" i="11"/>
  <c r="H515" i="11"/>
  <c r="H42" i="11"/>
  <c r="K42" i="11" s="1"/>
  <c r="H118" i="11"/>
  <c r="H182" i="11"/>
  <c r="H251" i="11"/>
  <c r="H315" i="11"/>
  <c r="H135" i="11"/>
  <c r="H234" i="11"/>
  <c r="H298" i="11"/>
  <c r="H362" i="11"/>
  <c r="H480" i="11"/>
  <c r="H68" i="11"/>
  <c r="H213" i="11"/>
  <c r="H341" i="11"/>
  <c r="H469" i="11"/>
  <c r="H155" i="11"/>
  <c r="H88" i="11"/>
  <c r="H233" i="11"/>
  <c r="H361" i="11"/>
  <c r="H51" i="11"/>
  <c r="K51" i="11" s="1"/>
  <c r="H488" i="11"/>
  <c r="H60" i="11"/>
  <c r="K60" i="11" s="1"/>
  <c r="H205" i="11"/>
  <c r="H333" i="11"/>
  <c r="H461" i="11"/>
  <c r="H147" i="11"/>
  <c r="H80" i="11"/>
  <c r="H225" i="11"/>
  <c r="H385" i="11"/>
  <c r="H230" i="11"/>
  <c r="H358" i="11"/>
  <c r="H491" i="11"/>
  <c r="H82" i="11"/>
  <c r="H275" i="11"/>
  <c r="H353" i="11"/>
  <c r="H35" i="11"/>
  <c r="K35" i="11" s="1"/>
  <c r="H214" i="11"/>
  <c r="H278" i="11"/>
  <c r="H342" i="11"/>
  <c r="H406" i="11"/>
  <c r="H470" i="11"/>
  <c r="H506" i="11"/>
  <c r="H66" i="11"/>
  <c r="K66" i="11" s="1"/>
  <c r="H142" i="11"/>
  <c r="H436" i="11"/>
  <c r="H292" i="11"/>
  <c r="H153" i="11"/>
  <c r="H435" i="11"/>
  <c r="H323" i="11"/>
  <c r="H493" i="11"/>
  <c r="H424" i="11"/>
  <c r="H360" i="11"/>
  <c r="H296" i="11"/>
  <c r="H232" i="11"/>
  <c r="H173" i="11"/>
  <c r="H97" i="11"/>
  <c r="H33" i="11"/>
  <c r="K33" i="11" s="1"/>
  <c r="H423" i="11"/>
  <c r="H359" i="11"/>
  <c r="H287" i="11"/>
  <c r="H223" i="11"/>
  <c r="H154" i="11"/>
  <c r="H78" i="11"/>
  <c r="H518" i="11"/>
  <c r="H487" i="11"/>
  <c r="H418" i="11"/>
  <c r="H338" i="11"/>
  <c r="H210" i="11"/>
  <c r="H291" i="11"/>
  <c r="H504" i="11"/>
  <c r="H420" i="11"/>
  <c r="H308" i="11"/>
  <c r="H185" i="11"/>
  <c r="H77" i="11"/>
  <c r="H419" i="11"/>
  <c r="H512" i="11"/>
  <c r="H481" i="11"/>
  <c r="H412" i="11"/>
  <c r="H348" i="11"/>
  <c r="H284" i="11"/>
  <c r="H220" i="11"/>
  <c r="H161" i="11"/>
  <c r="H85" i="11"/>
  <c r="H21" i="11"/>
  <c r="H411" i="11"/>
  <c r="H347" i="11"/>
  <c r="H517" i="11"/>
  <c r="H448" i="11"/>
  <c r="H384" i="11"/>
  <c r="H320" i="11"/>
  <c r="H256" i="11"/>
  <c r="H193" i="11"/>
  <c r="H133" i="11"/>
  <c r="H57" i="11"/>
  <c r="H447" i="11"/>
  <c r="H383" i="11"/>
  <c r="H311" i="11"/>
  <c r="H247" i="11"/>
  <c r="H178" i="11"/>
  <c r="H102" i="11"/>
  <c r="H38" i="11"/>
  <c r="K38" i="11" s="1"/>
  <c r="H511" i="11"/>
  <c r="H442" i="11"/>
  <c r="H378" i="11"/>
  <c r="H520" i="11"/>
  <c r="H404" i="11"/>
  <c r="H244" i="11"/>
  <c r="H121" i="11"/>
  <c r="H403" i="11"/>
  <c r="H508" i="11"/>
  <c r="H472" i="11"/>
  <c r="H408" i="11"/>
  <c r="H344" i="11"/>
  <c r="H280" i="11"/>
  <c r="H216" i="11"/>
  <c r="H157" i="11"/>
  <c r="H81" i="11"/>
  <c r="H471" i="11"/>
  <c r="H407" i="11"/>
  <c r="H343" i="11"/>
  <c r="H271" i="11"/>
  <c r="H207" i="11"/>
  <c r="H138" i="11"/>
  <c r="H62" i="11"/>
  <c r="K62" i="11" s="1"/>
  <c r="H502" i="11"/>
  <c r="H466" i="11"/>
  <c r="H402" i="11"/>
  <c r="H306" i="11"/>
  <c r="H151" i="11"/>
  <c r="H259" i="11"/>
  <c r="H505" i="11"/>
  <c r="H388" i="11"/>
  <c r="H276" i="11"/>
  <c r="H169" i="11"/>
  <c r="H45" i="11"/>
  <c r="K45" i="11" s="1"/>
  <c r="H387" i="11"/>
  <c r="H496" i="11"/>
  <c r="H460" i="11"/>
  <c r="H396" i="11"/>
  <c r="H332" i="11"/>
  <c r="H268" i="11"/>
  <c r="H204" i="11"/>
  <c r="H145" i="11"/>
  <c r="H69" i="11"/>
  <c r="H459" i="11"/>
  <c r="H395" i="11"/>
  <c r="H331" i="11"/>
  <c r="H501" i="11"/>
  <c r="H432" i="11"/>
  <c r="H368" i="11"/>
  <c r="H304" i="11"/>
  <c r="H240" i="11"/>
  <c r="H181" i="11"/>
  <c r="H117" i="11"/>
  <c r="H41" i="11"/>
  <c r="K41" i="11" s="1"/>
  <c r="H431" i="11"/>
  <c r="H367" i="11"/>
  <c r="H295" i="11"/>
  <c r="H231" i="11"/>
  <c r="H162" i="11"/>
  <c r="H86" i="11"/>
  <c r="H22" i="11"/>
  <c r="K22" i="11" s="1"/>
  <c r="H495" i="11"/>
  <c r="H426" i="11"/>
  <c r="H354" i="11"/>
  <c r="H226" i="11"/>
  <c r="H307" i="11"/>
  <c r="H174" i="11"/>
  <c r="H34" i="11"/>
  <c r="K34" i="11" s="1"/>
  <c r="H438" i="11"/>
  <c r="H310" i="11"/>
  <c r="H159" i="11"/>
  <c r="H183" i="11"/>
  <c r="H522" i="11"/>
  <c r="H294" i="11"/>
  <c r="H289" i="11"/>
  <c r="H206" i="11"/>
  <c r="H397" i="11"/>
  <c r="H136" i="11"/>
  <c r="H475" i="11"/>
  <c r="P9" i="11"/>
  <c r="P7" i="11"/>
  <c r="P8" i="11"/>
  <c r="H224" i="11"/>
  <c r="H165" i="11"/>
  <c r="H89" i="11"/>
  <c r="H25" i="11"/>
  <c r="H415" i="11"/>
  <c r="H351" i="11"/>
  <c r="H279" i="11"/>
  <c r="H215" i="11"/>
  <c r="H146" i="11"/>
  <c r="H70" i="11"/>
  <c r="H510" i="11"/>
  <c r="H479" i="11"/>
  <c r="H410" i="11"/>
  <c r="H322" i="11"/>
  <c r="H489" i="11"/>
  <c r="H324" i="11"/>
  <c r="H196" i="11"/>
  <c r="H467" i="11"/>
  <c r="H339" i="11"/>
  <c r="H509" i="11"/>
  <c r="H440" i="11"/>
  <c r="H376" i="11"/>
  <c r="H312" i="11"/>
  <c r="H248" i="11"/>
  <c r="H189" i="11"/>
  <c r="H125" i="11"/>
  <c r="H49" i="11"/>
  <c r="K49" i="11" s="1"/>
  <c r="H439" i="11"/>
  <c r="H375" i="11"/>
  <c r="H303" i="11"/>
  <c r="H239" i="11"/>
  <c r="H170" i="11"/>
  <c r="H94" i="11"/>
  <c r="H30" i="11"/>
  <c r="K30" i="11" s="1"/>
  <c r="H503" i="11"/>
  <c r="H434" i="11"/>
  <c r="H370" i="11"/>
  <c r="H242" i="11"/>
  <c r="H327" i="11"/>
  <c r="H195" i="11"/>
  <c r="H452" i="11"/>
  <c r="H340" i="11"/>
  <c r="H212" i="11"/>
  <c r="H93" i="11"/>
  <c r="H451" i="11"/>
  <c r="D10" i="11"/>
  <c r="H497" i="11"/>
  <c r="H428" i="11"/>
  <c r="H364" i="11"/>
  <c r="H300" i="11"/>
  <c r="H236" i="11"/>
  <c r="H177" i="11"/>
  <c r="H101" i="11"/>
  <c r="H37" i="11"/>
  <c r="K37" i="11" s="1"/>
  <c r="H427" i="11"/>
  <c r="H363" i="11"/>
  <c r="H500" i="11"/>
  <c r="H464" i="11"/>
  <c r="H400" i="11"/>
  <c r="H336" i="11"/>
  <c r="H272" i="11"/>
  <c r="H208" i="11"/>
  <c r="H149" i="11"/>
  <c r="H73" i="11"/>
  <c r="H463" i="11"/>
  <c r="H399" i="11"/>
  <c r="H335" i="11"/>
  <c r="H263" i="11"/>
  <c r="H199" i="11"/>
  <c r="H130" i="11"/>
  <c r="H54" i="11"/>
  <c r="H494" i="11"/>
  <c r="H458" i="11"/>
  <c r="H394" i="11"/>
  <c r="H290" i="11"/>
  <c r="H119" i="11"/>
  <c r="H243" i="11"/>
  <c r="H98" i="11"/>
  <c r="H507" i="11"/>
  <c r="H374" i="11"/>
  <c r="H246" i="11"/>
  <c r="H417" i="11"/>
  <c r="H158" i="11"/>
  <c r="H422" i="11"/>
  <c r="H127" i="11"/>
  <c r="H156" i="11"/>
  <c r="H71" i="11"/>
  <c r="H269" i="11"/>
  <c r="H116" i="11"/>
  <c r="H425" i="11"/>
  <c r="P6" i="11"/>
  <c r="K19" i="11" l="1"/>
  <c r="P19" i="11"/>
  <c r="K25" i="11"/>
  <c r="K20" i="11"/>
  <c r="K55" i="11"/>
  <c r="K59" i="11"/>
  <c r="K31" i="11"/>
  <c r="K43" i="11"/>
  <c r="K58" i="11"/>
  <c r="K54" i="11"/>
  <c r="K57" i="11"/>
  <c r="K21" i="11"/>
  <c r="K32" i="11"/>
  <c r="K40" i="11"/>
  <c r="K44" i="11"/>
  <c r="K52" i="11"/>
  <c r="H5" i="11"/>
  <c r="K29" i="11"/>
  <c r="K53" i="11"/>
  <c r="K46" i="11"/>
  <c r="K61" i="11"/>
  <c r="K138" i="11"/>
  <c r="K126" i="11"/>
  <c r="K78" i="11"/>
  <c r="K128" i="11"/>
  <c r="K112" i="11"/>
  <c r="K84" i="11"/>
  <c r="K139" i="11"/>
  <c r="K131" i="11"/>
  <c r="K123" i="11"/>
  <c r="K115" i="11"/>
  <c r="K107" i="11"/>
  <c r="K99" i="11"/>
  <c r="K91" i="11"/>
  <c r="K83" i="11"/>
  <c r="K75" i="11"/>
  <c r="K130" i="11"/>
  <c r="K82" i="11"/>
  <c r="K134" i="11"/>
  <c r="K94" i="11"/>
  <c r="K140" i="11"/>
  <c r="K124" i="11"/>
  <c r="K108" i="11"/>
  <c r="K76" i="11"/>
  <c r="K137" i="11"/>
  <c r="K129" i="11"/>
  <c r="K121" i="11"/>
  <c r="K113" i="11"/>
  <c r="K105" i="11"/>
  <c r="K97" i="11"/>
  <c r="K89" i="11"/>
  <c r="K81" i="11"/>
  <c r="K73" i="11"/>
  <c r="K98" i="11"/>
  <c r="K142" i="11"/>
  <c r="K110" i="11"/>
  <c r="K122" i="11"/>
  <c r="K136" i="11"/>
  <c r="K120" i="11"/>
  <c r="K100" i="11"/>
  <c r="K68" i="11"/>
  <c r="K135" i="11"/>
  <c r="K127" i="11"/>
  <c r="K119" i="11"/>
  <c r="K111" i="11"/>
  <c r="K103" i="11"/>
  <c r="K95" i="11"/>
  <c r="K87" i="11"/>
  <c r="K79" i="11"/>
  <c r="K71" i="11"/>
  <c r="K114" i="11"/>
  <c r="K118" i="11"/>
  <c r="K132" i="11"/>
  <c r="K116" i="11"/>
  <c r="K92" i="11"/>
  <c r="K141" i="11"/>
  <c r="K133" i="11"/>
  <c r="K125" i="11"/>
  <c r="K117" i="11"/>
  <c r="K109" i="11"/>
  <c r="K101" i="11"/>
  <c r="K93" i="11"/>
  <c r="K85" i="11"/>
  <c r="K77" i="11"/>
  <c r="K69" i="11"/>
  <c r="K96" i="11"/>
  <c r="K102" i="11"/>
  <c r="K88" i="11"/>
  <c r="K86" i="11"/>
  <c r="K106" i="11"/>
  <c r="K72" i="11"/>
  <c r="K74" i="11"/>
  <c r="K80" i="11"/>
  <c r="K70" i="11"/>
  <c r="K90" i="11"/>
  <c r="K104" i="11"/>
  <c r="K65" i="11"/>
  <c r="K67" i="11"/>
  <c r="P27" i="11"/>
  <c r="H6" i="11"/>
  <c r="P11" i="11"/>
  <c r="D15" i="11"/>
  <c r="L11" i="11"/>
  <c r="N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<sst xmlns="http://schemas.openxmlformats.org/spreadsheetml/2006/main" count="6086" uniqueCount="1493">
  <si>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</si>
  <si>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</si>
  <si>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</si>
  <si>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</si>
  <si>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</si>
  <si>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</si>
  <si>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</si>
  <si>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</si>
  <si>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</si>
  <si>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</si>
  <si>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</si>
  <si>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</si>
  <si>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</si>
  <si>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</si>
  <si>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</si>
  <si>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</si>
  <si>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</si>
  <si>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</si>
  <si>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</si>
  <si>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</si>
  <si>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</si>
  <si>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</si>
  <si>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</si>
  <si>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</si>
  <si>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</si>
  <si>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</si>
  <si>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</si>
  <si>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</si>
  <si>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</si>
  <si>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</si>
  <si>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</si>
  <si>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</si>
  <si>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</si>
  <si>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</si>
  <si>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</si>
  <si>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</si>
  <si>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</si>
  <si>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</si>
  <si>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</si>
  <si>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</si>
  <si>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</si>
  <si>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</si>
  <si>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</si>
  <si>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</si>
  <si>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</si>
  <si>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</si>
  <si>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</si>
  <si>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</si>
  <si>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</si>
  <si>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EWBC</t>
  </si>
  <si>
    <t>F</t>
  </si>
  <si>
    <t>FANG</t>
  </si>
  <si>
    <t>FB</t>
  </si>
  <si>
    <t>GOOG</t>
  </si>
  <si>
    <t>GOOGL</t>
  </si>
  <si>
    <t>IQV</t>
  </si>
  <si>
    <t>ISRG</t>
  </si>
  <si>
    <t>IVZ</t>
  </si>
  <si>
    <t>JPM</t>
  </si>
  <si>
    <t>LIN</t>
  </si>
  <si>
    <t>LMT</t>
  </si>
  <si>
    <t>MA</t>
  </si>
  <si>
    <t>MDT</t>
  </si>
  <si>
    <t>MPC</t>
  </si>
  <si>
    <t>MSFT</t>
  </si>
  <si>
    <t>NDAQ</t>
  </si>
  <si>
    <t>NFLX</t>
  </si>
  <si>
    <t>NI</t>
  </si>
  <si>
    <t>NKE</t>
  </si>
  <si>
    <t>NVDA</t>
  </si>
  <si>
    <t>ORCL</t>
  </si>
  <si>
    <t>PANW</t>
  </si>
  <si>
    <t>PARA</t>
  </si>
  <si>
    <t>PEJ</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</si>
  <si>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</si>
  <si>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</si>
  <si>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</si>
  <si>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</si>
  <si>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</si>
  <si>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</si>
  <si>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</si>
  <si>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</si>
  <si>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</si>
  <si>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</si>
  <si>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</si>
  <si>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</si>
  <si>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</si>
  <si>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</si>
  <si>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</si>
  <si>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</si>
  <si>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</si>
  <si>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</si>
  <si>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</si>
  <si>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</si>
  <si>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</si>
  <si>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</si>
  <si>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</si>
  <si>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</si>
  <si>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</si>
  <si>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</si>
  <si>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</si>
  <si>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</si>
  <si>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</si>
  <si>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</si>
  <si>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</si>
  <si>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</si>
  <si>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</si>
  <si>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</si>
  <si>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</si>
  <si>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</si>
  <si>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</si>
  <si>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</si>
  <si>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</si>
  <si>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</si>
  <si>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Ticker</t>
  </si>
  <si>
    <t>ABT</t>
  </si>
  <si>
    <t>Health Care</t>
  </si>
  <si>
    <t>Materials</t>
  </si>
  <si>
    <t>Industrials</t>
  </si>
  <si>
    <t>IDXX</t>
  </si>
  <si>
    <t>SNPS</t>
  </si>
  <si>
    <t>ORLY</t>
  </si>
  <si>
    <t>PG</t>
  </si>
  <si>
    <t>Financials</t>
  </si>
  <si>
    <t>MRK</t>
  </si>
  <si>
    <t>Abbott Laboratories</t>
  </si>
  <si>
    <t>US ETF</t>
  </si>
  <si>
    <t>MMF</t>
  </si>
  <si>
    <t>US MF</t>
  </si>
  <si>
    <t>Bonds</t>
  </si>
  <si>
    <t>High Yield</t>
  </si>
  <si>
    <t>-</t>
  </si>
  <si>
    <t>Cash / FI</t>
  </si>
  <si>
    <t>International</t>
  </si>
  <si>
    <t>Emerging Market</t>
  </si>
  <si>
    <t>REIT</t>
  </si>
  <si>
    <t>Total Equity</t>
  </si>
  <si>
    <t>Name:</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</si>
  <si>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</si>
  <si>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</si>
  <si>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</si>
  <si>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</si>
  <si>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</si>
  <si>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</si>
  <si>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</si>
  <si>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</si>
  <si>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</si>
  <si>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</si>
  <si>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</si>
  <si>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</si>
  <si>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</si>
  <si>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</si>
  <si>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</si>
  <si>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</si>
  <si>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</si>
  <si>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</si>
  <si>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</si>
  <si>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</si>
  <si>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</si>
  <si>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</si>
  <si>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</si>
  <si>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</si>
  <si>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Multisector Bond</t>
  </si>
  <si>
    <t>Ultra Short Bond</t>
  </si>
  <si>
    <t>Intermediate Core Plus Bond</t>
  </si>
  <si>
    <t>Intermediate Core Bond</t>
  </si>
  <si>
    <t>HRL</t>
  </si>
  <si>
    <t>PSA</t>
  </si>
  <si>
    <t>DHR</t>
  </si>
  <si>
    <t>HUM</t>
  </si>
  <si>
    <t>BBWI</t>
  </si>
  <si>
    <t>Account Number:</t>
  </si>
  <si>
    <t>Detailed Breakdown</t>
  </si>
  <si>
    <t>Breakdown %</t>
  </si>
  <si>
    <t>Current Positions</t>
  </si>
  <si>
    <t>Buy &amp; Sell List</t>
  </si>
  <si>
    <t>Benchmark</t>
  </si>
  <si>
    <t>MMM</t>
  </si>
  <si>
    <t>AOS</t>
  </si>
  <si>
    <t>ABBV</t>
  </si>
  <si>
    <t>ABMD</t>
  </si>
  <si>
    <t>ACN</t>
  </si>
  <si>
    <t>ADM</t>
  </si>
  <si>
    <t>AAP</t>
  </si>
  <si>
    <t>AES</t>
  </si>
  <si>
    <t>AFL</t>
  </si>
  <si>
    <t>A</t>
  </si>
  <si>
    <t>APD</t>
  </si>
  <si>
    <t>AKAM</t>
  </si>
  <si>
    <t>ALB</t>
  </si>
  <si>
    <t>ALGN</t>
  </si>
  <si>
    <t>ALLE</t>
  </si>
  <si>
    <t>LNT</t>
  </si>
  <si>
    <t>ALL</t>
  </si>
  <si>
    <t>AMCR</t>
  </si>
  <si>
    <t>AEE</t>
  </si>
  <si>
    <t>AAL</t>
  </si>
  <si>
    <t>AEP</t>
  </si>
  <si>
    <t>AIG</t>
  </si>
  <si>
    <t>AMT</t>
  </si>
  <si>
    <t>3M</t>
  </si>
  <si>
    <t>A. O. Smith</t>
  </si>
  <si>
    <t>AbbVie</t>
  </si>
  <si>
    <t>Abiomed</t>
  </si>
  <si>
    <t>Accenture</t>
  </si>
  <si>
    <t>Activision Blizzard</t>
  </si>
  <si>
    <t>Adobe</t>
  </si>
  <si>
    <t>Advance Auto Parts</t>
  </si>
  <si>
    <t>Advanced Micro Devices</t>
  </si>
  <si>
    <t>AES Corp</t>
  </si>
  <si>
    <t>Aflac</t>
  </si>
  <si>
    <t>Agilent Technologies</t>
  </si>
  <si>
    <t>Air Products &amp; Chemicals</t>
  </si>
  <si>
    <t>Akamai Technologies</t>
  </si>
  <si>
    <t>Alaska Air Group</t>
  </si>
  <si>
    <t>Albemarle Corporation</t>
  </si>
  <si>
    <t>Alexandria Real Estate Equities</t>
  </si>
  <si>
    <t>Align Technology</t>
  </si>
  <si>
    <t>Allegion</t>
  </si>
  <si>
    <t>Alliant Energy</t>
  </si>
  <si>
    <t>Allstate Corp</t>
  </si>
  <si>
    <t>Alphabet (Class A)</t>
  </si>
  <si>
    <t>Alphabet (Class C)</t>
  </si>
  <si>
    <t>Altria Group</t>
  </si>
  <si>
    <t>Amazon</t>
  </si>
  <si>
    <t>Amcor</t>
  </si>
  <si>
    <t>Ameren Corp</t>
  </si>
  <si>
    <t>American Airlines Group</t>
  </si>
  <si>
    <t>American Electric Power</t>
  </si>
  <si>
    <t>American Express</t>
  </si>
  <si>
    <t>American International Group</t>
  </si>
  <si>
    <t>American Tower</t>
  </si>
  <si>
    <t>Source: https://datahub.io/core/s-and-p-500-companies#resource-s-and-p-500-companies_zip</t>
  </si>
  <si>
    <t>S&amp;P 500 Sector Benchmark</t>
  </si>
  <si>
    <t>Symbol</t>
  </si>
  <si>
    <t>Utilities</t>
  </si>
  <si>
    <t>Real Estate</t>
  </si>
  <si>
    <t>AWK</t>
  </si>
  <si>
    <t>American Water Works</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</si>
  <si>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</si>
  <si>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</si>
  <si>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</si>
  <si>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</si>
  <si>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</si>
  <si>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</si>
  <si>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</si>
  <si>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</si>
  <si>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</si>
  <si>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</si>
  <si>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</si>
  <si>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</si>
  <si>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</si>
  <si>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</si>
  <si>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</si>
  <si>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</si>
  <si>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</si>
  <si>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</si>
  <si>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</si>
  <si>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Energy</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</si>
  <si>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</si>
  <si>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</si>
  <si>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</si>
  <si>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</si>
  <si>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</si>
  <si>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</si>
  <si>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</si>
  <si>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</si>
  <si>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</si>
  <si>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</si>
  <si>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</si>
  <si>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</si>
  <si>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</si>
  <si>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</si>
  <si>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</si>
  <si>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</si>
  <si>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</si>
  <si>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</si>
  <si>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</si>
  <si>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</si>
  <si>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</si>
  <si>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</si>
  <si>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</si>
  <si>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</si>
  <si>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</si>
  <si>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</si>
  <si>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</si>
  <si>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</si>
  <si>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</si>
  <si>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</si>
  <si>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</si>
  <si>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</si>
  <si>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</si>
  <si>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</si>
  <si>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</si>
  <si>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</si>
  <si>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</si>
  <si>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</si>
  <si>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</si>
  <si>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</si>
  <si>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</si>
  <si>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</si>
  <si>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</si>
  <si>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</si>
  <si>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</si>
  <si>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</si>
  <si>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</si>
  <si>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</si>
  <si>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</si>
  <si>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</si>
  <si>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</si>
  <si>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</si>
  <si>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</si>
  <si>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</si>
  <si>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</si>
  <si>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</si>
  <si>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</si>
  <si>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</si>
  <si>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</si>
  <si>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</si>
  <si>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</si>
  <si>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</si>
  <si>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</si>
  <si>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</si>
  <si>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</si>
  <si>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</si>
  <si>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</si>
  <si>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</si>
  <si>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</si>
  <si>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</si>
  <si>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</si>
  <si>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</si>
  <si>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</si>
  <si>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</si>
  <si>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</si>
  <si>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</si>
  <si>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</si>
  <si>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</si>
  <si>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</si>
  <si>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</si>
  <si>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</si>
  <si>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</si>
  <si>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</si>
  <si>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</si>
  <si>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</si>
  <si>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</si>
  <si>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</si>
  <si>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</si>
  <si>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</si>
  <si>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</si>
  <si>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</si>
  <si>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</si>
  <si>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</si>
  <si>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</si>
  <si>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</si>
  <si>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</si>
  <si>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</si>
  <si>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</si>
  <si>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</si>
  <si>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</si>
  <si>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</si>
  <si>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</si>
  <si>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</si>
  <si>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</si>
  <si>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</si>
  <si>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</si>
  <si>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</si>
  <si>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</si>
  <si>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</si>
  <si>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</si>
  <si>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</si>
  <si>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</si>
  <si>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</si>
  <si>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</si>
  <si>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</si>
  <si>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</si>
  <si>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</si>
  <si>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</si>
  <si>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</si>
  <si>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</si>
  <si>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</si>
  <si>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</si>
  <si>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</si>
  <si>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</si>
  <si>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</si>
  <si>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</si>
  <si>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</si>
  <si>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</si>
  <si>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</si>
  <si>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</si>
  <si>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</si>
  <si>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</si>
  <si>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</si>
  <si>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</si>
  <si>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</si>
  <si>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</si>
  <si>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</si>
  <si>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</si>
  <si>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</si>
  <si>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</si>
  <si>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</si>
  <si>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</si>
  <si>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STZ</t>
  </si>
  <si>
    <t>Constellation Brands</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</si>
  <si>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</si>
  <si>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</si>
  <si>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</si>
  <si>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</si>
  <si>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</si>
  <si>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</si>
  <si>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</si>
  <si>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</si>
  <si>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</si>
  <si>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</si>
  <si>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</si>
  <si>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</si>
  <si>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</si>
  <si>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</si>
  <si>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</si>
  <si>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</si>
  <si>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</si>
  <si>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</si>
  <si>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</si>
  <si>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</si>
  <si>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</si>
  <si>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</si>
  <si>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</si>
  <si>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</si>
  <si>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</si>
  <si>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</si>
  <si>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</si>
  <si>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</si>
  <si>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</si>
  <si>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</si>
  <si>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</si>
  <si>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</si>
  <si>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</si>
  <si>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</si>
  <si>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</si>
  <si>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</si>
  <si>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</si>
  <si>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</si>
  <si>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</si>
  <si>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</si>
  <si>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</si>
  <si>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</si>
  <si>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</si>
  <si>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</si>
  <si>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</si>
  <si>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</si>
  <si>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</si>
  <si>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</si>
  <si>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</si>
  <si>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</si>
  <si>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</si>
  <si>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</si>
  <si>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</si>
  <si>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</si>
  <si>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</si>
  <si>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</si>
  <si>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</si>
  <si>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</si>
  <si>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</si>
  <si>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</si>
  <si>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</si>
  <si>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</si>
  <si>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</si>
  <si>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</si>
  <si>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</si>
  <si>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</si>
  <si>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</si>
  <si>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</si>
  <si>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</si>
  <si>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</si>
  <si>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</si>
  <si>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</si>
  <si>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</si>
  <si>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</si>
  <si>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</si>
  <si>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</si>
  <si>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</si>
  <si>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</si>
  <si>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</si>
  <si>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</si>
  <si>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</si>
  <si>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</si>
  <si>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</si>
  <si>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</si>
  <si>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</si>
  <si>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</si>
  <si>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</si>
  <si>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</si>
  <si>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</si>
  <si>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</si>
  <si>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</si>
  <si>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</si>
  <si>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</si>
  <si>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</si>
  <si>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</si>
  <si>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</si>
  <si>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</si>
  <si>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</si>
  <si>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</si>
  <si>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</si>
  <si>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</si>
  <si>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</si>
  <si>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</si>
  <si>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</si>
  <si>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</si>
  <si>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</si>
  <si>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</si>
  <si>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</si>
  <si>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</si>
  <si>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</si>
  <si>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</si>
  <si>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</si>
  <si>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</si>
  <si>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</si>
  <si>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</si>
  <si>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</si>
  <si>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</si>
  <si>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</si>
  <si>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</si>
  <si>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</si>
  <si>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</si>
  <si>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</si>
  <si>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</si>
  <si>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</si>
  <si>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</si>
  <si>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</si>
  <si>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</si>
  <si>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</si>
  <si>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</si>
  <si>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</si>
  <si>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</si>
  <si>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</si>
  <si>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</si>
  <si>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</si>
  <si>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</si>
  <si>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</si>
  <si>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</si>
  <si>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</si>
  <si>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</si>
  <si>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</si>
  <si>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</si>
  <si>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</si>
  <si>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</si>
  <si>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</si>
  <si>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</si>
  <si>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</si>
  <si>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</si>
  <si>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</si>
  <si>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</si>
  <si>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</si>
  <si>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</si>
  <si>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</si>
  <si>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</si>
  <si>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</si>
  <si>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</si>
  <si>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</si>
  <si>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</si>
  <si>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</si>
  <si>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</si>
  <si>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</si>
  <si>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</si>
  <si>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</si>
  <si>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</si>
  <si>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</si>
  <si>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</si>
  <si>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</si>
  <si>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</si>
  <si>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</si>
  <si>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</si>
  <si>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</si>
  <si>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</si>
  <si>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</si>
  <si>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</si>
  <si>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</si>
  <si>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</si>
  <si>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</si>
  <si>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</si>
  <si>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</si>
  <si>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</si>
  <si>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</si>
  <si>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</si>
  <si>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</si>
  <si>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</si>
  <si>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</si>
  <si>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</si>
  <si>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</si>
  <si>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</si>
  <si>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</si>
  <si>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</si>
  <si>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</si>
  <si>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</si>
  <si>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</si>
  <si>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</si>
  <si>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</si>
  <si>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</si>
  <si>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</si>
  <si>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</si>
  <si>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</si>
  <si>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</si>
  <si>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</si>
  <si>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</si>
  <si>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</si>
  <si>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</si>
  <si>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</si>
  <si>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</si>
  <si>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</si>
  <si>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</si>
  <si>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</si>
  <si>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</si>
  <si>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</si>
  <si>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</si>
  <si>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</si>
  <si>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</si>
  <si>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</si>
  <si>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</si>
  <si>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</si>
  <si>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</si>
  <si>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</si>
  <si>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</si>
  <si>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</si>
  <si>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</si>
  <si>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</si>
  <si>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</si>
  <si>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</si>
  <si>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</si>
  <si>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</si>
  <si>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</si>
  <si>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</si>
  <si>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</si>
  <si>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</si>
  <si>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</si>
  <si>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</si>
  <si>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</si>
  <si>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</si>
  <si>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</si>
  <si>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</si>
  <si>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</si>
  <si>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</si>
  <si>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</si>
  <si>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</si>
  <si>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</si>
  <si>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</si>
  <si>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</si>
  <si>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</si>
  <si>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</si>
  <si>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</si>
  <si>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</si>
  <si>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</si>
  <si>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</si>
  <si>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</si>
  <si>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</si>
  <si>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</si>
  <si>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</si>
  <si>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</si>
  <si>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</si>
  <si>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</si>
  <si>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</si>
  <si>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</si>
  <si>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</si>
  <si>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</si>
  <si>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</si>
  <si>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</si>
  <si>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</si>
  <si>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</si>
  <si>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</si>
  <si>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</si>
  <si>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</si>
  <si>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</si>
  <si>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</si>
  <si>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</si>
  <si>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</si>
  <si>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</si>
  <si>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</si>
  <si>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</si>
  <si>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</si>
  <si>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</si>
  <si>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</si>
  <si>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</si>
  <si>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</si>
  <si>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</si>
  <si>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</si>
  <si>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</si>
  <si>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</si>
  <si>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</si>
  <si>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</si>
  <si>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</si>
  <si>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</si>
  <si>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</si>
  <si>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</si>
  <si>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</si>
  <si>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</si>
  <si>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</si>
  <si>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</si>
  <si>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</si>
  <si>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</si>
  <si>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</si>
  <si>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</si>
  <si>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</si>
  <si>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</si>
  <si>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</si>
  <si>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</si>
  <si>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</si>
  <si>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</si>
  <si>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</si>
  <si>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</si>
  <si>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</si>
  <si>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</si>
  <si>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</si>
  <si>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</si>
  <si>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</si>
  <si>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</si>
  <si>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</si>
  <si>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</si>
  <si>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</si>
  <si>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</si>
  <si>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</si>
  <si>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</si>
  <si>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</si>
  <si>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</si>
  <si>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</si>
  <si>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</si>
  <si>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</si>
  <si>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</si>
  <si>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</si>
  <si>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</si>
  <si>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</si>
  <si>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</si>
  <si>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</si>
  <si>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</si>
  <si>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</si>
  <si>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</si>
  <si>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</si>
  <si>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</si>
  <si>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</si>
  <si>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</si>
  <si>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</si>
  <si>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</si>
  <si>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</si>
  <si>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</si>
  <si>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</si>
  <si>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</si>
  <si>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</si>
  <si>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</si>
  <si>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</si>
  <si>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</si>
  <si>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</si>
  <si>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</si>
  <si>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</si>
  <si>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</si>
  <si>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</si>
  <si>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</si>
  <si>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</si>
  <si>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</si>
  <si>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</si>
  <si>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</si>
  <si>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</si>
  <si>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</si>
  <si>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</si>
  <si>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</si>
  <si>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</si>
  <si>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</si>
  <si>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</si>
  <si>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</si>
  <si>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</si>
  <si>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</si>
  <si>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</si>
  <si>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</si>
  <si>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</si>
  <si>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</si>
  <si>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</si>
  <si>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</si>
  <si>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</si>
  <si>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</si>
  <si>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</si>
  <si>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</si>
  <si>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</si>
  <si>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</si>
  <si>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</si>
  <si>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</si>
  <si>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</si>
  <si>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</si>
  <si>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</si>
  <si>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</si>
  <si>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</si>
  <si>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</si>
  <si>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</si>
  <si>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</si>
  <si>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</si>
  <si>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</si>
  <si>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</si>
  <si>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</si>
  <si>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</si>
  <si>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</si>
  <si>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</si>
  <si>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</si>
  <si>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</si>
  <si>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</si>
  <si>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</si>
  <si>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</si>
  <si>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</si>
  <si>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</si>
  <si>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</si>
  <si>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</si>
  <si>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</si>
  <si>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</si>
  <si>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</si>
  <si>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</si>
  <si>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</si>
  <si>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</si>
  <si>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</si>
  <si>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</si>
  <si>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</si>
  <si>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</si>
  <si>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</si>
  <si>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</si>
  <si>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</si>
  <si>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</si>
  <si>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</si>
  <si>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</si>
  <si>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</si>
  <si>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</si>
  <si>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</si>
  <si>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</si>
  <si>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</si>
  <si>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</si>
  <si>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</si>
  <si>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</si>
  <si>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</si>
  <si>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</si>
  <si>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</si>
  <si>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</si>
  <si>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</si>
  <si>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</si>
  <si>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</si>
  <si>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</si>
  <si>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</si>
  <si>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</si>
  <si>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</si>
  <si>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</si>
  <si>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</si>
  <si>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</si>
  <si>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</si>
  <si>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</si>
  <si>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</si>
  <si>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</si>
  <si>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</si>
  <si>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</si>
  <si>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</si>
  <si>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</si>
  <si>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</si>
  <si>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</si>
  <si>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</si>
  <si>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</si>
  <si>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</si>
  <si>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</si>
  <si>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</si>
  <si>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</si>
  <si>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</si>
  <si>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</si>
  <si>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</si>
  <si>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</si>
  <si>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</si>
  <si>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</si>
  <si>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</si>
  <si>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</si>
  <si>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</si>
  <si>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</si>
  <si>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</si>
  <si>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</si>
  <si>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</si>
  <si>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</si>
  <si>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</si>
  <si>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</si>
  <si>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</si>
  <si>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</si>
  <si>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</si>
  <si>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</si>
  <si>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</si>
  <si>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</si>
  <si>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</si>
  <si>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</si>
  <si>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</si>
  <si>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</si>
  <si>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</si>
  <si>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</si>
  <si>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</si>
  <si>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</si>
  <si>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</si>
  <si>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</si>
  <si>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</si>
  <si>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</si>
  <si>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</si>
  <si>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</si>
  <si>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</si>
  <si>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</si>
  <si>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</si>
  <si>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</si>
  <si>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</si>
  <si>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</si>
  <si>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</si>
  <si>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</si>
  <si>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</si>
  <si>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</si>
  <si>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</si>
  <si>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</si>
  <si>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</si>
  <si>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</si>
  <si>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</si>
  <si>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</si>
  <si>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</si>
  <si>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</si>
  <si>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</si>
  <si>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</si>
  <si>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</si>
  <si>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</si>
  <si>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</si>
  <si>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</si>
  <si>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</si>
  <si>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</si>
  <si>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</si>
  <si>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</si>
  <si>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</si>
  <si>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</si>
  <si>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</si>
  <si>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</si>
  <si>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</si>
  <si>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</si>
  <si>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</si>
  <si>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</si>
  <si>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</si>
  <si>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</si>
  <si>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</si>
  <si>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</si>
  <si>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</si>
  <si>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</si>
  <si>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</si>
  <si>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</si>
  <si>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</si>
  <si>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</si>
  <si>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</si>
  <si>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</si>
  <si>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</si>
  <si>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</si>
  <si>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</si>
  <si>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</si>
  <si>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</si>
  <si>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</si>
  <si>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</si>
  <si>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</si>
  <si>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</si>
  <si>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</si>
  <si>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</si>
  <si>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</si>
  <si>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</si>
  <si>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</si>
  <si>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</si>
  <si>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</si>
  <si>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</si>
  <si>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</si>
  <si>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</si>
  <si>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</si>
  <si>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</si>
  <si>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</si>
  <si>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</si>
  <si>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</si>
  <si>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</si>
  <si>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</si>
  <si>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</si>
  <si>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</si>
  <si>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</si>
  <si>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</si>
  <si>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</si>
  <si>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</si>
  <si>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</si>
  <si>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</si>
  <si>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</si>
  <si>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</si>
  <si>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</si>
  <si>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</si>
  <si>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</si>
  <si>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</si>
  <si>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</si>
  <si>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</si>
  <si>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</si>
  <si>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</si>
  <si>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</si>
  <si>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</si>
  <si>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</si>
  <si>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</si>
  <si>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</si>
  <si>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</si>
  <si>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</si>
  <si>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</si>
  <si>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</si>
  <si>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</si>
  <si>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</si>
  <si>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</si>
  <si>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</si>
  <si>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</si>
  <si>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</si>
  <si>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</si>
  <si>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</si>
  <si>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</si>
  <si>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</si>
  <si>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</si>
  <si>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</si>
  <si>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</si>
  <si>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</si>
  <si>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</si>
  <si>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</si>
  <si>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</si>
  <si>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</si>
  <si>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</si>
  <si>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</si>
  <si>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</si>
  <si>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</si>
  <si>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</si>
  <si>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</si>
  <si>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</si>
  <si>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</si>
  <si>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</si>
  <si>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</si>
  <si>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</si>
  <si>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</si>
  <si>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</si>
  <si>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</si>
  <si>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</si>
  <si>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</si>
  <si>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</si>
  <si>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</si>
  <si>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</si>
  <si>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</si>
  <si>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</si>
  <si>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</si>
  <si>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</si>
  <si>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</si>
  <si>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</si>
  <si>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</si>
  <si>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</si>
  <si>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</si>
  <si>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</si>
  <si>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</si>
  <si>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</si>
  <si>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</si>
  <si>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</si>
  <si>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</si>
  <si>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</si>
  <si>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</si>
  <si>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</si>
  <si>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</si>
  <si>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</si>
  <si>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</si>
  <si>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</si>
  <si>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</si>
  <si>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</si>
  <si>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</si>
  <si>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</si>
  <si>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</si>
  <si>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</si>
  <si>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</si>
  <si>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</si>
  <si>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</si>
  <si>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</si>
  <si>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</si>
  <si>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</si>
  <si>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</si>
  <si>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</si>
  <si>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</si>
  <si>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</si>
  <si>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</si>
  <si>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</si>
  <si>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</si>
  <si>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</si>
  <si>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</si>
  <si>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</si>
  <si>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</si>
  <si>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</si>
  <si>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</si>
  <si>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</si>
  <si>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</si>
  <si>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</si>
  <si>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</si>
  <si>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</si>
  <si>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</si>
  <si>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</si>
  <si>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</si>
  <si>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</si>
  <si>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</si>
  <si>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</si>
  <si>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</si>
  <si>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</si>
  <si>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</si>
  <si>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</si>
  <si>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</si>
  <si>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</si>
  <si>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</si>
  <si>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Sector Breakdown</t>
  </si>
  <si>
    <t>Info Tech</t>
  </si>
  <si>
    <t>Comm Services</t>
  </si>
  <si>
    <t>Cons Staples</t>
  </si>
  <si>
    <t>Amount</t>
  </si>
  <si>
    <t>Row Labels</t>
  </si>
  <si>
    <t>Grand Total</t>
  </si>
  <si>
    <t>Sum of Amount</t>
  </si>
  <si>
    <t>Cons Disc</t>
  </si>
  <si>
    <t>Comm Serv</t>
  </si>
  <si>
    <t>Cons Stapl</t>
  </si>
  <si>
    <t>4340 Records exported</t>
  </si>
  <si>
    <t>Positions detail by account number for Master Account  as of 01/20/23 03:29:34 PM ET</t>
  </si>
  <si>
    <t>Name 3</t>
  </si>
  <si>
    <t>Client 1</t>
  </si>
  <si>
    <t>+$2,092.85 (1.67%)</t>
  </si>
  <si>
    <t>+$3,403.18 (3.64%)</t>
  </si>
  <si>
    <t>+$1,061.44 (2.48%)</t>
  </si>
  <si>
    <t>+$507.54 (1.52%)</t>
  </si>
  <si>
    <t>+$3,307.85 (5.67%)</t>
  </si>
  <si>
    <t>+$432.28 (1.17%)</t>
  </si>
  <si>
    <t>+$520.72 (1.55%)</t>
  </si>
  <si>
    <t>+$4,167.90 (2.25%)</t>
  </si>
  <si>
    <t>-$84.74 (0.47%)</t>
  </si>
  <si>
    <t>+$635.38 (1.06%)</t>
  </si>
  <si>
    <t>+$776.86 (2.71%)</t>
  </si>
  <si>
    <t>+$123.15 (0.09%)</t>
  </si>
  <si>
    <t>-$2,696.96 (1.08%)</t>
  </si>
  <si>
    <t>+$289.28 (0.77%)</t>
  </si>
  <si>
    <t>+$2,368.80 (2.26%)</t>
  </si>
  <si>
    <t>+$3,417.54 (5.09%)</t>
  </si>
  <si>
    <t>+$26.31 (0.07%)</t>
  </si>
  <si>
    <t>+$205.52 (0.75%)</t>
  </si>
  <si>
    <t>-$1,308.06 (0.38%)</t>
  </si>
  <si>
    <t>+$170.82 (0.39%)</t>
  </si>
  <si>
    <t>+$450.39 (1.46%)</t>
  </si>
  <si>
    <t>+$1,647.81 (0.68%)</t>
  </si>
  <si>
    <t>+$40.17 (0.11%)</t>
  </si>
  <si>
    <t>+$369.36 (1.05%)</t>
  </si>
  <si>
    <t>+$153.12 (0.73%)</t>
  </si>
  <si>
    <t>+$734.82 (1.80%)</t>
  </si>
  <si>
    <t>+$3,419.60 (3.58%)</t>
  </si>
  <si>
    <t>+$316.80 (0.82%)</t>
  </si>
  <si>
    <t>+$447.84 (1.25%)</t>
  </si>
  <si>
    <t>+$1,341.60 (3.70%)</t>
  </si>
  <si>
    <t>+$1,978.29 (3.91%)</t>
  </si>
  <si>
    <t>+$1,022.55 (2.15%)</t>
  </si>
  <si>
    <t>+$104.07 (0.12%)</t>
  </si>
  <si>
    <t>+$177.32 (0.43%)</t>
  </si>
  <si>
    <t>EEM</t>
  </si>
  <si>
    <t>iShares MSCI Emerging Markets ETF</t>
  </si>
  <si>
    <t>+$638.62 (2.47%)</t>
  </si>
  <si>
    <t>IEMG</t>
  </si>
  <si>
    <t>iShares Core MSCI EM ETF</t>
  </si>
  <si>
    <t>+$368.73 (2.63%)</t>
  </si>
  <si>
    <t>VWO</t>
  </si>
  <si>
    <t>Vanguard FTSE Emerging Markets ETF</t>
  </si>
  <si>
    <t>+$9.98 (0.03%)</t>
  </si>
  <si>
    <t>VEA</t>
  </si>
  <si>
    <t>Vanguard FTSE Developed Markets ETF</t>
  </si>
  <si>
    <t>+$967.26 (1.18%)</t>
  </si>
  <si>
    <t>EFA</t>
  </si>
  <si>
    <t>iShares MSCI EAFE ETF</t>
  </si>
  <si>
    <t>+$797.73 (0.96%)</t>
  </si>
  <si>
    <t>SCHF</t>
  </si>
  <si>
    <t>Schwab International Equity ETF</t>
  </si>
  <si>
    <t>+$2,326.72 (1.70%)</t>
  </si>
  <si>
    <t>iShares MSCI EAFE Small-Cap ETF</t>
  </si>
  <si>
    <t>+$798.11 (2.35%)</t>
  </si>
  <si>
    <t>Money Market Fund</t>
  </si>
  <si>
    <t>+$544.44 (1.58%)</t>
  </si>
  <si>
    <t>LQDI</t>
  </si>
  <si>
    <t>iShares Inflation Hedged Corporate Bond</t>
  </si>
  <si>
    <t>-$1,496.95 (0.43%)</t>
  </si>
  <si>
    <t>BNDX</t>
  </si>
  <si>
    <t>Vanguard Total International Bond ETF</t>
  </si>
  <si>
    <t>HYGH</t>
  </si>
  <si>
    <t>iShares Interest Rate Hedged High Yield Bond ETF</t>
  </si>
  <si>
    <t>STIP</t>
  </si>
  <si>
    <t>iShares TIPS Bond ETF</t>
  </si>
  <si>
    <t>VNQ</t>
  </si>
  <si>
    <t>Vanguard Real Estate ETF</t>
  </si>
  <si>
    <t>Schwab S&amp;P 500 Index Fund</t>
  </si>
  <si>
    <t>Client 2</t>
  </si>
  <si>
    <t>+$62.09 (1.67%)</t>
  </si>
  <si>
    <t>+$105.71 (3.64%)</t>
  </si>
  <si>
    <t>+$12.69 (1.52%)</t>
  </si>
  <si>
    <t>+$79.97 (5.67%)</t>
  </si>
  <si>
    <t>+$11.76 (1.55%)</t>
  </si>
  <si>
    <t>-$4.66 (0.47%)</t>
  </si>
  <si>
    <t>+$20.13 (1.06%)</t>
  </si>
  <si>
    <t>+$22.02 (2.71%)</t>
  </si>
  <si>
    <t>+$2.68 (0.09%)</t>
  </si>
  <si>
    <t>-$59.72 (1.08%)</t>
  </si>
  <si>
    <t>+$12.76 (0.77%)</t>
  </si>
  <si>
    <t>+$103.71 (2.26%)</t>
  </si>
  <si>
    <t>+$94.80 (5.09%)</t>
  </si>
  <si>
    <t>+$0.60 (0.07%)</t>
  </si>
  <si>
    <t>+$7.34 (0.75%)</t>
  </si>
  <si>
    <t>+$3.50 (0.39%)</t>
  </si>
  <si>
    <t>+$0.58 (0.11%)</t>
  </si>
  <si>
    <t>+$10.26 (1.05%)</t>
  </si>
  <si>
    <t>+$6.46 (0.73%)</t>
  </si>
  <si>
    <t>+$47.93 (1.80%)</t>
  </si>
  <si>
    <t>+$85.57 (3.58%)</t>
  </si>
  <si>
    <t>+$7.48 (0.82%)</t>
  </si>
  <si>
    <t>+$9.39 (1.25%)</t>
  </si>
  <si>
    <t>+$31.20 (3.70%)</t>
  </si>
  <si>
    <t>+$39.86 (3.91%)</t>
  </si>
  <si>
    <t>+$22.97 (2.15%)</t>
  </si>
  <si>
    <t>+$3.72 (0.43%)</t>
  </si>
  <si>
    <t>+$11.37 (2.47%)</t>
  </si>
  <si>
    <t>+$7.26 (2.63%)</t>
  </si>
  <si>
    <t>+$0.23 (0.03%)</t>
  </si>
  <si>
    <t>+$0.64 (0.08%)</t>
  </si>
  <si>
    <t>+$73.01 (1.70%)</t>
  </si>
  <si>
    <t>+$58.91 (2.35%)</t>
  </si>
  <si>
    <t>+$14.09 (1.58%)</t>
  </si>
  <si>
    <t>Client 3</t>
  </si>
  <si>
    <t>+$86.92 (1.67%)</t>
  </si>
  <si>
    <t>+$68.20 (3.64%)</t>
  </si>
  <si>
    <t>+$15.22 (1.52%)</t>
  </si>
  <si>
    <t>+$94.51 (5.67%)</t>
  </si>
  <si>
    <t>-$4.57 (0.47%)</t>
  </si>
  <si>
    <t>+$14.38 (1.06%)</t>
  </si>
  <si>
    <t>+$29.36 (2.71%)</t>
  </si>
  <si>
    <t>+$3.47 (0.09%)</t>
  </si>
  <si>
    <t>-$78.60 (1.08%)</t>
  </si>
  <si>
    <t>+$16.24 (0.77%)</t>
  </si>
  <si>
    <t>+$86.91 (2.26%)</t>
  </si>
  <si>
    <t>+$189.60 (5.09%)</t>
  </si>
  <si>
    <t>+$3.67 (0.75%)</t>
  </si>
  <si>
    <t>-$18.38 (0.38%)</t>
  </si>
  <si>
    <t>+$5.26 (0.39%)</t>
  </si>
  <si>
    <t>+$13.46 (1.46%)</t>
  </si>
  <si>
    <t>+$0.88 (0.11%)</t>
  </si>
  <si>
    <t>+$13.68 (1.05%)</t>
  </si>
  <si>
    <t>+$3.23 (0.73%)</t>
  </si>
  <si>
    <t>+$46.20 (1.80%)</t>
  </si>
  <si>
    <t>+$126.83 (3.58%)</t>
  </si>
  <si>
    <t>+$7.26 (0.82%)</t>
  </si>
  <si>
    <t>+$62.40 (3.70%)</t>
  </si>
  <si>
    <t>+$51.22 (3.91%)</t>
  </si>
  <si>
    <t>+$28.93 (2.15%)</t>
  </si>
  <si>
    <t>+$15.16 (2.47%)</t>
  </si>
  <si>
    <t>+$0.28 (0.03%)</t>
  </si>
  <si>
    <t>+$66.37 (1.70%)</t>
  </si>
  <si>
    <t>+$23.10 (2.35%)</t>
  </si>
  <si>
    <t>+$17.61 (1.58%)</t>
  </si>
  <si>
    <t>-$20.94 (0.43%)</t>
  </si>
  <si>
    <t>Client 4</t>
  </si>
  <si>
    <t>+$226.28 (1.67%)</t>
  </si>
  <si>
    <t>+$272.80 (3.64%)</t>
  </si>
  <si>
    <t>+$72.31 (2.48%)</t>
  </si>
  <si>
    <t>+$39.32 (1.52%)</t>
  </si>
  <si>
    <t>+$218.10 (5.67%)</t>
  </si>
  <si>
    <t>+$27.02 (1.17%)</t>
  </si>
  <si>
    <t>+$47.06 (1.55%)</t>
  </si>
  <si>
    <t>-$16.87 (0.47%)</t>
  </si>
  <si>
    <t>+$54.63 (1.06%)</t>
  </si>
  <si>
    <t>+$108.26 (2.71%)</t>
  </si>
  <si>
    <t>+$7.18 (0.09%)</t>
  </si>
  <si>
    <t>-$165.10 (1.08%)</t>
  </si>
  <si>
    <t>+$53.38 (0.77%)</t>
  </si>
  <si>
    <t>+$184.05 (2.26%)</t>
  </si>
  <si>
    <t>+$284.40 (5.09%)</t>
  </si>
  <si>
    <t>+$1.44 (0.07%)</t>
  </si>
  <si>
    <t>+$14.68 (0.75%)</t>
  </si>
  <si>
    <t>-$180.86 (0.38%)</t>
  </si>
  <si>
    <t>+$14.89 (0.39%)</t>
  </si>
  <si>
    <t>+$51.14 (1.46%)</t>
  </si>
  <si>
    <t>+$3.51 (0.11%)</t>
  </si>
  <si>
    <t>+$44.46 (1.05%)</t>
  </si>
  <si>
    <t>+$12.93 (0.73%)</t>
  </si>
  <si>
    <t>+$200.38 (1.80%)</t>
  </si>
  <si>
    <t>+$300.88 (3.58%)</t>
  </si>
  <si>
    <t>+$17.38 (0.82%)</t>
  </si>
  <si>
    <t>+$40.69 (1.25%)</t>
  </si>
  <si>
    <t>+$140.40 (3.70%)</t>
  </si>
  <si>
    <t>+$107.54 (3.91%)</t>
  </si>
  <si>
    <t>+$100.40 (2.15%)</t>
  </si>
  <si>
    <t>+$8.68 (0.43%)</t>
  </si>
  <si>
    <t>+$58.75 (2.47%)</t>
  </si>
  <si>
    <t>+$36.31 (2.63%)</t>
  </si>
  <si>
    <t>+$1.06 (0.03%)</t>
  </si>
  <si>
    <t>+$5.80 (0.08%)</t>
  </si>
  <si>
    <t>+$252.22 (1.70%)</t>
  </si>
  <si>
    <t>+$65.84 (2.35%)</t>
  </si>
  <si>
    <t>+$59.89 (1.58%)</t>
  </si>
  <si>
    <t>-$207.26 (0.43%)</t>
  </si>
  <si>
    <t>Client 5</t>
  </si>
  <si>
    <t>+$104.82 (1.67%)</t>
  </si>
  <si>
    <t>+$167.09 (3.64%)</t>
  </si>
  <si>
    <t>+$26.64 (1.52%)</t>
  </si>
  <si>
    <t>+$203.56 (5.67%)</t>
  </si>
  <si>
    <t>+$23.53 (1.55%)</t>
  </si>
  <si>
    <t>-$4.77 (0.47%)</t>
  </si>
  <si>
    <t>+$23.00 (1.06%)</t>
  </si>
  <si>
    <t>+$40.68 (2.71%)</t>
  </si>
  <si>
    <t>+$3.95 (0.09%)</t>
  </si>
  <si>
    <t>-$111.21 (1.08%)</t>
  </si>
  <si>
    <t>+$15.34 (0.77%)</t>
  </si>
  <si>
    <t>+$168.72 (2.26%)</t>
  </si>
  <si>
    <t>+$175.38 (5.09%)</t>
  </si>
  <si>
    <t>+$0.93 (0.07%)</t>
  </si>
  <si>
    <t>+$11.01 (0.75%)</t>
  </si>
  <si>
    <t>-$25.89 (0.38%)</t>
  </si>
  <si>
    <t>+$8.76 (0.39%)</t>
  </si>
  <si>
    <t>+$24.22 (1.46%)</t>
  </si>
  <si>
    <t>+$2.05 (0.11%)</t>
  </si>
  <si>
    <t>+$20.52 (1.05%)</t>
  </si>
  <si>
    <t>+$38.54 (1.80%)</t>
  </si>
  <si>
    <t>+$172.81 (3.58%)</t>
  </si>
  <si>
    <t>+$11.44 (0.82%)</t>
  </si>
  <si>
    <t>+$21.91 (1.25%)</t>
  </si>
  <si>
    <t>+$78.00 (3.70%)</t>
  </si>
  <si>
    <t>+$101.60 (3.91%)</t>
  </si>
  <si>
    <t>+$51.90 (2.15%)</t>
  </si>
  <si>
    <t>+$6.20 (0.43%)</t>
  </si>
  <si>
    <t>+$30.32 (2.47%)</t>
  </si>
  <si>
    <t>+$21.78 (2.63%)</t>
  </si>
  <si>
    <t>+$0.51 (0.03%)</t>
  </si>
  <si>
    <t>+$119.47 (1.70%)</t>
  </si>
  <si>
    <t>+$46.20 (2.35%)</t>
  </si>
  <si>
    <t>+$28.23 (1.58%)</t>
  </si>
  <si>
    <t>-$29.46 (0.43%)</t>
  </si>
  <si>
    <t>Client 6</t>
  </si>
  <si>
    <t>+$117.42 (1.67%)</t>
  </si>
  <si>
    <t>+$136.40 (3.64%)</t>
  </si>
  <si>
    <t>+$25.37 (1.52%)</t>
  </si>
  <si>
    <t>+$152.67 (5.67%)</t>
  </si>
  <si>
    <t>-$20.21 (0.47%)</t>
  </si>
  <si>
    <t>+$51.75 (1.06%)</t>
  </si>
  <si>
    <t>+$42.20 (2.71%)</t>
  </si>
  <si>
    <t>+$4.27 (0.09%)</t>
  </si>
  <si>
    <t>-$96.80 (1.08%)</t>
  </si>
  <si>
    <t>+$23.20 (0.77%)</t>
  </si>
  <si>
    <t>+$108.83 (2.26%)</t>
  </si>
  <si>
    <t>-$59.50 (0.38%)</t>
  </si>
  <si>
    <t>+$7.01 (0.39%)</t>
  </si>
  <si>
    <t>+$21.53 (1.46%)</t>
  </si>
  <si>
    <t>+$1.46 (0.11%)</t>
  </si>
  <si>
    <t>+$17.10 (1.05%)</t>
  </si>
  <si>
    <t>+$85.74 (1.80%)</t>
  </si>
  <si>
    <t>+$171.33 (3.58%)</t>
  </si>
  <si>
    <t>+$17.27 (1.25%)</t>
  </si>
  <si>
    <t>+$63.59 (3.91%)</t>
  </si>
  <si>
    <t>+$42.54 (2.15%)</t>
  </si>
  <si>
    <t>+$24.64 (2.47%)</t>
  </si>
  <si>
    <t>+$14.52 (2.63%)</t>
  </si>
  <si>
    <t>+$0.43 (0.03%)</t>
  </si>
  <si>
    <t>+$2.52 (0.08%)</t>
  </si>
  <si>
    <t>+$126.11 (1.70%)</t>
  </si>
  <si>
    <t>+$36.96 (2.35%)</t>
  </si>
  <si>
    <t>+$24.66 (1.58%)</t>
  </si>
  <si>
    <t>-$67.78 (0.43%)</t>
  </si>
  <si>
    <t>Client 7</t>
  </si>
  <si>
    <t>+$91.33 (1.67%)</t>
  </si>
  <si>
    <t>+$2.89 (2.48%)</t>
  </si>
  <si>
    <t>+$24.22 (1.52%)</t>
  </si>
  <si>
    <t>+$35.30 (1.55%)</t>
  </si>
  <si>
    <t>-$19.44 (0.47%)</t>
  </si>
  <si>
    <t>+$33.48 (2.71%)</t>
  </si>
  <si>
    <t>+$3.38 (0.09%)</t>
  </si>
  <si>
    <t>Client 8</t>
  </si>
  <si>
    <t>+$97.75 (1.06%)</t>
  </si>
  <si>
    <t>+$166.98 (2.71%)</t>
  </si>
  <si>
    <t>+$20.66 (0.09%)</t>
  </si>
  <si>
    <t>-$477.80 (1.08%)</t>
  </si>
  <si>
    <t>+$66.26 (0.77%)</t>
  </si>
  <si>
    <t>+$530.98 (2.26%)</t>
  </si>
  <si>
    <t>+$568.80 (5.09%)</t>
  </si>
  <si>
    <t>+$3.03 (0.07%)</t>
  </si>
  <si>
    <t>+$36.70 (0.75%)</t>
  </si>
  <si>
    <t>-$22.73 (0.38%)</t>
  </si>
  <si>
    <t>+$32.41 (0.39%)</t>
  </si>
  <si>
    <t>+$59.21 (1.46%)</t>
  </si>
  <si>
    <t>+$4.38 (0.11%)</t>
  </si>
  <si>
    <t>+$71.82 (1.05%)</t>
  </si>
  <si>
    <t>+$19.39 (0.73%)</t>
  </si>
  <si>
    <t>+$253.94 (1.80%)</t>
  </si>
  <si>
    <t>+$698.42 (3.58%)</t>
  </si>
  <si>
    <t>+$36.52 (0.82%)</t>
  </si>
  <si>
    <t>+$53.21 (1.25%)</t>
  </si>
  <si>
    <t>+$343.20 (3.70%)</t>
  </si>
  <si>
    <t>+$299.34 (3.91%)</t>
  </si>
  <si>
    <t>+$126.78 (2.15%)</t>
  </si>
  <si>
    <t>+$19.84 (0.43%)</t>
  </si>
  <si>
    <t>+$85.28 (2.47%)</t>
  </si>
  <si>
    <t>+$43.57 (2.63%)</t>
  </si>
  <si>
    <t>+$1.34 (0.03%)</t>
  </si>
  <si>
    <t>+$391.69 (1.70%)</t>
  </si>
  <si>
    <t>+$183.65 (2.35%)</t>
  </si>
  <si>
    <t>+$98.63 (1.58%)</t>
  </si>
  <si>
    <t>-$25.91 (0.43%)</t>
  </si>
  <si>
    <t>Client 9</t>
  </si>
  <si>
    <t>+$2,282.97 (1.67%)</t>
  </si>
  <si>
    <t>+$3,069.00 (3.64%)</t>
  </si>
  <si>
    <t>+$428.05 (2.48%)</t>
  </si>
  <si>
    <t>+$441.44 (1.52%)</t>
  </si>
  <si>
    <t>+$2,202.81 (5.67%)</t>
  </si>
  <si>
    <t>+$324.21 (1.17%)</t>
  </si>
  <si>
    <t>+$388.25 (1.55%)</t>
  </si>
  <si>
    <t>-$106.15 (0.47%)</t>
  </si>
  <si>
    <t>+$500.25 (1.06%)</t>
  </si>
  <si>
    <t>+$735.81 (2.71%)</t>
  </si>
  <si>
    <t>+$72.65 (0.09%)</t>
  </si>
  <si>
    <t>-$1,679.50 (1.08%)</t>
  </si>
  <si>
    <t>+$393.35 (0.77%)</t>
  </si>
  <si>
    <t>+$1,863.18 (2.26%)</t>
  </si>
  <si>
    <t>+$2,749.20 (5.09%)</t>
  </si>
  <si>
    <t>+$15.36 (0.07%)</t>
  </si>
  <si>
    <t>+$179.83 (0.75%)</t>
  </si>
  <si>
    <t>-$2,419.77 (0.38%)</t>
  </si>
  <si>
    <t>+$143.66 (0.39%)</t>
  </si>
  <si>
    <t>+$384.87 (1.46%)</t>
  </si>
  <si>
    <t>+$28.21 (0.11%)</t>
  </si>
  <si>
    <t>+$328.32 (1.05%)</t>
  </si>
  <si>
    <t>+$126.04 (0.73%)</t>
  </si>
  <si>
    <t>+$1,500.53 (1.80%)</t>
  </si>
  <si>
    <t>+$3,040.92 (3.58%)</t>
  </si>
  <si>
    <t>+$185.24 (0.82%)</t>
  </si>
  <si>
    <t>+$316.12 (1.25%)</t>
  </si>
  <si>
    <t>+$1,497.60 (3.70%)</t>
  </si>
  <si>
    <t>+$982.96 (3.91%)</t>
  </si>
  <si>
    <t>+$747.91 (2.15%)</t>
  </si>
  <si>
    <t>+$102.92 (0.43%)</t>
  </si>
  <si>
    <t>+$411.22 (2.47%)</t>
  </si>
  <si>
    <t>+$297.72 (2.63%)</t>
  </si>
  <si>
    <t>+$8.50 (0.03%)</t>
  </si>
  <si>
    <t>+$105.66 (0.08%)</t>
  </si>
  <si>
    <t>+$3,604.09 (1.70%)</t>
  </si>
  <si>
    <t>+$616.77 (2.35%)</t>
  </si>
  <si>
    <t>+$443.85 (1.58%)</t>
  </si>
  <si>
    <t>-$2,769.92 (0.43%)</t>
  </si>
  <si>
    <t>137 Records exported</t>
  </si>
  <si>
    <t>Balances Summary for Master Account  as of 01/20/23 03:29:34 PM ET</t>
  </si>
  <si>
    <t>+$906.31 (0.89%)</t>
  </si>
  <si>
    <t>+$1,001.23 (1.24%)</t>
  </si>
  <si>
    <t>+$2,563.97 (0.76%)</t>
  </si>
  <si>
    <t>+$1,584.24 (1.24%)</t>
  </si>
  <si>
    <t>+$1,307.60 (0.87%)</t>
  </si>
  <si>
    <t>+$29,497.05 (1.03%)</t>
  </si>
  <si>
    <t>+$1,431.05 (1.23%)</t>
  </si>
  <si>
    <t>+$5,580.43 (1.37%)</t>
  </si>
  <si>
    <t>+$23,544.13 (0.65%)</t>
  </si>
  <si>
    <t>Client 10</t>
  </si>
  <si>
    <t>+$943.15 (0.85%)</t>
  </si>
  <si>
    <t>Client 11</t>
  </si>
  <si>
    <t>+$1,266.89 (1.03%)</t>
  </si>
  <si>
    <t>Client 12</t>
  </si>
  <si>
    <t>+$1,441.82 (1.36%)</t>
  </si>
  <si>
    <t>Client 13</t>
  </si>
  <si>
    <t>+$23,149.79 (1.15%)</t>
  </si>
  <si>
    <t>Client 14</t>
  </si>
  <si>
    <t>+$532.40 (0.09%)</t>
  </si>
  <si>
    <t>Client 15</t>
  </si>
  <si>
    <t>+$86.71 (1.47%)</t>
  </si>
  <si>
    <t>Client 16</t>
  </si>
  <si>
    <t>Client 17</t>
  </si>
  <si>
    <t>Client 18</t>
  </si>
  <si>
    <t>+$1,928.09 (1.02%)</t>
  </si>
  <si>
    <t>Client 19</t>
  </si>
  <si>
    <t>+$850.35 (0.97%)</t>
  </si>
  <si>
    <t>Client 20</t>
  </si>
  <si>
    <t>+$3,626.69 (2.83%)</t>
  </si>
  <si>
    <t>Client 21</t>
  </si>
  <si>
    <t>+$2,578.41 (1.13%)</t>
  </si>
  <si>
    <t>Client 22</t>
  </si>
  <si>
    <t>+$496.42 (0.38%)</t>
  </si>
  <si>
    <t>Client 23</t>
  </si>
  <si>
    <t>+$771.61 (1.21%)</t>
  </si>
  <si>
    <t>Information Technology</t>
  </si>
  <si>
    <t>Communication Services</t>
  </si>
  <si>
    <t>Consumer Staples</t>
  </si>
  <si>
    <t>Consumer Discretionary</t>
  </si>
  <si>
    <t>TIPS</t>
  </si>
  <si>
    <t>Inflation Hedged</t>
  </si>
  <si>
    <t>International Bond</t>
  </si>
  <si>
    <t>US stocks</t>
  </si>
  <si>
    <t>Vanguard E/D</t>
  </si>
  <si>
    <t>Developed</t>
  </si>
  <si>
    <t>Risk Tol Client List</t>
  </si>
  <si>
    <t>N/A</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</si>
  <si>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</si>
  <si>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</si>
  <si>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</si>
  <si>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The goal was to make it as automated as possible since most advisors are not proficient in Excel. Advisors will download list of all positions from Charles Schwab and copy and paste downloaded raw data on 'Raw Data - Positions' tab. (Positions do not include client's cash balance and cash balance will have to be downloaded and uploaded on 'Raw Data - Cash Balance' tab separately.</t>
  </si>
  <si>
    <t>Raw Data - Positions and Raw Data - Cash Balance tab are exact same format as how advisors would pull their client data from Charles Schwab.  Again, the the numbers shown are not real numbers and were randomly generated by me.</t>
  </si>
  <si>
    <t>For this demonstration, I have randomly generated client's positions for 10 account numbers, 11111111 ~ 11111119. (Account numbers at Charles Schwab are 8 digits)</t>
  </si>
  <si>
    <t xml:space="preserve">Using this dashboard, advisors can easily monitor client's account allocations on left side of Dashboard. Also, advisors can diagnose portfolio health to see if it deviates from benchmark, and analyze portfolio to make necessary trades and rebalance recommended on  bottom right. </t>
  </si>
  <si>
    <t>When you are ready, please hop over to 'Dashboard' tab and insert account number between 11111111 ~ 11111119 in cell C2 and client's positions will auto populate.</t>
  </si>
  <si>
    <t>Thank you!</t>
  </si>
  <si>
    <t>(insert account number here between 11111111 ~ 11111119)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</si>
</sst>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00%"/>
    <numFmt numFmtId="165" formatCode="0.0%"/>
    <numFmt numFmtId="166" formatCode="m/d/yy;@"/>
    <numFmt numFmtId="167" formatCode="[$-409]h:mm:ss\ AM/PM;@"/>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b/>
      <sz val="18"/>
      <color theme="0"/>
      <name val="Calibri"/>
      <family val="2"/>
      <scheme val="minor"/>
    </font>
    <font>
      <b/>
      <sz val="11"/>
      <name val="Calibri"/>
      <family val="2"/>
      <scheme val="minor"/>
    </font>
    <font>
      <b/>
      <sz val="18"/>
      <color theme="8" tint="0.3999755851924192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1"/>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auto="1"/>
      </left>
      <right style="medium">
        <color auto="1"/>
      </right>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0">
    <xf numFmtId="0" fontId="0" fillId="0" borderId="0" xfId="0"/>
    <xf numFmtId="8" fontId="0" fillId="0" borderId="0" xfId="0" applyNumberFormat="1"/>
    <xf numFmtId="4" fontId="0" fillId="0" borderId="0" xfId="0" applyNumberFormat="1"/>
    <xf numFmtId="10" fontId="0" fillId="0" borderId="0" xfId="0" applyNumberFormat="1"/>
    <xf numFmtId="164" fontId="0" fillId="0" borderId="0" xfId="2" applyNumberFormat="1" applyFont="1"/>
    <xf numFmtId="0" fontId="0" fillId="33" borderId="10" xfId="0" applyFill="1" applyBorder="1"/>
    <xf numFmtId="0" fontId="0" fillId="35" borderId="10" xfId="0" applyFill="1" applyBorder="1"/>
    <xf numFmtId="0" fontId="0" fillId="33" borderId="13" xfId="0" applyFill="1" applyBorder="1"/>
    <xf numFmtId="44" fontId="0" fillId="33" borderId="0" xfId="1" applyFont="1" applyFill="1" applyBorder="1"/>
    <xf numFmtId="165" fontId="0" fillId="33" borderId="14" xfId="2" applyNumberFormat="1" applyFont="1" applyFill="1" applyBorder="1"/>
    <xf numFmtId="0" fontId="0" fillId="34" borderId="13" xfId="0" applyFill="1" applyBorder="1"/>
    <xf numFmtId="165" fontId="0" fillId="34" borderId="14" xfId="0" applyNumberFormat="1" applyFill="1" applyBorder="1"/>
    <xf numFmtId="0" fontId="0" fillId="35" borderId="13" xfId="0" applyFill="1" applyBorder="1"/>
    <xf numFmtId="44" fontId="0" fillId="35" borderId="0" xfId="0" applyNumberFormat="1" applyFill="1"/>
    <xf numFmtId="10" fontId="0" fillId="35" borderId="14" xfId="2" applyNumberFormat="1" applyFont="1" applyFill="1" applyBorder="1"/>
    <xf numFmtId="44" fontId="0" fillId="33" borderId="13" xfId="0" applyNumberFormat="1" applyFill="1" applyBorder="1"/>
    <xf numFmtId="10" fontId="0" fillId="33" borderId="14" xfId="2" applyNumberFormat="1" applyFont="1" applyFill="1" applyBorder="1"/>
    <xf numFmtId="44" fontId="0" fillId="33" borderId="13" xfId="1" applyFont="1" applyFill="1" applyBorder="1"/>
    <xf numFmtId="0" fontId="0" fillId="34" borderId="15" xfId="0" applyFill="1" applyBorder="1"/>
    <xf numFmtId="165" fontId="0" fillId="34" borderId="16" xfId="0" applyNumberFormat="1" applyFill="1" applyBorder="1"/>
    <xf numFmtId="0" fontId="0" fillId="35" borderId="15" xfId="0" applyFill="1" applyBorder="1"/>
    <xf numFmtId="44" fontId="0" fillId="35" borderId="17" xfId="0" applyNumberFormat="1" applyFill="1" applyBorder="1"/>
    <xf numFmtId="10" fontId="0" fillId="35" borderId="16" xfId="2" applyNumberFormat="1" applyFont="1" applyFill="1" applyBorder="1"/>
    <xf numFmtId="0" fontId="0" fillId="33" borderId="15" xfId="0" applyFill="1" applyBorder="1"/>
    <xf numFmtId="10" fontId="0" fillId="33" borderId="16" xfId="2" applyNumberFormat="1" applyFont="1" applyFill="1" applyBorder="1"/>
    <xf numFmtId="0" fontId="0" fillId="36" borderId="18" xfId="0" applyFill="1" applyBorder="1"/>
    <xf numFmtId="44" fontId="0" fillId="36" borderId="19" xfId="0" applyNumberFormat="1" applyFill="1" applyBorder="1"/>
    <xf numFmtId="10" fontId="0" fillId="36" borderId="19" xfId="0" applyNumberFormat="1" applyFill="1" applyBorder="1"/>
    <xf numFmtId="44" fontId="0" fillId="37" borderId="18" xfId="0" applyNumberFormat="1" applyFill="1" applyBorder="1"/>
    <xf numFmtId="10" fontId="0" fillId="37" borderId="20" xfId="0" applyNumberFormat="1" applyFill="1" applyBorder="1"/>
    <xf numFmtId="44" fontId="0" fillId="0" borderId="0" xfId="0" applyNumberFormat="1"/>
    <xf numFmtId="44" fontId="0" fillId="33" borderId="17" xfId="1" applyFont="1" applyFill="1" applyBorder="1"/>
    <xf numFmtId="165" fontId="0" fillId="33" borderId="16" xfId="2" applyNumberFormat="1" applyFont="1" applyFill="1" applyBorder="1"/>
    <xf numFmtId="0" fontId="16" fillId="0" borderId="0" xfId="0" applyFont="1" applyAlignment="1">
      <alignment horizontal="center"/>
    </xf>
    <xf numFmtId="0" fontId="18" fillId="0" borderId="0" xfId="0" applyFont="1"/>
    <xf numFmtId="10" fontId="0" fillId="0" borderId="0" xfId="2" applyNumberFormat="1" applyFont="1"/>
    <xf numFmtId="9" fontId="0" fillId="0" borderId="0" xfId="2" applyFont="1"/>
    <xf numFmtId="8" fontId="19" fillId="0" borderId="0" xfId="0" applyNumberFormat="1" applyFont="1"/>
    <xf numFmtId="0" fontId="16" fillId="0" borderId="0" xfId="0" applyFont="1" applyAlignment="1">
      <alignment horizontal="center" vertical="center"/>
    </xf>
    <xf numFmtId="165" fontId="16" fillId="0" borderId="0" xfId="0" applyNumberFormat="1" applyFont="1" applyAlignment="1">
      <alignment horizontal="center" vertical="center"/>
    </xf>
    <xf numFmtId="10" fontId="0" fillId="0" borderId="0" xfId="0" applyNumberFormat="1" applyAlignment="1">
      <alignment horizontal="center" vertical="center"/>
    </xf>
    <xf numFmtId="49" fontId="0" fillId="0" borderId="0" xfId="0" applyNumberFormat="1" applyAlignment="1">
      <alignment horizontal="center" vertical="center"/>
    </xf>
    <xf numFmtId="10" fontId="0" fillId="39" borderId="0" xfId="0" applyNumberFormat="1" applyFill="1" applyAlignment="1">
      <alignment horizontal="center" vertical="center"/>
    </xf>
    <xf numFmtId="0" fontId="0" fillId="0" borderId="0" xfId="0" applyAlignment="1">
      <alignment horizontal="center" vertical="center"/>
    </xf>
    <xf numFmtId="0" fontId="16" fillId="0" borderId="21" xfId="0" applyFont="1" applyBorder="1" applyAlignment="1">
      <alignment horizontal="center" vertical="center"/>
    </xf>
    <xf numFmtId="165" fontId="16" fillId="0" borderId="22" xfId="0" applyNumberFormat="1" applyFont="1" applyBorder="1" applyAlignment="1">
      <alignment horizontal="center" vertical="center"/>
    </xf>
    <xf numFmtId="10" fontId="16" fillId="38" borderId="25" xfId="0" applyNumberFormat="1" applyFont="1" applyFill="1" applyBorder="1" applyAlignment="1">
      <alignment horizontal="center" vertical="center" wrapText="1"/>
    </xf>
    <xf numFmtId="10" fontId="16" fillId="40" borderId="25" xfId="0" applyNumberFormat="1" applyFont="1" applyFill="1" applyBorder="1" applyAlignment="1">
      <alignment horizontal="center" vertical="center" wrapText="1"/>
    </xf>
    <xf numFmtId="10" fontId="16" fillId="0" borderId="26" xfId="0" applyNumberFormat="1" applyFont="1" applyBorder="1" applyAlignment="1">
      <alignment horizontal="center" vertical="center"/>
    </xf>
    <xf numFmtId="10" fontId="16" fillId="0" borderId="22" xfId="0" applyNumberFormat="1" applyFont="1" applyBorder="1" applyAlignment="1">
      <alignment horizontal="center" vertical="center"/>
    </xf>
    <xf numFmtId="165" fontId="16" fillId="0" borderId="28" xfId="0" applyNumberFormat="1" applyFont="1" applyBorder="1" applyAlignment="1">
      <alignment horizontal="center" vertical="center"/>
    </xf>
    <xf numFmtId="10" fontId="0" fillId="0" borderId="29" xfId="0" applyNumberFormat="1" applyBorder="1" applyAlignment="1">
      <alignment horizontal="center" vertical="center"/>
    </xf>
    <xf numFmtId="10" fontId="0" fillId="0" borderId="30" xfId="0" applyNumberFormat="1" applyBorder="1" applyAlignment="1">
      <alignment horizontal="center" vertical="center"/>
    </xf>
    <xf numFmtId="165" fontId="20" fillId="0" borderId="32" xfId="44" applyNumberFormat="1" applyFill="1" applyBorder="1" applyAlignment="1">
      <alignment horizontal="center" vertical="center"/>
    </xf>
    <xf numFmtId="0" fontId="16" fillId="0" borderId="33" xfId="0" applyFont="1" applyBorder="1" applyAlignment="1">
      <alignment horizontal="center"/>
    </xf>
    <xf numFmtId="10" fontId="0" fillId="0" borderId="33" xfId="0" applyNumberFormat="1" applyBorder="1" applyAlignment="1">
      <alignment horizontal="center" vertical="center"/>
    </xf>
    <xf numFmtId="165" fontId="20" fillId="0" borderId="35" xfId="44" applyNumberFormat="1" applyFill="1" applyBorder="1" applyAlignment="1">
      <alignment horizontal="center" vertical="center"/>
    </xf>
    <xf numFmtId="0" fontId="16" fillId="0" borderId="36" xfId="0" applyFont="1" applyBorder="1" applyAlignment="1">
      <alignment horizontal="center"/>
    </xf>
    <xf numFmtId="10" fontId="0" fillId="0" borderId="36" xfId="0" applyNumberFormat="1" applyBorder="1" applyAlignment="1">
      <alignment horizontal="center" vertical="center"/>
    </xf>
    <xf numFmtId="0" fontId="16" fillId="0" borderId="35" xfId="0" applyFont="1" applyBorder="1" applyAlignment="1">
      <alignment horizontal="center" vertical="center"/>
    </xf>
    <xf numFmtId="10" fontId="0" fillId="0" borderId="34" xfId="0" applyNumberFormat="1" applyBorder="1" applyAlignment="1">
      <alignment horizontal="center" vertical="center"/>
    </xf>
    <xf numFmtId="10" fontId="0" fillId="0" borderId="37" xfId="0" applyNumberFormat="1" applyBorder="1" applyAlignment="1">
      <alignment horizontal="center" vertical="center"/>
    </xf>
    <xf numFmtId="10" fontId="0" fillId="0" borderId="39" xfId="0" applyNumberFormat="1" applyBorder="1" applyAlignment="1">
      <alignment horizontal="center" vertical="center"/>
    </xf>
    <xf numFmtId="165" fontId="20" fillId="0" borderId="0" xfId="44" applyNumberFormat="1" applyBorder="1" applyAlignment="1">
      <alignment horizontal="center" vertical="center"/>
    </xf>
    <xf numFmtId="10" fontId="16" fillId="41" borderId="40" xfId="0" applyNumberFormat="1" applyFont="1" applyFill="1" applyBorder="1" applyAlignment="1">
      <alignment horizontal="center" vertical="center"/>
    </xf>
    <xf numFmtId="0" fontId="16" fillId="0" borderId="42" xfId="0" applyFont="1" applyBorder="1" applyAlignment="1">
      <alignment horizontal="center" vertical="center"/>
    </xf>
    <xf numFmtId="0" fontId="16" fillId="0" borderId="33" xfId="0" applyFont="1" applyBorder="1" applyAlignment="1">
      <alignment horizontal="center" vertical="center"/>
    </xf>
    <xf numFmtId="10" fontId="0" fillId="0" borderId="31" xfId="0" applyNumberFormat="1" applyBorder="1" applyAlignment="1">
      <alignment horizontal="center" vertical="center"/>
    </xf>
    <xf numFmtId="0" fontId="16" fillId="0" borderId="22" xfId="0" applyFont="1" applyBorder="1" applyAlignment="1">
      <alignment horizontal="center" vertical="center"/>
    </xf>
    <xf numFmtId="10" fontId="0" fillId="0" borderId="13" xfId="2" applyNumberFormat="1" applyFont="1" applyBorder="1"/>
    <xf numFmtId="165" fontId="21" fillId="0" borderId="0" xfId="0" applyNumberFormat="1" applyFont="1" applyAlignment="1">
      <alignment horizontal="center" vertical="center"/>
    </xf>
    <xf numFmtId="0" fontId="16" fillId="42" borderId="45" xfId="0" applyFont="1" applyFill="1" applyBorder="1" applyAlignment="1">
      <alignment vertical="center"/>
    </xf>
    <xf numFmtId="165" fontId="20" fillId="42" borderId="38" xfId="44" applyNumberFormat="1" applyFill="1" applyBorder="1" applyAlignment="1">
      <alignment horizontal="center" vertical="center"/>
    </xf>
    <xf numFmtId="0" fontId="16" fillId="42" borderId="39" xfId="0" applyFont="1" applyFill="1" applyBorder="1" applyAlignment="1">
      <alignment horizontal="center" vertical="center"/>
    </xf>
    <xf numFmtId="10" fontId="16" fillId="42" borderId="37" xfId="0" applyNumberFormat="1" applyFont="1" applyFill="1" applyBorder="1" applyAlignment="1">
      <alignment horizontal="center" vertical="center"/>
    </xf>
    <xf numFmtId="10" fontId="16" fillId="42" borderId="39" xfId="0" applyNumberFormat="1" applyFont="1" applyFill="1" applyBorder="1" applyAlignment="1">
      <alignment horizontal="center" vertical="center"/>
    </xf>
    <xf numFmtId="0" fontId="16" fillId="0" borderId="39" xfId="0" applyFont="1" applyBorder="1" applyAlignment="1">
      <alignment horizontal="center" vertical="center"/>
    </xf>
    <xf numFmtId="165" fontId="20" fillId="0" borderId="32" xfId="44" applyNumberFormat="1" applyBorder="1" applyAlignment="1">
      <alignment horizontal="center" vertical="center"/>
    </xf>
    <xf numFmtId="165" fontId="20" fillId="0" borderId="38" xfId="44" applyNumberFormat="1" applyBorder="1" applyAlignment="1">
      <alignment horizontal="center" vertical="center"/>
    </xf>
    <xf numFmtId="10" fontId="0" fillId="0" borderId="48" xfId="0" applyNumberFormat="1" applyBorder="1" applyAlignment="1">
      <alignment horizontal="center" vertical="center"/>
    </xf>
    <xf numFmtId="10" fontId="16" fillId="40" borderId="19" xfId="0" applyNumberFormat="1" applyFont="1" applyFill="1" applyBorder="1" applyAlignment="1">
      <alignment horizontal="center" vertical="center"/>
    </xf>
    <xf numFmtId="10" fontId="16" fillId="0" borderId="0" xfId="0" applyNumberFormat="1" applyFont="1" applyAlignment="1">
      <alignment horizontal="center" vertical="center"/>
    </xf>
    <xf numFmtId="165" fontId="20" fillId="0" borderId="46" xfId="44" applyNumberFormat="1" applyBorder="1" applyAlignment="1">
      <alignment horizontal="center" vertical="center"/>
    </xf>
    <xf numFmtId="165" fontId="20" fillId="0" borderId="49" xfId="44" applyNumberFormat="1" applyBorder="1" applyAlignment="1">
      <alignment horizontal="center" vertical="center"/>
    </xf>
    <xf numFmtId="0" fontId="16" fillId="0" borderId="50" xfId="0" applyFont="1" applyBorder="1" applyAlignment="1">
      <alignment horizontal="center" vertical="center"/>
    </xf>
    <xf numFmtId="165" fontId="20" fillId="0" borderId="51" xfId="44" applyNumberFormat="1" applyBorder="1" applyAlignment="1">
      <alignment horizontal="center" vertical="center"/>
    </xf>
    <xf numFmtId="0" fontId="16" fillId="0" borderId="52" xfId="0" applyFont="1" applyBorder="1" applyAlignment="1">
      <alignment horizontal="center" vertical="center"/>
    </xf>
    <xf numFmtId="10" fontId="16" fillId="43" borderId="29" xfId="0" applyNumberFormat="1" applyFont="1" applyFill="1" applyBorder="1" applyAlignment="1">
      <alignment horizontal="center" vertical="center"/>
    </xf>
    <xf numFmtId="10" fontId="16" fillId="43" borderId="30" xfId="0" applyNumberFormat="1" applyFont="1" applyFill="1" applyBorder="1" applyAlignment="1">
      <alignment horizontal="center" vertical="center"/>
    </xf>
    <xf numFmtId="10" fontId="16" fillId="43" borderId="40" xfId="0" applyNumberFormat="1" applyFont="1" applyFill="1" applyBorder="1" applyAlignment="1">
      <alignment horizontal="center" vertical="center"/>
    </xf>
    <xf numFmtId="10" fontId="16" fillId="36" borderId="40" xfId="0" applyNumberFormat="1" applyFont="1" applyFill="1" applyBorder="1" applyAlignment="1">
      <alignment horizontal="center" vertical="center"/>
    </xf>
    <xf numFmtId="10" fontId="16" fillId="39" borderId="40" xfId="0" applyNumberFormat="1" applyFont="1" applyFill="1" applyBorder="1" applyAlignment="1">
      <alignment horizontal="center" vertical="center"/>
    </xf>
    <xf numFmtId="0" fontId="22" fillId="0" borderId="0" xfId="0" applyFont="1"/>
    <xf numFmtId="10" fontId="14" fillId="0" borderId="0" xfId="2" applyNumberFormat="1" applyFont="1"/>
    <xf numFmtId="164" fontId="14" fillId="0" borderId="0" xfId="2" applyNumberFormat="1" applyFont="1"/>
    <xf numFmtId="8" fontId="14" fillId="0" borderId="0" xfId="0" applyNumberFormat="1" applyFont="1"/>
    <xf numFmtId="0" fontId="14" fillId="0" borderId="0" xfId="0" applyFont="1"/>
    <xf numFmtId="44" fontId="0" fillId="0" borderId="0" xfId="1" applyFont="1"/>
    <xf numFmtId="0" fontId="0" fillId="0" borderId="11" xfId="0" applyBorder="1"/>
    <xf numFmtId="0" fontId="0" fillId="0" borderId="12" xfId="0" applyBorder="1"/>
    <xf numFmtId="10" fontId="19" fillId="0" borderId="0" xfId="2" applyNumberFormat="1" applyFont="1" applyFill="1"/>
    <xf numFmtId="14" fontId="16" fillId="0" borderId="0" xfId="0" applyNumberFormat="1" applyFont="1" applyAlignment="1">
      <alignment horizontal="center"/>
    </xf>
    <xf numFmtId="0" fontId="16" fillId="0" borderId="32" xfId="0" applyFont="1" applyBorder="1" applyAlignment="1">
      <alignment horizontal="center" vertical="center"/>
    </xf>
    <xf numFmtId="0" fontId="0" fillId="42" borderId="0" xfId="0" applyFill="1"/>
    <xf numFmtId="0" fontId="23" fillId="44" borderId="54" xfId="0" applyFont="1" applyFill="1" applyBorder="1" applyAlignment="1">
      <alignment horizontal="center"/>
    </xf>
    <xf numFmtId="0" fontId="14" fillId="42" borderId="0" xfId="0" applyFont="1" applyFill="1"/>
    <xf numFmtId="0" fontId="13" fillId="44" borderId="54" xfId="0" applyFont="1" applyFill="1" applyBorder="1" applyAlignment="1">
      <alignment horizontal="center"/>
    </xf>
    <xf numFmtId="0" fontId="17" fillId="44" borderId="54" xfId="0" applyFont="1" applyFill="1" applyBorder="1" applyAlignment="1">
      <alignment horizontal="center"/>
    </xf>
    <xf numFmtId="44" fontId="0" fillId="34" borderId="0" xfId="2" applyNumberFormat="1" applyFont="1" applyFill="1" applyBorder="1"/>
    <xf numFmtId="44" fontId="16" fillId="34" borderId="0" xfId="2" applyNumberFormat="1" applyFont="1" applyFill="1" applyBorder="1"/>
    <xf numFmtId="8" fontId="0" fillId="42" borderId="0" xfId="0" applyNumberFormat="1" applyFill="1"/>
    <xf numFmtId="165" fontId="0" fillId="42" borderId="0" xfId="0" applyNumberFormat="1" applyFill="1"/>
    <xf numFmtId="10" fontId="0" fillId="34" borderId="17" xfId="2" applyNumberFormat="1" applyFont="1" applyFill="1" applyBorder="1"/>
    <xf numFmtId="10" fontId="0" fillId="34" borderId="19" xfId="0" applyNumberFormat="1" applyFill="1" applyBorder="1"/>
    <xf numFmtId="44" fontId="0" fillId="42" borderId="0" xfId="0" applyNumberFormat="1" applyFill="1"/>
    <xf numFmtId="0" fontId="0" fillId="0" borderId="15" xfId="0" applyBorder="1" applyAlignment="1">
      <alignment horizontal="center"/>
    </xf>
    <xf numFmtId="0" fontId="0" fillId="0" borderId="17" xfId="0" applyBorder="1" applyAlignment="1">
      <alignment horizontal="center"/>
    </xf>
    <xf numFmtId="1" fontId="0" fillId="0" borderId="0" xfId="0" applyNumberFormat="1"/>
    <xf numFmtId="10" fontId="0" fillId="42" borderId="0" xfId="0" applyNumberFormat="1" applyFill="1"/>
    <xf numFmtId="0" fontId="16" fillId="0" borderId="38" xfId="0" applyFont="1" applyBorder="1" applyAlignment="1">
      <alignment vertical="center"/>
    </xf>
    <xf numFmtId="10" fontId="0" fillId="0" borderId="13" xfId="0" applyNumberFormat="1" applyBorder="1" applyAlignment="1">
      <alignment horizontal="center" vertical="center"/>
    </xf>
    <xf numFmtId="0" fontId="16" fillId="41" borderId="18" xfId="0" applyFont="1" applyFill="1" applyBorder="1" applyAlignment="1">
      <alignment vertical="center"/>
    </xf>
    <xf numFmtId="0" fontId="16" fillId="41" borderId="19" xfId="0" applyFont="1" applyFill="1" applyBorder="1" applyAlignment="1">
      <alignment vertical="center"/>
    </xf>
    <xf numFmtId="0" fontId="16" fillId="41" borderId="27" xfId="0" applyFont="1" applyFill="1" applyBorder="1" applyAlignment="1">
      <alignment vertical="center"/>
    </xf>
    <xf numFmtId="0" fontId="16" fillId="43" borderId="18" xfId="0" applyFont="1" applyFill="1" applyBorder="1" applyAlignment="1">
      <alignment vertical="center"/>
    </xf>
    <xf numFmtId="0" fontId="16" fillId="43" borderId="19" xfId="0" applyFont="1" applyFill="1" applyBorder="1" applyAlignment="1">
      <alignment vertical="center"/>
    </xf>
    <xf numFmtId="0" fontId="16" fillId="43" borderId="27" xfId="0" applyFont="1" applyFill="1" applyBorder="1" applyAlignment="1">
      <alignment vertical="center"/>
    </xf>
    <xf numFmtId="0" fontId="16" fillId="40" borderId="18" xfId="0" applyFont="1" applyFill="1" applyBorder="1"/>
    <xf numFmtId="0" fontId="16" fillId="40" borderId="19" xfId="0" applyFont="1" applyFill="1" applyBorder="1"/>
    <xf numFmtId="0" fontId="16" fillId="0" borderId="18" xfId="0" applyFont="1" applyBorder="1" applyAlignment="1">
      <alignment vertical="center"/>
    </xf>
    <xf numFmtId="0" fontId="16" fillId="0" borderId="19" xfId="0" applyFont="1" applyBorder="1" applyAlignment="1">
      <alignment vertical="center"/>
    </xf>
    <xf numFmtId="0" fontId="16" fillId="0" borderId="27" xfId="0" applyFont="1" applyBorder="1" applyAlignment="1">
      <alignment vertical="center"/>
    </xf>
    <xf numFmtId="0" fontId="13" fillId="44" borderId="55" xfId="0" applyFont="1" applyFill="1" applyBorder="1" applyAlignment="1">
      <alignment wrapText="1"/>
    </xf>
    <xf numFmtId="0" fontId="13" fillId="44" borderId="56" xfId="0" applyFont="1" applyFill="1" applyBorder="1" applyAlignment="1">
      <alignment wrapText="1"/>
    </xf>
    <xf numFmtId="0" fontId="14" fillId="42" borderId="0" xfId="0" applyFont="1" applyFill="1" applyAlignment="1">
      <alignment vertical="center"/>
    </xf>
    <xf numFmtId="44" fontId="16" fillId="0" borderId="33" xfId="1" applyFont="1" applyBorder="1" applyAlignment="1">
      <alignment horizontal="center" vertical="center"/>
    </xf>
    <xf numFmtId="0" fontId="0" fillId="0" borderId="0" xfId="0" pivotButton="1"/>
    <xf numFmtId="0" fontId="0" fillId="0" borderId="0" xfId="0" applyAlignment="1">
      <alignment horizontal="left"/>
    </xf>
    <xf numFmtId="0" fontId="0" fillId="0" borderId="14" xfId="0" applyBorder="1"/>
    <xf numFmtId="166" fontId="16" fillId="0" borderId="0" xfId="0" applyNumberFormat="1" applyFont="1" applyAlignment="1">
      <alignment horizontal="center" vertical="center"/>
    </xf>
    <xf numFmtId="6" fontId="16" fillId="0" borderId="0" xfId="0" applyNumberFormat="1" applyFont="1" applyAlignment="1">
      <alignment horizontal="center" vertical="center"/>
    </xf>
    <xf numFmtId="9" fontId="16" fillId="0" borderId="0" xfId="0" applyNumberFormat="1" applyFont="1" applyAlignment="1">
      <alignment horizontal="center" vertical="center"/>
    </xf>
    <xf numFmtId="167" fontId="16" fillId="0" borderId="0" xfId="0" applyNumberFormat="1" applyFont="1" applyAlignment="1">
      <alignment horizontal="center" vertical="center"/>
    </xf>
    <xf numFmtId="165" fontId="16" fillId="0" borderId="23" xfId="0" applyNumberFormat="1" applyFont="1" applyBorder="1" applyAlignment="1">
      <alignment horizontal="center" vertical="center"/>
    </xf>
    <xf numFmtId="0" fontId="16" fillId="0" borderId="24" xfId="0" applyFont="1" applyBorder="1" applyAlignment="1">
      <alignment horizontal="center" vertical="center"/>
    </xf>
    <xf numFmtId="10" fontId="0" fillId="0" borderId="58" xfId="0" applyNumberFormat="1" applyBorder="1" applyAlignment="1">
      <alignment horizontal="center" vertical="center"/>
    </xf>
    <xf numFmtId="10" fontId="0" fillId="0" borderId="59" xfId="0" applyNumberFormat="1" applyBorder="1" applyAlignment="1">
      <alignment horizontal="center" vertical="center"/>
    </xf>
    <xf numFmtId="10" fontId="0" fillId="0" borderId="60" xfId="0" applyNumberFormat="1" applyBorder="1" applyAlignment="1">
      <alignment horizontal="center" vertical="center"/>
    </xf>
    <xf numFmtId="0" fontId="24" fillId="0" borderId="47" xfId="0" applyFont="1" applyBorder="1" applyAlignment="1">
      <alignment horizontal="center" vertical="center"/>
    </xf>
    <xf numFmtId="165" fontId="20" fillId="0" borderId="45" xfId="44" applyNumberFormat="1" applyBorder="1" applyAlignment="1">
      <alignment horizontal="center" vertical="center"/>
    </xf>
    <xf numFmtId="0" fontId="16" fillId="0" borderId="61" xfId="0" applyFont="1" applyBorder="1" applyAlignment="1">
      <alignment horizontal="center" vertical="center"/>
    </xf>
    <xf numFmtId="10" fontId="0" fillId="0" borderId="31" xfId="0" applyNumberFormat="1" applyBorder="1" applyAlignment="1">
      <alignment vertical="center"/>
    </xf>
    <xf numFmtId="10" fontId="0" fillId="0" borderId="34" xfId="0" applyNumberFormat="1" applyBorder="1" applyAlignment="1">
      <alignment vertical="center"/>
    </xf>
    <xf numFmtId="10" fontId="0" fillId="0" borderId="37" xfId="0" applyNumberFormat="1" applyBorder="1" applyAlignment="1">
      <alignment vertical="center"/>
    </xf>
    <xf numFmtId="10" fontId="0" fillId="0" borderId="58" xfId="0" applyNumberFormat="1" applyBorder="1" applyAlignment="1">
      <alignment vertical="center"/>
    </xf>
    <xf numFmtId="10" fontId="0" fillId="0" borderId="59" xfId="0" applyNumberFormat="1" applyBorder="1" applyAlignment="1">
      <alignment vertical="center"/>
    </xf>
    <xf numFmtId="10" fontId="0" fillId="0" borderId="60" xfId="0" applyNumberFormat="1" applyBorder="1" applyAlignment="1">
      <alignment vertical="center"/>
    </xf>
    <xf numFmtId="0" fontId="25" fillId="44" borderId="0" xfId="0" applyFont="1" applyFill="1" applyAlignment="1">
      <alignment horizontal="center"/>
    </xf>
    <xf numFmtId="0" fontId="17" fillId="44" borderId="54" xfId="0" applyFont="1" applyFill="1" applyBorder="1" applyAlignment="1">
      <alignment horizontal="center" wrapText="1"/>
    </xf>
    <xf numFmtId="0" fontId="13" fillId="44" borderId="54" xfId="0" applyFont="1" applyFill="1" applyBorder="1" applyAlignment="1">
      <alignment horizontal="center" wrapText="1"/>
    </xf>
    <xf numFmtId="0" fontId="16" fillId="0" borderId="41" xfId="0" applyFont="1" applyBorder="1" applyAlignment="1">
      <alignment horizontal="center" vertical="center"/>
    </xf>
    <xf numFmtId="0" fontId="16" fillId="0" borderId="43" xfId="0" applyFont="1" applyBorder="1" applyAlignment="1">
      <alignment horizontal="center" vertical="center"/>
    </xf>
    <xf numFmtId="0" fontId="16" fillId="0" borderId="44" xfId="0" applyFont="1" applyBorder="1" applyAlignment="1">
      <alignment horizontal="center" vertical="center"/>
    </xf>
    <xf numFmtId="0" fontId="16" fillId="0" borderId="31" xfId="0" applyFont="1" applyBorder="1" applyAlignment="1">
      <alignment horizontal="center" vertical="center"/>
    </xf>
    <xf numFmtId="0" fontId="16" fillId="0" borderId="34" xfId="0" applyFont="1" applyBorder="1" applyAlignment="1">
      <alignment horizontal="center" vertical="center"/>
    </xf>
    <xf numFmtId="0" fontId="16" fillId="0" borderId="37" xfId="0" applyFont="1" applyBorder="1" applyAlignment="1">
      <alignment horizontal="center" vertical="center"/>
    </xf>
    <xf numFmtId="10" fontId="0" fillId="0" borderId="31" xfId="0" applyNumberFormat="1" applyBorder="1" applyAlignment="1">
      <alignment horizontal="center" vertical="center"/>
    </xf>
    <xf numFmtId="10" fontId="0" fillId="0" borderId="34" xfId="0" applyNumberFormat="1" applyBorder="1" applyAlignment="1">
      <alignment horizontal="center" vertical="center"/>
    </xf>
    <xf numFmtId="0" fontId="16" fillId="0" borderId="49" xfId="0" applyFont="1" applyBorder="1" applyAlignment="1">
      <alignment horizontal="center" vertical="center"/>
    </xf>
    <xf numFmtId="0" fontId="16" fillId="0" borderId="51" xfId="0" applyFont="1" applyBorder="1" applyAlignment="1">
      <alignment horizontal="center" vertical="center"/>
    </xf>
    <xf numFmtId="165" fontId="16" fillId="0" borderId="0" xfId="0" applyNumberFormat="1" applyFont="1" applyAlignment="1">
      <alignment horizontal="center" vertical="center"/>
    </xf>
    <xf numFmtId="10" fontId="0" fillId="0" borderId="62" xfId="0" applyNumberFormat="1" applyBorder="1" applyAlignment="1">
      <alignment horizontal="center" vertical="center"/>
    </xf>
    <xf numFmtId="10" fontId="0" fillId="0" borderId="63" xfId="0" applyNumberFormat="1" applyBorder="1" applyAlignment="1">
      <alignment horizontal="center" vertical="center"/>
    </xf>
    <xf numFmtId="10" fontId="0" fillId="0" borderId="0" xfId="0" applyNumberFormat="1" applyAlignment="1">
      <alignment horizontal="center" vertical="center"/>
    </xf>
    <xf numFmtId="0" fontId="16" fillId="0" borderId="53" xfId="0" applyFont="1" applyBorder="1" applyAlignment="1">
      <alignment horizontal="center" vertical="center"/>
    </xf>
    <xf numFmtId="0" fontId="16" fillId="0" borderId="38" xfId="0" applyFont="1" applyBorder="1" applyAlignment="1">
      <alignment horizontal="center" vertical="center"/>
    </xf>
    <xf numFmtId="10" fontId="0" fillId="0" borderId="64" xfId="0" applyNumberFormat="1" applyBorder="1" applyAlignment="1">
      <alignment horizontal="center" vertical="center"/>
    </xf>
    <xf numFmtId="10" fontId="0" fillId="0" borderId="37" xfId="0" applyNumberFormat="1" applyBorder="1" applyAlignment="1">
      <alignment horizontal="center" vertical="center"/>
    </xf>
    <xf numFmtId="0" fontId="16" fillId="0" borderId="32" xfId="0" applyFont="1" applyBorder="1" applyAlignment="1">
      <alignment horizontal="center" vertical="center"/>
    </xf>
    <xf numFmtId="0" fontId="16" fillId="43" borderId="18" xfId="0" applyFont="1" applyFill="1" applyBorder="1" applyAlignment="1">
      <alignment horizontal="center" vertical="center"/>
    </xf>
    <xf numFmtId="0" fontId="16" fillId="43" borderId="19" xfId="0" applyFont="1" applyFill="1" applyBorder="1" applyAlignment="1">
      <alignment horizontal="center" vertical="center"/>
    </xf>
    <xf numFmtId="0" fontId="16" fillId="43" borderId="27" xfId="0" applyFont="1" applyFill="1" applyBorder="1" applyAlignment="1">
      <alignment horizontal="center" vertical="center"/>
    </xf>
    <xf numFmtId="0" fontId="16" fillId="36" borderId="18" xfId="0" applyFont="1" applyFill="1" applyBorder="1" applyAlignment="1">
      <alignment horizontal="center" vertical="center"/>
    </xf>
    <xf numFmtId="0" fontId="16" fillId="36" borderId="19" xfId="0" applyFont="1" applyFill="1" applyBorder="1" applyAlignment="1">
      <alignment horizontal="center" vertical="center"/>
    </xf>
    <xf numFmtId="0" fontId="16" fillId="36" borderId="27" xfId="0" applyFont="1" applyFill="1" applyBorder="1" applyAlignment="1">
      <alignment horizontal="center" vertical="center"/>
    </xf>
    <xf numFmtId="0" fontId="16" fillId="39" borderId="18" xfId="0" applyFont="1" applyFill="1" applyBorder="1" applyAlignment="1">
      <alignment horizontal="center" vertical="center"/>
    </xf>
    <xf numFmtId="0" fontId="16" fillId="39" borderId="19" xfId="0" applyFont="1" applyFill="1" applyBorder="1" applyAlignment="1">
      <alignment horizontal="center" vertical="center"/>
    </xf>
    <xf numFmtId="0" fontId="16" fillId="39" borderId="27" xfId="0" applyFont="1" applyFill="1" applyBorder="1" applyAlignment="1">
      <alignment horizontal="center" vertical="center"/>
    </xf>
    <xf numFmtId="0" fontId="16" fillId="0" borderId="46" xfId="0" applyFont="1" applyBorder="1" applyAlignment="1">
      <alignment horizontal="center" vertical="center"/>
    </xf>
    <xf numFmtId="10" fontId="0" fillId="0" borderId="57" xfId="0" applyNumberFormat="1" applyBorder="1" applyAlignment="1">
      <alignment horizontal="center" vertic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Dashboard.xlsx]Security Type!PivotTable2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 Type'!$P$37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'Security Type'!$O$38:$O$49</c:f>
              <c:strCache>
                <c:ptCount val="11"/>
                <c:pt idx="0">
                  <c:v>Info Tech</c:v>
                </c:pt>
                <c:pt idx="1">
                  <c:v>Cons Disc</c:v>
                </c:pt>
                <c:pt idx="2">
                  <c:v>Health Care</c:v>
                </c:pt>
                <c:pt idx="3">
                  <c:v>Financials</c:v>
                </c:pt>
                <c:pt idx="4">
                  <c:v>Comm Services</c:v>
                </c:pt>
                <c:pt idx="5">
                  <c:v>Energy</c:v>
                </c:pt>
                <c:pt idx="6">
                  <c:v>Industrials</c:v>
                </c:pt>
                <c:pt idx="7">
                  <c:v>Real Estate</c:v>
                </c:pt>
                <c:pt idx="8">
                  <c:v>Cons Staples</c:v>
                </c:pt>
                <c:pt idx="9">
                  <c:v>Utilities</c:v>
                </c:pt>
                <c:pt idx="10">
                  <c:v>Materials</c:v>
                </c:pt>
              </c:strCache>
            </c:strRef>
          </c:cat>
          <c:val>
            <c:numRef>
              <c:f>'Security Type'!$P$38:$P$49</c:f>
              <c:numCache>
                <c:formatCode>0.00%</c:formatCode>
                <c:ptCount val="11"/>
                <c:pt idx="0">
                  <c:v>0.30010149205738867</c:v>
                </c:pt>
                <c:pt idx="1">
                  <c:v>0.25675641496585488</c:v>
                </c:pt>
                <c:pt idx="2">
                  <c:v>0.11165024516901777</c:v>
                </c:pt>
                <c:pt idx="3">
                  <c:v>7.2713584082449573E-2</c:v>
                </c:pt>
                <c:pt idx="4">
                  <c:v>5.9497217890958791E-2</c:v>
                </c:pt>
                <c:pt idx="5">
                  <c:v>4.6216236121007823E-2</c:v>
                </c:pt>
                <c:pt idx="6">
                  <c:v>4.2052853213111106E-2</c:v>
                </c:pt>
                <c:pt idx="7">
                  <c:v>3.1073854666635915E-2</c:v>
                </c:pt>
                <c:pt idx="8">
                  <c:v>2.8702257490173837E-2</c:v>
                </c:pt>
                <c:pt idx="9">
                  <c:v>2.8219143922256561E-2</c:v>
                </c:pt>
                <c:pt idx="10">
                  <c:v>2.3016700421144998E-2</c:v>
                </c:pt>
              </c:numCache>
            </c:numRef>
          </c:val>
          <c:extLst>
            <c:ext xmlns:c16="http://schemas.microsoft.com/office/drawing/2014/chart" uri="{C3380CC4-5D6E-409C-BE32-E72D297353CC}">
              <c16:uniqueId val="{00000000-5160-423C-A809-C4F9C94E1EAB}"/>
            </c:ext>
          </c:extLst>
        </c:ser>
        <c:dLbls>
          <c:dLblPos val="outEnd"/>
          <c:showLegendKey val="0"/>
          <c:showVal val="1"/>
          <c:showCatName val="0"/>
          <c:showSerName val="0"/>
          <c:showPercent val="0"/>
          <c:showBubbleSize val="0"/>
        </c:dLbls>
        <c:gapWidth val="219"/>
        <c:axId val="984609343"/>
        <c:axId val="984608095"/>
      </c:barChart>
      <c:catAx>
        <c:axId val="984609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84608095"/>
        <c:crosses val="autoZero"/>
        <c:auto val="1"/>
        <c:lblAlgn val="ctr"/>
        <c:lblOffset val="100"/>
        <c:noMultiLvlLbl val="0"/>
      </c:catAx>
      <c:valAx>
        <c:axId val="984608095"/>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9846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Dashboard.xlsx]Security Type!PivotTable2</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 Type'!$P$37</c:f>
              <c:strCache>
                <c:ptCount val="1"/>
                <c:pt idx="0">
                  <c:v>Total</c:v>
                </c:pt>
              </c:strCache>
            </c:strRef>
          </c:tx>
          <c:spPr>
            <a:solidFill>
              <a:schemeClr val="accent1"/>
            </a:solidFill>
            <a:ln>
              <a:noFill/>
            </a:ln>
            <a:effectLst/>
          </c:spPr>
          <c:invertIfNegative val="0"/>
          <c:cat>
            <c:strRef>
              <c:f>'Security Type'!$O$38:$O$49</c:f>
              <c:strCache>
                <c:ptCount val="11"/>
                <c:pt idx="0">
                  <c:v>Info Tech</c:v>
                </c:pt>
                <c:pt idx="1">
                  <c:v>Cons Disc</c:v>
                </c:pt>
                <c:pt idx="2">
                  <c:v>Health Care</c:v>
                </c:pt>
                <c:pt idx="3">
                  <c:v>Financials</c:v>
                </c:pt>
                <c:pt idx="4">
                  <c:v>Comm Services</c:v>
                </c:pt>
                <c:pt idx="5">
                  <c:v>Energy</c:v>
                </c:pt>
                <c:pt idx="6">
                  <c:v>Industrials</c:v>
                </c:pt>
                <c:pt idx="7">
                  <c:v>Real Estate</c:v>
                </c:pt>
                <c:pt idx="8">
                  <c:v>Cons Staples</c:v>
                </c:pt>
                <c:pt idx="9">
                  <c:v>Utilities</c:v>
                </c:pt>
                <c:pt idx="10">
                  <c:v>Materials</c:v>
                </c:pt>
              </c:strCache>
            </c:strRef>
          </c:cat>
          <c:val>
            <c:numRef>
              <c:f>'Security Type'!$P$38:$P$49</c:f>
              <c:numCache>
                <c:formatCode>0.00%</c:formatCode>
                <c:ptCount val="11"/>
                <c:pt idx="0">
                  <c:v>0.30010149205738867</c:v>
                </c:pt>
                <c:pt idx="1">
                  <c:v>0.25675641496585488</c:v>
                </c:pt>
                <c:pt idx="2">
                  <c:v>0.11165024516901777</c:v>
                </c:pt>
                <c:pt idx="3">
                  <c:v>7.2713584082449573E-2</c:v>
                </c:pt>
                <c:pt idx="4">
                  <c:v>5.9497217890958791E-2</c:v>
                </c:pt>
                <c:pt idx="5">
                  <c:v>4.6216236121007823E-2</c:v>
                </c:pt>
                <c:pt idx="6">
                  <c:v>4.2052853213111106E-2</c:v>
                </c:pt>
                <c:pt idx="7">
                  <c:v>3.1073854666635915E-2</c:v>
                </c:pt>
                <c:pt idx="8">
                  <c:v>2.8702257490173837E-2</c:v>
                </c:pt>
                <c:pt idx="9">
                  <c:v>2.8219143922256561E-2</c:v>
                </c:pt>
                <c:pt idx="10">
                  <c:v>2.3016700421144998E-2</c:v>
                </c:pt>
              </c:numCache>
            </c:numRef>
          </c:val>
          <c:extLst>
            <c:ext xmlns:c16="http://schemas.microsoft.com/office/drawing/2014/chart" uri="{C3380CC4-5D6E-409C-BE32-E72D297353CC}">
              <c16:uniqueId val="{00000000-2382-469D-93EE-BF1B86D56499}"/>
            </c:ext>
          </c:extLst>
        </c:ser>
        <c:dLbls>
          <c:showLegendKey val="0"/>
          <c:showVal val="0"/>
          <c:showCatName val="0"/>
          <c:showSerName val="0"/>
          <c:showPercent val="0"/>
          <c:showBubbleSize val="0"/>
        </c:dLbls>
        <c:gapWidth val="219"/>
        <c:overlap val="-27"/>
        <c:axId val="984609343"/>
        <c:axId val="984608095"/>
      </c:barChart>
      <c:catAx>
        <c:axId val="98460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608095"/>
        <c:crosses val="autoZero"/>
        <c:auto val="1"/>
        <c:lblAlgn val="ctr"/>
        <c:lblOffset val="100"/>
        <c:noMultiLvlLbl val="0"/>
      </c:catAx>
      <c:valAx>
        <c:axId val="984608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6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342899</xdr:colOff>
      <xdr:row>9</xdr:row>
      <xdr:rowOff>171449</xdr:rowOff>
    </xdr:from>
    <xdr:to>
      <xdr:col>9</xdr:col>
      <xdr:colOff>0</xdr:colOff>
      <xdr:row>15</xdr:row>
      <xdr:rowOff>171450</xdr:rowOff>
    </xdr:to>
    <xdr:sp macro="" textlink="">
      <xdr:nvSpPr>
        <xdr:cNvPr id="5" name="Rectangle 4">
          <a:extLst>
            <a:ext uri="{FF2B5EF4-FFF2-40B4-BE49-F238E27FC236}">
              <a16:creationId xmlns:a16="http://schemas.microsoft.com/office/drawing/2014/main" id="{17D3D53F-C453-6209-1187-19F3F1B578F4}"/>
            </a:ext>
          </a:extLst>
        </xdr:cNvPr>
        <xdr:cNvSpPr/>
      </xdr:nvSpPr>
      <xdr:spPr>
        <a:xfrm>
          <a:off x="6124574" y="2162174"/>
          <a:ext cx="4400551" cy="1171576"/>
        </a:xfrm>
        <a:prstGeom prst="rect">
          <a:avLst/>
        </a:prstGeom>
        <a:solidFill>
          <a:schemeClr val="accent2">
            <a:lumMod val="20000"/>
            <a:lumOff val="8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150159</xdr:colOff>
      <xdr:row>1</xdr:row>
      <xdr:rowOff>100853</xdr:rowOff>
    </xdr:from>
    <xdr:to>
      <xdr:col>3</xdr:col>
      <xdr:colOff>723900</xdr:colOff>
      <xdr:row>1</xdr:row>
      <xdr:rowOff>228600</xdr:rowOff>
    </xdr:to>
    <xdr:sp macro="" textlink="">
      <xdr:nvSpPr>
        <xdr:cNvPr id="2" name="Arrow: Left 1">
          <a:extLst>
            <a:ext uri="{FF2B5EF4-FFF2-40B4-BE49-F238E27FC236}">
              <a16:creationId xmlns:a16="http://schemas.microsoft.com/office/drawing/2014/main" id="{CDFBE0C7-5CE9-4BA2-92A9-9BA53DA52096}"/>
            </a:ext>
          </a:extLst>
        </xdr:cNvPr>
        <xdr:cNvSpPr/>
      </xdr:nvSpPr>
      <xdr:spPr>
        <a:xfrm>
          <a:off x="5084109" y="300878"/>
          <a:ext cx="573741" cy="12774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352426</xdr:colOff>
      <xdr:row>9</xdr:row>
      <xdr:rowOff>171451</xdr:rowOff>
    </xdr:from>
    <xdr:to>
      <xdr:col>9</xdr:col>
      <xdr:colOff>9526</xdr:colOff>
      <xdr:row>15</xdr:row>
      <xdr:rowOff>180976</xdr:rowOff>
    </xdr:to>
    <xdr:graphicFrame macro="">
      <xdr:nvGraphicFramePr>
        <xdr:cNvPr id="4" name="Chart 3">
          <a:extLst>
            <a:ext uri="{FF2B5EF4-FFF2-40B4-BE49-F238E27FC236}">
              <a16:creationId xmlns:a16="http://schemas.microsoft.com/office/drawing/2014/main" id="{12EB2DAE-BF02-4DDA-836A-859A40688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138112</xdr:colOff>
      <xdr:row>50</xdr:row>
      <xdr:rowOff>180975</xdr:rowOff>
    </xdr:from>
    <xdr:to>
      <xdr:col>20</xdr:col>
      <xdr:colOff>100012</xdr:colOff>
      <xdr:row>63</xdr:row>
      <xdr:rowOff>147637</xdr:rowOff>
    </xdr:to>
    <xdr:graphicFrame macro="">
      <xdr:nvGraphicFramePr>
        <xdr:cNvPr id="2" name="Chart 1">
          <a:extLst>
            <a:ext uri="{FF2B5EF4-FFF2-40B4-BE49-F238E27FC236}">
              <a16:creationId xmlns:a16="http://schemas.microsoft.com/office/drawing/2014/main" id="{346974E1-897F-EFC3-E866-4893C9839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kim\AppData\Local\Microsoft\Windows\INetCache\Content.Outlook\U4RF49ZV\Portfolio%20Dashboard.xlsx" TargetMode="External"/><Relationship Id="rId1" Type="http://schemas.openxmlformats.org/officeDocument/2006/relationships/externalLinkPath" Target="file:///C:\Users\jkim\AppData\Local\Microsoft\Windows\INetCache\Content.Outlook\U4RF49ZV\Portfolio%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Dashboard"/>
      <sheetName val="Raw Data - Positions"/>
      <sheetName val="Raw Data - Cash Balance"/>
      <sheetName val="Risk Tolerance"/>
      <sheetName val="Benchmark"/>
    </sheetNames>
    <sheetDataSet>
      <sheetData sheetId="0" refreshError="1"/>
      <sheetData sheetId="1" refreshError="1"/>
      <sheetData sheetId="2" refreshError="1"/>
      <sheetData sheetId="3" refreshError="1"/>
      <sheetData sheetId="4" refreshError="1">
        <row r="1">
          <cell r="E1" t="str">
            <v>Cash</v>
          </cell>
          <cell r="F1" t="str">
            <v>US</v>
          </cell>
          <cell r="G1" t="str">
            <v>Intl</v>
          </cell>
        </row>
        <row r="2">
          <cell r="D2" t="str">
            <v>Con.</v>
          </cell>
          <cell r="E2">
            <v>0.8</v>
          </cell>
          <cell r="F2">
            <v>0.17</v>
          </cell>
          <cell r="G2">
            <v>0.03</v>
          </cell>
        </row>
        <row r="3">
          <cell r="D3" t="str">
            <v>Mod Con.</v>
          </cell>
          <cell r="E3">
            <v>0.6</v>
          </cell>
          <cell r="F3">
            <v>0.27</v>
          </cell>
          <cell r="G3">
            <v>0.13</v>
          </cell>
        </row>
        <row r="4">
          <cell r="D4" t="str">
            <v>Mod.</v>
          </cell>
          <cell r="E4">
            <v>0.4</v>
          </cell>
          <cell r="F4">
            <v>0.34</v>
          </cell>
          <cell r="G4">
            <v>0.26</v>
          </cell>
        </row>
        <row r="5">
          <cell r="D5" t="str">
            <v>Mod Agg.</v>
          </cell>
          <cell r="E5">
            <v>0.25</v>
          </cell>
          <cell r="F5">
            <v>0.51</v>
          </cell>
          <cell r="G5">
            <v>0.24</v>
          </cell>
        </row>
        <row r="6">
          <cell r="D6" t="str">
            <v>Agg.</v>
          </cell>
          <cell r="E6">
            <v>0.05</v>
          </cell>
          <cell r="F6">
            <v>0.6</v>
          </cell>
          <cell r="G6">
            <v>0.35</v>
          </cell>
        </row>
      </sheetData>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Kim" refreshedDate="44973.366551967592" createdVersion="8" refreshedVersion="8" minRefreshableVersion="3" recordCount="28" xr:uid="{6F92BEDB-0948-498C-BAE2-57A515F4C6FD}">
  <cacheSource type="worksheet">
    <worksheetSource ref="O2:Q30" sheet="Security Type"/>
  </cacheSource>
  <cacheFields count="3">
    <cacheField name="Ticker" numFmtId="0">
      <sharedItems count="28">
        <s v="AAPL"/>
        <s v="MSFT"/>
        <s v="AMZN"/>
        <s v="GOOGL"/>
        <s v="NKE"/>
        <s v="JPM"/>
        <s v="PEJ"/>
        <s v="HRL"/>
        <s v="NI"/>
        <s v="FANG"/>
        <s v="PYPL"/>
        <s v="RTX"/>
        <s v="LMT"/>
        <s v="IQV"/>
        <s v="PANW"/>
        <s v="MPC"/>
        <s v="CI"/>
        <s v="PSA"/>
        <s v="HUM"/>
        <s v="BLK"/>
        <s v="EWBC"/>
        <s v="BBWI"/>
        <s v="BBY"/>
        <s v="LIN"/>
        <s v="BKNG"/>
        <s v="V"/>
        <s v="DHR"/>
        <s v="PARA"/>
      </sharedItems>
    </cacheField>
    <cacheField name="Amount" numFmtId="44">
      <sharedItems containsSemiMixedTypes="0" containsString="0" containsNumber="1" minValue="8658.24" maxValue="99079.4"/>
    </cacheField>
    <cacheField name="Sector" numFmtId="0">
      <sharedItems count="11">
        <s v="Info Tech"/>
        <s v="Cons Discretionary"/>
        <s v="Comm Services"/>
        <s v="Financials"/>
        <s v="Cons Staples"/>
        <s v="Utilities"/>
        <s v="Energy"/>
        <s v="Industrials"/>
        <s v="Health Care"/>
        <s v="Real Estate"/>
        <s v="Material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n v="99079.4"/>
    <x v="0"/>
  </r>
  <r>
    <x v="1"/>
    <n v="75155.64"/>
    <x v="0"/>
  </r>
  <r>
    <x v="2"/>
    <n v="81523.260000000009"/>
    <x v="1"/>
  </r>
  <r>
    <x v="3"/>
    <n v="47494.22"/>
    <x v="2"/>
  </r>
  <r>
    <x v="4"/>
    <n v="18021.600000000002"/>
    <x v="1"/>
  </r>
  <r>
    <x v="5"/>
    <n v="18961.809999999998"/>
    <x v="3"/>
  </r>
  <r>
    <x v="6"/>
    <n v="28365.48"/>
    <x v="1"/>
  </r>
  <r>
    <x v="7"/>
    <n v="22911.85"/>
    <x v="4"/>
  </r>
  <r>
    <x v="8"/>
    <n v="22526.2"/>
    <x v="5"/>
  </r>
  <r>
    <x v="9"/>
    <n v="18232.289999999997"/>
    <x v="6"/>
  </r>
  <r>
    <x v="10"/>
    <n v="18511.850000000002"/>
    <x v="0"/>
  </r>
  <r>
    <x v="11"/>
    <n v="21519.84"/>
    <x v="7"/>
  </r>
  <r>
    <x v="12"/>
    <n v="12049.25"/>
    <x v="7"/>
  </r>
  <r>
    <x v="13"/>
    <n v="26228.43"/>
    <x v="8"/>
  </r>
  <r>
    <x v="14"/>
    <n v="28272.7"/>
    <x v="0"/>
  </r>
  <r>
    <x v="15"/>
    <n v="18660.260000000002"/>
    <x v="6"/>
  </r>
  <r>
    <x v="16"/>
    <n v="8658.24"/>
    <x v="8"/>
  </r>
  <r>
    <x v="17"/>
    <n v="24805"/>
    <x v="9"/>
  </r>
  <r>
    <x v="18"/>
    <n v="24093.119999999999"/>
    <x v="8"/>
  </r>
  <r>
    <x v="19"/>
    <n v="17685.84"/>
    <x v="3"/>
  </r>
  <r>
    <x v="20"/>
    <n v="21396.66"/>
    <x v="3"/>
  </r>
  <r>
    <x v="21"/>
    <n v="9303.84"/>
    <x v="1"/>
  </r>
  <r>
    <x v="22"/>
    <n v="9598.6"/>
    <x v="1"/>
  </r>
  <r>
    <x v="23"/>
    <n v="18373.3"/>
    <x v="10"/>
  </r>
  <r>
    <x v="24"/>
    <n v="16961.210000000003"/>
    <x v="1"/>
  </r>
  <r>
    <x v="25"/>
    <n v="18539.28"/>
    <x v="0"/>
  </r>
  <r>
    <x v="26"/>
    <n v="30146.079999999998"/>
    <x v="8"/>
  </r>
  <r>
    <x v="27"/>
    <n v="41184.25999999999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EC6ED7-9FE1-44FC-A2C5-19A4B19D72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37:P49" firstHeaderRow="1" firstDataRow="1" firstDataCol="1"/>
  <pivotFields count="3">
    <pivotField showAll="0">
      <items count="29">
        <item x="0"/>
        <item x="2"/>
        <item x="21"/>
        <item x="22"/>
        <item x="24"/>
        <item x="19"/>
        <item x="16"/>
        <item x="26"/>
        <item x="20"/>
        <item x="9"/>
        <item x="3"/>
        <item x="7"/>
        <item x="18"/>
        <item x="13"/>
        <item x="5"/>
        <item x="23"/>
        <item x="12"/>
        <item x="15"/>
        <item x="1"/>
        <item x="8"/>
        <item x="4"/>
        <item x="14"/>
        <item x="27"/>
        <item x="6"/>
        <item x="17"/>
        <item x="10"/>
        <item x="11"/>
        <item x="25"/>
        <item t="default"/>
      </items>
    </pivotField>
    <pivotField dataField="1" numFmtId="44" showAll="0"/>
    <pivotField axis="axisRow" showAll="0">
      <items count="12">
        <item x="2"/>
        <item n="Cons Disc" x="1"/>
        <item x="4"/>
        <item x="6"/>
        <item x="3"/>
        <item x="8"/>
        <item x="7"/>
        <item x="0"/>
        <item x="10"/>
        <item x="9"/>
        <item x="5"/>
        <item t="default"/>
      </items>
    </pivotField>
  </pivotFields>
  <rowFields count="1">
    <field x="2"/>
  </rowFields>
  <rowItems count="12">
    <i>
      <x v="7"/>
    </i>
    <i>
      <x v="1"/>
    </i>
    <i>
      <x v="5"/>
    </i>
    <i>
      <x v="4"/>
    </i>
    <i>
      <x/>
    </i>
    <i>
      <x v="3"/>
    </i>
    <i>
      <x v="6"/>
    </i>
    <i>
      <x v="9"/>
    </i>
    <i>
      <x v="2"/>
    </i>
    <i>
      <x v="10"/>
    </i>
    <i>
      <x v="8"/>
    </i>
    <i t="grand">
      <x/>
    </i>
  </rowItems>
  <colItems count="1">
    <i/>
  </colItems>
  <dataFields count="1">
    <dataField name="Sum of Amount" fld="1" showDataAs="percentOfTotal" baseField="2" baseItem="0" numFmtId="10"/>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C307-D483-4264-A954-F54ACC9DB3DE}">
  <dimension ref="B2:C12"/>
  <sheetViews>
    <sheetView showGridLines="0" tabSelected="1" workbookViewId="0">
      <selection activeCell="G20" sqref="G20"/>
    </sheetView>
  </sheetViews>
  <sheetFormatPr defaultRowHeight="15"/>
  <cols>
    <col min="1" max="1" width="2.5703125" customWidth="1"/>
    <col min="2" max="2" width="4.7109375" customWidth="1"/>
  </cols>
  <sheetData>
    <row r="2" spans="2:3">
      <c r="B2" t="s">
        <v>1483</v>
      </c>
    </row>
    <row r="4" spans="2:3">
      <c r="B4" t="s">
        <v>1484</v>
      </c>
    </row>
    <row r="5" spans="2:3">
      <c r="C5" t="s">
        <v>1485</v>
      </c>
    </row>
    <row r="6" spans="2:3">
      <c r="C6" t="s">
        <v>1486</v>
      </c>
    </row>
    <row r="7" spans="2:3">
      <c r="C7" t="s">
        <v>1487</v>
      </c>
    </row>
    <row r="8" spans="2:3">
      <c r="C8" t="s">
        <v>1488</v>
      </c>
    </row>
    <row r="9" spans="2:3">
      <c r="C9" t="s">
        <v>1489</v>
      </c>
    </row>
    <row r="10" spans="2:3">
      <c r="C10" t="s">
        <v>1490</v>
      </c>
    </row>
    <row r="12" spans="2:3">
      <c r="B12" t="s">
        <v>1491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D955-9677-41CB-AFDE-11B16CE5C9A6}">
  <dimension ref="A1:Q522"/>
  <sheetViews>
    <sheetView workbookViewId="0">
      <selection activeCell="I6" sqref="I6"/>
    </sheetView>
  </sheetViews>
  <sheetFormatPr defaultColWidth="10.140625" defaultRowHeight="15"/>
  <cols>
    <col min="1" max="1" width="3.28515625" style="103" customWidth="1"/>
    <col min="2" max="2" width="26.7109375" bestFit="1" customWidth="1"/>
    <col min="3" max="3" width="44" customWidth="1"/>
    <col min="4" max="4" width="12.7109375" customWidth="1"/>
    <col min="5" max="5" width="13.42578125" customWidth="1"/>
    <col min="6" max="6" width="8.5703125" customWidth="1"/>
    <col min="7" max="7" width="23" customWidth="1"/>
    <col min="8" max="8" width="9.5703125" customWidth="1"/>
    <col min="9" max="9" width="16.5703125" bestFit="1" customWidth="1"/>
    <col min="10" max="10" width="3.5703125" style="103" customWidth="1"/>
    <col min="11" max="11" width="25.140625" bestFit="1" customWidth="1"/>
    <col min="12" max="12" width="14.28515625" bestFit="1" customWidth="1"/>
    <col min="13" max="13" width="14.7109375" bestFit="1" customWidth="1"/>
    <col min="14" max="14" width="16.42578125" bestFit="1" customWidth="1"/>
    <col min="15" max="15" width="17.7109375" bestFit="1" customWidth="1"/>
    <col min="16" max="16" width="15.28515625" bestFit="1" customWidth="1"/>
    <col min="17" max="17" width="4.28515625" style="103" customWidth="1"/>
  </cols>
  <sheetData>
    <row r="1" spans="2:16" ht="15.75" thickBot="1">
      <c r="B1" s="103"/>
      <c r="C1" s="103"/>
      <c r="D1" s="103"/>
      <c r="E1" s="103"/>
      <c r="F1" s="103"/>
      <c r="G1" s="103"/>
      <c r="H1" s="103"/>
      <c r="I1" s="103"/>
      <c r="K1" s="103"/>
      <c r="L1" s="103"/>
      <c r="M1" s="103"/>
      <c r="N1" s="103"/>
      <c r="O1" s="103"/>
      <c r="P1" s="103"/>
    </row>
    <row r="2" spans="2:16" ht="24" thickBot="1">
      <c r="B2" s="104" t="s">
        <v>171</v>
      </c>
      <c r="C2" s="104">
        <v>11111111</v>
      </c>
      <c r="D2" s="103"/>
      <c r="E2" s="134" t="s">
        <v>1492</v>
      </c>
      <c r="F2" s="105"/>
      <c r="G2" s="103"/>
      <c r="H2" s="103"/>
      <c r="I2" s="103"/>
      <c r="K2" s="103"/>
      <c r="L2" s="103"/>
      <c r="M2" s="103"/>
      <c r="N2" s="103"/>
      <c r="O2" s="103"/>
      <c r="P2" s="103"/>
    </row>
    <row r="3" spans="2:16" ht="24" thickBot="1">
      <c r="B3" s="104" t="s">
        <v>137</v>
      </c>
      <c r="C3" s="104" t="str">
        <f>VLOOKUP(C2,'Schwab Positions'!E8:F10000,2,FALSE)</f>
        <v>Client 1</v>
      </c>
      <c r="D3" s="103"/>
      <c r="E3" s="103"/>
      <c r="F3" s="103"/>
      <c r="G3" s="103"/>
      <c r="H3" s="103"/>
      <c r="I3" s="103"/>
      <c r="K3" s="157" t="str">
        <f>C3&amp;" Risk Tolerance:  "&amp;VLOOKUP($C$2,'Risk Tolerance'!$A$2:$B$848,2,FALSE)</f>
        <v>Client 1 Risk Tolerance:  Con.</v>
      </c>
      <c r="L3" s="157"/>
      <c r="M3" s="157"/>
      <c r="N3" s="157"/>
      <c r="O3" s="157"/>
      <c r="P3" s="157"/>
    </row>
    <row r="4" spans="2:16" ht="15.75" thickBot="1">
      <c r="B4" s="103"/>
      <c r="C4" s="103"/>
      <c r="D4" s="103"/>
      <c r="E4" s="103"/>
      <c r="F4" s="103"/>
      <c r="G4" s="132" t="s">
        <v>173</v>
      </c>
      <c r="H4" s="133"/>
      <c r="I4" s="103"/>
      <c r="K4" s="103"/>
      <c r="L4" s="103"/>
      <c r="M4" s="103"/>
      <c r="N4" s="103"/>
      <c r="O4" s="103"/>
      <c r="P4" s="103"/>
    </row>
    <row r="5" spans="2:16" ht="15.75" thickBot="1">
      <c r="B5" s="158" t="s">
        <v>172</v>
      </c>
      <c r="C5" s="158"/>
      <c r="D5" s="158"/>
      <c r="E5" s="103"/>
      <c r="F5" s="103"/>
      <c r="G5" s="10" t="s">
        <v>104</v>
      </c>
      <c r="H5" s="11">
        <f>D6+D7+D8</f>
        <v>0.12093284644918238</v>
      </c>
      <c r="I5" s="103"/>
      <c r="K5" s="106" t="str">
        <f>C3&amp;"'s RISK TOL:"</f>
        <v>Client 1's RISK TOL:</v>
      </c>
      <c r="L5" s="106" t="str">
        <f>VLOOKUP($C$2,'Risk Tolerance'!$A$2:$B$848,2,FALSE)</f>
        <v>Con.</v>
      </c>
      <c r="M5" s="106" t="s">
        <v>99</v>
      </c>
      <c r="N5" s="106" t="s">
        <v>100</v>
      </c>
      <c r="O5" s="107" t="s">
        <v>101</v>
      </c>
      <c r="P5" s="107" t="s">
        <v>102</v>
      </c>
    </row>
    <row r="6" spans="2:16">
      <c r="B6" s="7" t="s">
        <v>22</v>
      </c>
      <c r="C6" s="8">
        <f>VLOOKUP(C2,'Schwab Balances'!A8:F1000,6,FALSE)</f>
        <v>2239.89</v>
      </c>
      <c r="D6" s="9">
        <f t="shared" ref="D6:D14" si="0">C6/$C$15</f>
        <v>5.657645209907814E-4</v>
      </c>
      <c r="E6" s="103"/>
      <c r="F6" s="103"/>
      <c r="G6" s="10" t="s">
        <v>106</v>
      </c>
      <c r="H6" s="11">
        <f>SUM(D9:D11,D14)</f>
        <v>0.77318642079400357</v>
      </c>
      <c r="I6" s="103"/>
      <c r="K6" s="12" t="s">
        <v>105</v>
      </c>
      <c r="L6" s="13">
        <f>$C$15*M6</f>
        <v>3167239.9620640003</v>
      </c>
      <c r="M6" s="14">
        <f>VLOOKUP($L$5,'[1]Risk Tolerance'!$D$1:$E$6,2,FALSE)</f>
        <v>0.8</v>
      </c>
      <c r="N6" s="108">
        <f>L6-O6+11000</f>
        <v>2699460.7820640001</v>
      </c>
      <c r="O6" s="15">
        <f>SUM(C6:C8)</f>
        <v>478779.18</v>
      </c>
      <c r="P6" s="16">
        <f>O6/O11</f>
        <v>0.1209328464491824</v>
      </c>
    </row>
    <row r="7" spans="2:16">
      <c r="B7" s="7" t="s">
        <v>127</v>
      </c>
      <c r="C7" s="8">
        <f>SUMIF(D19:D504,"MMF",I19:I504)</f>
        <v>156</v>
      </c>
      <c r="D7" s="9">
        <f t="shared" si="0"/>
        <v>3.9403392699892368E-5</v>
      </c>
      <c r="E7" s="103"/>
      <c r="F7" s="103"/>
      <c r="G7" s="10" t="s">
        <v>109</v>
      </c>
      <c r="H7" s="11">
        <f>D12</f>
        <v>8.6048580866729063E-2</v>
      </c>
      <c r="I7" s="103"/>
      <c r="K7" s="12" t="s">
        <v>106</v>
      </c>
      <c r="L7" s="13">
        <f>C15*M7</f>
        <v>673038.49193860008</v>
      </c>
      <c r="M7" s="14">
        <f>VLOOKUP($L$5,'[1]Risk Tolerance'!$D$1:$G$6,3,FALSE)</f>
        <v>0.17</v>
      </c>
      <c r="N7" s="109">
        <f>L7-O7</f>
        <v>-2388045.1706413999</v>
      </c>
      <c r="O7" s="15">
        <f>SUM(C9:C11)+C14</f>
        <v>3061083.6625800002</v>
      </c>
      <c r="P7" s="16">
        <f>O7/O11</f>
        <v>0.77318642079400368</v>
      </c>
    </row>
    <row r="8" spans="2:16" ht="15.75" thickBot="1">
      <c r="B8" s="7" t="s">
        <v>103</v>
      </c>
      <c r="C8" s="8">
        <f>SUMIF(D19:D504,"Bond",I19:I504)</f>
        <v>476383.29</v>
      </c>
      <c r="D8" s="9">
        <f t="shared" si="0"/>
        <v>0.12032767853549171</v>
      </c>
      <c r="E8" s="103"/>
      <c r="F8" s="103"/>
      <c r="G8" s="18" t="s">
        <v>112</v>
      </c>
      <c r="H8" s="19">
        <f>D13</f>
        <v>1.9832151890084901E-2</v>
      </c>
      <c r="I8" s="103"/>
      <c r="K8" s="12" t="s">
        <v>107</v>
      </c>
      <c r="L8" s="13">
        <f>C15*M8</f>
        <v>118771.49857740001</v>
      </c>
      <c r="M8" s="14">
        <f>VLOOKUP($L$5,'[1]Risk Tolerance'!$D$1:$G$7,4,FALSE)</f>
        <v>0.03</v>
      </c>
      <c r="N8" s="109">
        <f>L8-O8</f>
        <v>-300415.61142259999</v>
      </c>
      <c r="O8" s="17">
        <f>SUM(C12:C13)</f>
        <v>419187.11</v>
      </c>
      <c r="P8" s="16">
        <f>O8/O11</f>
        <v>0.10588073275681396</v>
      </c>
    </row>
    <row r="9" spans="2:16" ht="15.75" thickBot="1">
      <c r="B9" s="7" t="s">
        <v>106</v>
      </c>
      <c r="C9" s="8">
        <f>SUMIF(D19:D504,"US Equity",I19:I504)</f>
        <v>2635465.6175000002</v>
      </c>
      <c r="D9" s="9">
        <f t="shared" si="0"/>
        <v>0.66568132482959508</v>
      </c>
      <c r="E9" s="103"/>
      <c r="F9" s="103"/>
      <c r="G9" s="110"/>
      <c r="H9" s="111"/>
      <c r="I9" s="103"/>
      <c r="K9" s="12" t="s">
        <v>112</v>
      </c>
      <c r="L9" s="13">
        <f>C15*M9</f>
        <v>0</v>
      </c>
      <c r="M9" s="14"/>
      <c r="N9" s="109">
        <f>L9-O9</f>
        <v>0</v>
      </c>
      <c r="O9" s="15">
        <f>IFERROR(VLOOKUP(#REF!,$B$19:$I$62,7,FALSE),0)+IFERROR(VLOOKUP(#REF!,$B$19:$I$62,7,FALSE),0)</f>
        <v>0</v>
      </c>
      <c r="P9" s="16">
        <f>O9/O11</f>
        <v>0</v>
      </c>
    </row>
    <row r="10" spans="2:16" ht="15.75" thickBot="1">
      <c r="B10" s="7" t="s">
        <v>126</v>
      </c>
      <c r="C10" s="8">
        <f>SUMIF(D19:D504,"US ETF",I19:I504)</f>
        <v>319168.48679999996</v>
      </c>
      <c r="D10" s="9">
        <f t="shared" si="0"/>
        <v>8.0617443735966743E-2</v>
      </c>
      <c r="E10" s="103"/>
      <c r="F10" s="103"/>
      <c r="G10" s="132" t="s">
        <v>1099</v>
      </c>
      <c r="H10" s="103"/>
      <c r="I10" s="103"/>
      <c r="K10" s="20" t="s">
        <v>135</v>
      </c>
      <c r="L10" s="21"/>
      <c r="M10" s="22"/>
      <c r="N10" s="112"/>
      <c r="O10" s="23"/>
      <c r="P10" s="24"/>
    </row>
    <row r="11" spans="2:16" ht="15.75" thickBot="1">
      <c r="B11" s="7" t="s">
        <v>128</v>
      </c>
      <c r="C11" s="8">
        <f>SUMIF(D19:D504,"US MF",I19:I504)</f>
        <v>683.86</v>
      </c>
      <c r="D11" s="9">
        <f t="shared" si="0"/>
        <v>1.7273335981889996E-4</v>
      </c>
      <c r="E11" s="103"/>
      <c r="F11" s="103"/>
      <c r="G11" s="103"/>
      <c r="H11" s="103"/>
      <c r="I11" s="103"/>
      <c r="K11" s="25" t="s">
        <v>111</v>
      </c>
      <c r="L11" s="26">
        <f>SUM(L6:L9)</f>
        <v>3959049.9525800003</v>
      </c>
      <c r="M11" s="27">
        <f>SUM(M6:M10)</f>
        <v>1</v>
      </c>
      <c r="N11" s="113"/>
      <c r="O11" s="28">
        <f>SUM(O6:O10)</f>
        <v>3959049.9525800003</v>
      </c>
      <c r="P11" s="29">
        <f>SUM(P6:P9)</f>
        <v>1</v>
      </c>
    </row>
    <row r="12" spans="2:16">
      <c r="B12" s="7" t="s">
        <v>109</v>
      </c>
      <c r="C12" s="8">
        <f>SUMIF(D19:D504,"Intl",I19:I504)</f>
        <v>340670.63</v>
      </c>
      <c r="D12" s="9">
        <f t="shared" si="0"/>
        <v>8.6048580866729063E-2</v>
      </c>
      <c r="E12" s="103"/>
      <c r="F12" s="103"/>
      <c r="G12" s="103"/>
      <c r="H12" s="103"/>
      <c r="I12" s="103"/>
      <c r="K12" s="103"/>
      <c r="L12" s="110"/>
      <c r="M12" s="103"/>
      <c r="N12" s="103"/>
      <c r="O12" s="103"/>
      <c r="P12" s="103"/>
    </row>
    <row r="13" spans="2:16">
      <c r="B13" s="7" t="s">
        <v>112</v>
      </c>
      <c r="C13" s="8">
        <f>SUMIF(D19:D504,"Emerging",I19:I504)</f>
        <v>78516.479999999996</v>
      </c>
      <c r="D13" s="9">
        <f t="shared" si="0"/>
        <v>1.9832151890084901E-2</v>
      </c>
      <c r="E13" s="103"/>
      <c r="F13" s="103"/>
      <c r="G13" s="103"/>
      <c r="H13" s="103"/>
      <c r="I13" s="103"/>
      <c r="K13" s="103"/>
      <c r="L13" s="110"/>
      <c r="M13" s="103"/>
      <c r="N13" s="103"/>
      <c r="O13" s="103"/>
      <c r="P13" s="103"/>
    </row>
    <row r="14" spans="2:16" ht="15.75" thickBot="1">
      <c r="B14" s="23" t="s">
        <v>135</v>
      </c>
      <c r="C14" s="31">
        <f>SUMIF(D19:D504,"REIT",I19:I504)</f>
        <v>105765.69828</v>
      </c>
      <c r="D14" s="32">
        <f t="shared" si="0"/>
        <v>2.6714918868622886E-2</v>
      </c>
      <c r="E14" s="103"/>
      <c r="F14" s="103"/>
      <c r="G14" s="103"/>
      <c r="H14" s="103"/>
      <c r="I14" s="103"/>
      <c r="K14" s="103"/>
      <c r="L14" s="118"/>
      <c r="M14" s="103"/>
      <c r="N14" s="103"/>
      <c r="O14" s="103"/>
      <c r="P14" s="103"/>
    </row>
    <row r="15" spans="2:16">
      <c r="B15" s="103" t="s">
        <v>139</v>
      </c>
      <c r="C15" s="114">
        <f>SUM(C6:C14)</f>
        <v>3959049.9525800003</v>
      </c>
      <c r="D15" s="111">
        <f>SUM(D6:D14)</f>
        <v>0.99999999999999989</v>
      </c>
      <c r="E15" s="103"/>
      <c r="F15" s="103"/>
      <c r="G15" s="103"/>
      <c r="H15" s="111"/>
      <c r="I15" s="103"/>
      <c r="K15" s="103"/>
      <c r="L15" s="110"/>
      <c r="M15" s="103"/>
      <c r="N15" s="103"/>
      <c r="O15" s="103"/>
      <c r="P15" s="103"/>
    </row>
    <row r="16" spans="2:16" ht="15.75" thickBot="1">
      <c r="B16" s="103"/>
      <c r="C16" s="114"/>
      <c r="D16" s="111"/>
      <c r="E16" s="111"/>
      <c r="F16" s="103"/>
      <c r="G16" s="103"/>
      <c r="H16" s="111"/>
      <c r="I16" s="103"/>
      <c r="K16" s="103"/>
      <c r="L16" s="110"/>
      <c r="M16" s="103"/>
      <c r="N16" s="103"/>
      <c r="O16" s="103"/>
      <c r="P16" s="103"/>
    </row>
    <row r="17" spans="2:16" ht="15.75" thickBot="1">
      <c r="B17" s="159" t="s">
        <v>174</v>
      </c>
      <c r="C17" s="159"/>
      <c r="D17" s="159"/>
      <c r="E17" s="159"/>
      <c r="F17" s="159"/>
      <c r="G17" s="159"/>
      <c r="H17" s="159"/>
      <c r="I17" s="159"/>
      <c r="K17" s="159" t="s">
        <v>175</v>
      </c>
      <c r="L17" s="159"/>
      <c r="M17" s="159"/>
      <c r="N17" s="159"/>
      <c r="O17" s="159"/>
      <c r="P17" s="159"/>
    </row>
    <row r="18" spans="2:16" ht="15.75" thickBot="1">
      <c r="B18" s="115" t="s">
        <v>6</v>
      </c>
      <c r="C18" s="116" t="s">
        <v>7</v>
      </c>
      <c r="D18" s="116" t="s">
        <v>8</v>
      </c>
      <c r="E18" s="116" t="s">
        <v>113</v>
      </c>
      <c r="F18" s="116" t="s">
        <v>9</v>
      </c>
      <c r="G18" s="116" t="s">
        <v>14</v>
      </c>
      <c r="H18" s="116" t="s">
        <v>102</v>
      </c>
      <c r="I18" s="116" t="s">
        <v>15</v>
      </c>
      <c r="K18" s="115" t="s">
        <v>175</v>
      </c>
      <c r="L18" s="116" t="s">
        <v>6</v>
      </c>
      <c r="M18" s="116" t="s">
        <v>176</v>
      </c>
      <c r="N18" s="116" t="s">
        <v>9</v>
      </c>
      <c r="O18" s="116" t="s">
        <v>14</v>
      </c>
      <c r="P18" s="116" t="s">
        <v>15</v>
      </c>
    </row>
    <row r="19" spans="2:16">
      <c r="B19" t="str" cm="1">
        <f t="array" ref="B19">IFERROR(INDEX('Schwab Positions'!$A$8:$A$10000,SMALL(IF('Schwab Positions'!$E$8:$E$10000=$C$2,ROW('Schwab Positions'!$E$8:$E$10000)-7,""),ROWS($B$19:B19))),"")</f>
        <v>MMM</v>
      </c>
      <c r="C19" t="str">
        <f>IFERROR(VLOOKUP(B19,'Schwab Positions'!$A$8:$B$10000,2,FALSE),"")</f>
        <v>3M</v>
      </c>
      <c r="D19" s="34" t="str">
        <f>IFERROR(VLOOKUP(B19,'Security Type'!$A$2:$C$1000,3,FALSE),"")</f>
        <v>US Equity</v>
      </c>
      <c r="E19" s="34" t="str">
        <f>IF(B19="","",IF(ISNUMBER(MATCH(B19,'2022 Port'!$D$6:$D$67,0)),VLOOKUP(B19,'Security Type'!$A$3:$D$1000,4,FALSE),"NOT IN PORT"))</f>
        <v>Industrials</v>
      </c>
      <c r="F19" cm="1">
        <f t="array" ref="F19">IFERROR(INDEX('Schwab Positions'!$D$8:$D$10000,SMALL(IF('Schwab Positions'!$E$8:$E$10000=$C$2,ROW('Schwab Positions'!$E$8:$E$10000)-7,""),ROWS($F$19:$F19))),"")</f>
        <v>926</v>
      </c>
      <c r="G19" s="1" cm="1">
        <f t="array" ref="G19">IFERROR(INDEX('Schwab Positions'!$I$8:$I$10000,SMALL(IF('Schwab Positions'!$E$8:$E$10000=$C$2,ROW('Schwab Positions'!$E$8:$E$10000)-7,""),ROWS($G$19:$G19))),"")</f>
        <v>137.5301</v>
      </c>
      <c r="H19" s="100">
        <f t="shared" ref="H19:H83" si="1">IFERROR(I19/$C$15,"")</f>
        <v>3.2167533657161296E-2</v>
      </c>
      <c r="I19" s="37" cm="1">
        <f t="array" ref="I19">IFERROR(IF($D19="Bond",IFERROR(INDEX('Schwab Positions'!$J$8:$J$10000,SMALL(IF('Schwab Positions'!$E$8:$E$10000=$C$2,ROW('Schwab Positions'!$E$8:$E$10000)-7,""),ROWS($I$19:$I19))),""),$F19*$G19),"")</f>
        <v>127352.8726</v>
      </c>
      <c r="K19" s="117">
        <f>IFERROR(IF(OR(M19*0.9&gt;VLOOKUP(L19,$B$19:$I$1000,7,FALSE),M19*1.1&lt;VLOOKUP(L19,$B$19:$I$1000,7,FALSE)),(N19-VLOOKUP(L19,$B$19:$I$1000,5,FALSE)),IF(OR(M19*0.9&lt;=VLOOKUP(L19,$B$19:$I$1000,7,FALSE),M19*1.1&gt;=VLOOKUP(L19,$B$19:$I$1000,7,FALSE)),"IN PORTFOLIO %",M19*$C$15/O19)),"")</f>
        <v>-782.06605562782261</v>
      </c>
      <c r="L19" t="str">
        <f>B19</f>
        <v>MMM</v>
      </c>
      <c r="M19" s="35">
        <f>IFERROR(IF($L$5='2022 Port'!$H$3,VLOOKUP($L19,'2022 Port'!$D$6:$T$67,5,FALSE),IF($L$5='2022 Port'!$K$3,VLOOKUP($L19,'2022 Port'!$D$6:$T$67,8,FALSE),IF($L$5='2022 Port'!$N$3,VLOOKUP($L19,'2022 Port'!$D$6:$T$67,11,FALSE),IF($L$5='2022 Port'!$Q$3,VLOOKUP($L19,'2022 Port'!$D$6:$T$67,14,FALSE),IF($L$5='2022 Port'!T3,VLOOKUP($L19,'2022 Port'!$D$6:$T$67,17,FALSE),""))))),0)</f>
        <v>5.0000000000000001E-3</v>
      </c>
      <c r="N19" s="117">
        <f>IFERROR(M19*$C$15/O19,"")</f>
        <v>143.93394437217745</v>
      </c>
      <c r="O19" s="97">
        <f>IFERROR(VLOOKUP(L19,'Schwab Positions'!$A$9:$J$10000,9,FALSE),"")</f>
        <v>137.5301</v>
      </c>
      <c r="P19" s="30">
        <f>IFERROR(O19*N19,"")</f>
        <v>19795.249762900003</v>
      </c>
    </row>
    <row r="20" spans="2:16">
      <c r="B20" t="str" cm="1">
        <f t="array" ref="B20">IFERROR(INDEX('Schwab Positions'!$A$8:$A$10000,SMALL(IF('Schwab Positions'!$E$8:$E$10000=$C$2,ROW('Schwab Positions'!$E$8:$E$10000)-7,""),ROWS($B$19:B20))),"")</f>
        <v>AOS</v>
      </c>
      <c r="C20" t="str">
        <f>IFERROR(VLOOKUP(B20,'Schwab Positions'!$A$8:$B$10000,2,FALSE),"")</f>
        <v>A. O. Smith</v>
      </c>
      <c r="D20" s="34" t="str">
        <f>IFERROR(VLOOKUP(B20,'Security Type'!$A$2:$C$1000,3,FALSE),"")</f>
        <v>US Equity</v>
      </c>
      <c r="E20" s="34" t="str">
        <f>IF(B20="","",IF(ISNUMBER(MATCH(B20,'2022 Port'!$D$6:$D$67,0)),VLOOKUP(B20,'Security Type'!$A$3:$D$1000,4,FALSE),"NOT IN PORT"))</f>
        <v>Industrials</v>
      </c>
      <c r="F20" cm="1">
        <f t="array" ref="F20">IFERROR(INDEX('Schwab Positions'!$D$8:$D$10000,SMALL(IF('Schwab Positions'!$E$8:$E$10000=$C$2,ROW('Schwab Positions'!$E$8:$E$10000)-7,""),ROWS($F$19:$F20))),"")</f>
        <v>998</v>
      </c>
      <c r="G20" s="1" cm="1">
        <f t="array" ref="G20">IFERROR(INDEX('Schwab Positions'!$I$8:$I$10000,SMALL(IF('Schwab Positions'!$E$8:$E$10000=$C$2,ROW('Schwab Positions'!$E$8:$E$10000)-7,""),ROWS($G$19:$G20))),"")</f>
        <v>97.09</v>
      </c>
      <c r="H20" s="100">
        <f t="shared" si="1"/>
        <v>2.4474513118192851E-2</v>
      </c>
      <c r="I20" s="37" cm="1">
        <f t="array" ref="I20">IFERROR(IF($D20="Bond",IFERROR(INDEX('Schwab Positions'!$J$8:$J$10000,SMALL(IF('Schwab Positions'!$E$8:$E$10000=$C$2,ROW('Schwab Positions'!$E$8:$E$10000)-7,""),ROWS($I$19:$I20))),""),$F20*$G20),"")</f>
        <v>96895.82</v>
      </c>
      <c r="J20" s="118"/>
      <c r="K20" s="117">
        <f t="shared" ref="K20:K83" si="2">IFERROR(IF(OR(M20*0.9&gt;VLOOKUP(L20,$B$19:$I$1000,7,FALSE),M20*1.1&lt;VLOOKUP(L20,$B$19:$I$1000,7,FALSE)),(N20-VLOOKUP(L20,$B$19:$I$1000,5,FALSE)),IF(OR(M20*0.9&lt;=VLOOKUP(L20,$B$19:$I$1000,7,FALSE),M20*1.1&gt;=VLOOKUP(L20,$B$19:$I$1000,7,FALSE)),"IN PORTFOLIO %",M20*$C$15/O20)),"")</f>
        <v>-794.11443235245645</v>
      </c>
      <c r="L20" t="str">
        <f t="shared" ref="L20:L83" si="3">B20</f>
        <v>AOS</v>
      </c>
      <c r="M20" s="35">
        <f>IFERROR(IF($L$5='2022 Port'!$H$3,VLOOKUP($L20,'2022 Port'!$D$6:$T$67,5,FALSE),IF($L$5='2022 Port'!$K$3,VLOOKUP($L20,'2022 Port'!$D$6:$T$67,8,FALSE),IF($L$5='2022 Port'!$N$3,VLOOKUP($L20,'2022 Port'!$D$6:$T$67,11,FALSE),IF($L$5='2022 Port'!$Q$3,VLOOKUP($L20,'2022 Port'!$D$6:$T$67,14,FALSE),IF($L$5='2022 Port'!T4,VLOOKUP($L20,'2022 Port'!$D$6:$T$67,17,FALSE),""))))),0)</f>
        <v>5.0000000000000001E-3</v>
      </c>
      <c r="N20" s="117">
        <f>IFERROR(M20*$C$15/O20,"")</f>
        <v>203.88556764754352</v>
      </c>
      <c r="O20" s="97">
        <f>IFERROR(VLOOKUP(L20,'Schwab Positions'!$A$9:$J$10000,9,FALSE),"")</f>
        <v>97.09</v>
      </c>
      <c r="P20" s="30">
        <f t="shared" ref="P20:P83" si="4">IFERROR(O20*N20,"")</f>
        <v>19795.249762900003</v>
      </c>
    </row>
    <row r="21" spans="2:16">
      <c r="B21" t="str" cm="1">
        <f t="array" ref="B21">IFERROR(INDEX('Schwab Positions'!$A$8:$A$10000,SMALL(IF('Schwab Positions'!$E$8:$E$10000=$C$2,ROW('Schwab Positions'!$E$8:$E$10000)-7,""),ROWS($B$19:B21))),"")</f>
        <v>ABT</v>
      </c>
      <c r="C21" t="str">
        <f>IFERROR(VLOOKUP(B21,'Schwab Positions'!$A$8:$B$10000,2,FALSE),"")</f>
        <v>Abbott Laboratories</v>
      </c>
      <c r="D21" s="34" t="str">
        <f>IFERROR(VLOOKUP(B21,'Security Type'!$A$2:$C$1000,3,FALSE),"")</f>
        <v>US Equity</v>
      </c>
      <c r="E21" s="34" t="str">
        <f>IF(B21="","",IF(ISNUMBER(MATCH(B21,'2022 Port'!$D$6:$D$67,0)),VLOOKUP(B21,'Security Type'!$A$3:$D$1000,4,FALSE),"NOT IN PORT"))</f>
        <v>Health Care</v>
      </c>
      <c r="F21" cm="1">
        <f t="array" ref="F21">IFERROR(INDEX('Schwab Positions'!$D$8:$D$10000,SMALL(IF('Schwab Positions'!$E$8:$E$10000=$C$2,ROW('Schwab Positions'!$E$8:$E$10000)-7,""),ROWS($F$19:$F21))),"")</f>
        <v>367</v>
      </c>
      <c r="G21" s="1" cm="1">
        <f t="array" ref="G21">IFERROR(INDEX('Schwab Positions'!$I$8:$I$10000,SMALL(IF('Schwab Positions'!$E$8:$E$10000=$C$2,ROW('Schwab Positions'!$E$8:$E$10000)-7,""),ROWS($G$19:$G21))),"")</f>
        <v>119.4722</v>
      </c>
      <c r="H21" s="100">
        <f t="shared" si="1"/>
        <v>1.107495432620814E-2</v>
      </c>
      <c r="I21" s="37" cm="1">
        <f t="array" ref="I21">IFERROR(IF($D21="Bond",IFERROR(INDEX('Schwab Positions'!$J$8:$J$10000,SMALL(IF('Schwab Positions'!$E$8:$E$10000=$C$2,ROW('Schwab Positions'!$E$8:$E$10000)-7,""),ROWS($I$19:$I21))),""),$F21*$G21),"")</f>
        <v>43846.297400000003</v>
      </c>
      <c r="J21" s="118"/>
      <c r="K21" s="117">
        <f t="shared" si="2"/>
        <v>-201.31082910585056</v>
      </c>
      <c r="L21" t="str">
        <f t="shared" si="3"/>
        <v>ABT</v>
      </c>
      <c r="M21" s="35">
        <f>IFERROR(IF($L$5='2022 Port'!$H$3,VLOOKUP($L21,'2022 Port'!$D$6:$T$67,5,FALSE),IF($L$5='2022 Port'!$K$3,VLOOKUP($L21,'2022 Port'!$D$6:$T$67,8,FALSE),IF($L$5='2022 Port'!$N$3,VLOOKUP($L21,'2022 Port'!$D$6:$T$67,11,FALSE),IF($L$5='2022 Port'!$Q$3,VLOOKUP($L21,'2022 Port'!$D$6:$T$67,14,FALSE),IF($L$5='2022 Port'!T5,VLOOKUP($L21,'2022 Port'!$D$6:$T$67,17,FALSE),""))))),0)</f>
        <v>5.0000000000000001E-3</v>
      </c>
      <c r="N21" s="117">
        <f t="shared" ref="N21:N56" si="5">IFERROR(M21*$C$15/O21,"")</f>
        <v>165.68917089414944</v>
      </c>
      <c r="O21" s="97">
        <f>IFERROR(VLOOKUP(L21,'Schwab Positions'!$A$9:$J$10000,9,FALSE),"")</f>
        <v>119.4722</v>
      </c>
      <c r="P21" s="30">
        <f t="shared" si="4"/>
        <v>19795.249762900003</v>
      </c>
    </row>
    <row r="22" spans="2:16">
      <c r="B22" t="str" cm="1">
        <f t="array" ref="B22">IFERROR(INDEX('Schwab Positions'!$A$8:$A$10000,SMALL(IF('Schwab Positions'!$E$8:$E$10000=$C$2,ROW('Schwab Positions'!$E$8:$E$10000)-7,""),ROWS($B$19:B22))),"")</f>
        <v>ABBV</v>
      </c>
      <c r="C22" t="str">
        <f>IFERROR(VLOOKUP(B22,'Schwab Positions'!$A$8:$B$10000,2,FALSE),"")</f>
        <v>AbbVie</v>
      </c>
      <c r="D22" s="34" t="str">
        <f>IFERROR(VLOOKUP(B22,'Security Type'!$A$2:$C$1000,3,FALSE),"")</f>
        <v>US Equity</v>
      </c>
      <c r="E22" s="34" t="str">
        <f>IF(B22="","",IF(ISNUMBER(MATCH(B22,'2022 Port'!$D$6:$D$67,0)),VLOOKUP(B22,'Security Type'!$A$3:$D$1000,4,FALSE),"NOT IN PORT"))</f>
        <v>Health Care</v>
      </c>
      <c r="F22" cm="1">
        <f t="array" ref="F22">IFERROR(INDEX('Schwab Positions'!$D$8:$D$10000,SMALL(IF('Schwab Positions'!$E$8:$E$10000=$C$2,ROW('Schwab Positions'!$E$8:$E$10000)-7,""),ROWS($F$19:$F22))),"")</f>
        <v>410</v>
      </c>
      <c r="G22" s="1" cm="1">
        <f t="array" ref="G22">IFERROR(INDEX('Schwab Positions'!$I$8:$I$10000,SMALL(IF('Schwab Positions'!$E$8:$E$10000=$C$2,ROW('Schwab Positions'!$E$8:$E$10000)-7,""),ROWS($G$19:$G22))),"")</f>
        <v>82.757900000000006</v>
      </c>
      <c r="H22" s="100">
        <f t="shared" si="1"/>
        <v>8.5704245731702128E-3</v>
      </c>
      <c r="I22" s="37" cm="1">
        <f t="array" ref="I22">IFERROR(IF($D22="Bond",IFERROR(INDEX('Schwab Positions'!$J$8:$J$10000,SMALL(IF('Schwab Positions'!$E$8:$E$10000=$C$2,ROW('Schwab Positions'!$E$8:$E$10000)-7,""),ROWS($I$19:$I22))),""),$F22*$G22),"")</f>
        <v>33930.739000000001</v>
      </c>
      <c r="J22" s="118"/>
      <c r="K22" s="117">
        <f t="shared" si="2"/>
        <v>-170.80531571124931</v>
      </c>
      <c r="L22" t="str">
        <f t="shared" si="3"/>
        <v>ABBV</v>
      </c>
      <c r="M22" s="35">
        <f>IFERROR(IF($L$5='2022 Port'!$H$3,VLOOKUP($L22,'2022 Port'!$D$6:$T$67,5,FALSE),IF($L$5='2022 Port'!$K$3,VLOOKUP($L22,'2022 Port'!$D$6:$T$67,8,FALSE),IF($L$5='2022 Port'!$N$3,VLOOKUP($L22,'2022 Port'!$D$6:$T$67,11,FALSE),IF($L$5='2022 Port'!$Q$3,VLOOKUP($L22,'2022 Port'!$D$6:$T$67,14,FALSE),IF($L$5='2022 Port'!T6,VLOOKUP($L22,'2022 Port'!$D$6:$T$67,17,FALSE),""))))),0)</f>
        <v>5.0000000000000001E-3</v>
      </c>
      <c r="N22" s="117">
        <f t="shared" si="5"/>
        <v>239.19468428875069</v>
      </c>
      <c r="O22" s="97">
        <f>IFERROR(VLOOKUP(L22,'Schwab Positions'!$A$9:$J$10000,9,FALSE),"")</f>
        <v>82.757900000000006</v>
      </c>
      <c r="P22" s="30">
        <f t="shared" si="4"/>
        <v>19795.249762900003</v>
      </c>
    </row>
    <row r="23" spans="2:16">
      <c r="B23" t="str" cm="1">
        <f t="array" ref="B23">IFERROR(INDEX('Schwab Positions'!$A$8:$A$10000,SMALL(IF('Schwab Positions'!$E$8:$E$10000=$C$2,ROW('Schwab Positions'!$E$8:$E$10000)-7,""),ROWS($B$19:B23))),"")</f>
        <v>ABMD</v>
      </c>
      <c r="C23" t="str">
        <f>IFERROR(VLOOKUP(B23,'Schwab Positions'!$A$8:$B$10000,2,FALSE),"")</f>
        <v>Abiomed</v>
      </c>
      <c r="D23" s="34" t="str">
        <f>IFERROR(VLOOKUP(B23,'Security Type'!$A$2:$C$1000,3,FALSE),"")</f>
        <v>US Equity</v>
      </c>
      <c r="E23" s="34" t="str">
        <f>IF(B23="","",IF(ISNUMBER(MATCH(B23,'2022 Port'!$D$6:$D$67,0)),VLOOKUP(B23,'Security Type'!$A$3:$D$1000,4,FALSE),"NOT IN PORT"))</f>
        <v>Health Care</v>
      </c>
      <c r="F23" cm="1">
        <f t="array" ref="F23">IFERROR(INDEX('Schwab Positions'!$D$8:$D$10000,SMALL(IF('Schwab Positions'!$E$8:$E$10000=$C$2,ROW('Schwab Positions'!$E$8:$E$10000)-7,""),ROWS($F$19:$F23))),"")</f>
        <v>455</v>
      </c>
      <c r="G23" s="1" cm="1">
        <f t="array" ref="G23">IFERROR(INDEX('Schwab Positions'!$I$8:$I$10000,SMALL(IF('Schwab Positions'!$E$8:$E$10000=$C$2,ROW('Schwab Positions'!$E$8:$E$10000)-7,""),ROWS($G$19:$G23))),"")</f>
        <v>135.44999999999999</v>
      </c>
      <c r="H23" s="100">
        <f t="shared" si="1"/>
        <v>1.5566802828501225E-2</v>
      </c>
      <c r="I23" s="37" cm="1">
        <f t="array" ref="I23">IFERROR(IF($D23="Bond",IFERROR(INDEX('Schwab Positions'!$J$8:$J$10000,SMALL(IF('Schwab Positions'!$E$8:$E$10000=$C$2,ROW('Schwab Positions'!$E$8:$E$10000)-7,""),ROWS($I$19:$I23))),""),$F23*$G23),"")</f>
        <v>61629.749999999993</v>
      </c>
      <c r="J23" s="118"/>
      <c r="K23" s="117">
        <f t="shared" si="2"/>
        <v>-308.85566804798816</v>
      </c>
      <c r="L23" t="str">
        <f t="shared" si="3"/>
        <v>ABMD</v>
      </c>
      <c r="M23" s="35">
        <f>IFERROR(IF($L$5='2022 Port'!$H$3,VLOOKUP($L23,'2022 Port'!$D$6:$T$67,5,FALSE),IF($L$5='2022 Port'!$K$3,VLOOKUP($L23,'2022 Port'!$D$6:$T$67,8,FALSE),IF($L$5='2022 Port'!$N$3,VLOOKUP($L23,'2022 Port'!$D$6:$T$67,11,FALSE),IF($L$5='2022 Port'!$Q$3,VLOOKUP($L23,'2022 Port'!$D$6:$T$67,14,FALSE),IF($L$5='2022 Port'!T7,VLOOKUP($L23,'2022 Port'!$D$6:$T$67,17,FALSE),""))))),0)</f>
        <v>5.0000000000000001E-3</v>
      </c>
      <c r="N23" s="117">
        <f t="shared" si="5"/>
        <v>146.14433195201184</v>
      </c>
      <c r="O23" s="97">
        <f>IFERROR(VLOOKUP(L23,'Schwab Positions'!$A$9:$J$10000,9,FALSE),"")</f>
        <v>135.44999999999999</v>
      </c>
      <c r="P23" s="30">
        <f t="shared" si="4"/>
        <v>19795.249762900003</v>
      </c>
    </row>
    <row r="24" spans="2:16">
      <c r="B24" t="str" cm="1">
        <f t="array" ref="B24">IFERROR(INDEX('Schwab Positions'!$A$8:$A$10000,SMALL(IF('Schwab Positions'!$E$8:$E$10000=$C$2,ROW('Schwab Positions'!$E$8:$E$10000)-7,""),ROWS($B$19:B24))),"")</f>
        <v>ACN</v>
      </c>
      <c r="C24" t="str">
        <f>IFERROR(VLOOKUP(B24,'Schwab Positions'!$A$8:$B$10000,2,FALSE),"")</f>
        <v>Accenture</v>
      </c>
      <c r="D24" s="34" t="str">
        <f>IFERROR(VLOOKUP(B24,'Security Type'!$A$2:$C$1000,3,FALSE),"")</f>
        <v>US Equity</v>
      </c>
      <c r="E24" s="34" t="str">
        <f>IF(B24="","",IF(ISNUMBER(MATCH(B24,'2022 Port'!$D$6:$D$67,0)),VLOOKUP(B24,'Security Type'!$A$3:$D$1000,4,FALSE),"NOT IN PORT"))</f>
        <v>Information Technology</v>
      </c>
      <c r="F24" cm="1">
        <f t="array" ref="F24">IFERROR(INDEX('Schwab Positions'!$D$8:$D$10000,SMALL(IF('Schwab Positions'!$E$8:$E$10000=$C$2,ROW('Schwab Positions'!$E$8:$E$10000)-7,""),ROWS($F$19:$F24))),"")</f>
        <v>16</v>
      </c>
      <c r="G24" s="1" cm="1">
        <f t="array" ref="G24">IFERROR(INDEX('Schwab Positions'!$I$8:$I$10000,SMALL(IF('Schwab Positions'!$E$8:$E$10000=$C$2,ROW('Schwab Positions'!$E$8:$E$10000)-7,""),ROWS($G$19:$G24))),"")</f>
        <v>2342.4175</v>
      </c>
      <c r="H24" s="100">
        <f t="shared" si="1"/>
        <v>9.4665842686769367E-3</v>
      </c>
      <c r="I24" s="37" cm="1">
        <f t="array" ref="I24">IFERROR(IF($D24="Bond",IFERROR(INDEX('Schwab Positions'!$J$8:$J$10000,SMALL(IF('Schwab Positions'!$E$8:$E$10000=$C$2,ROW('Schwab Positions'!$E$8:$E$10000)-7,""),ROWS($I$19:$I24))),""),$F24*$G24),"")</f>
        <v>37478.68</v>
      </c>
      <c r="J24" s="118"/>
      <c r="K24" s="117">
        <f t="shared" si="2"/>
        <v>-7.5492222189682234</v>
      </c>
      <c r="L24" t="str">
        <f t="shared" si="3"/>
        <v>ACN</v>
      </c>
      <c r="M24" s="35">
        <f>IFERROR(IF($L$5='2022 Port'!$H$3,VLOOKUP($L24,'2022 Port'!$D$6:$T$67,5,FALSE),IF($L$5='2022 Port'!$K$3,VLOOKUP($L24,'2022 Port'!$D$6:$T$67,8,FALSE),IF($L$5='2022 Port'!$N$3,VLOOKUP($L24,'2022 Port'!$D$6:$T$67,11,FALSE),IF($L$5='2022 Port'!$Q$3,VLOOKUP($L24,'2022 Port'!$D$6:$T$67,14,FALSE),IF($L$5='2022 Port'!T8,VLOOKUP($L24,'2022 Port'!$D$6:$T$67,17,FALSE),""))))),0)</f>
        <v>5.0000000000000001E-3</v>
      </c>
      <c r="N24" s="117">
        <f t="shared" si="5"/>
        <v>8.4507777810317766</v>
      </c>
      <c r="O24" s="97">
        <f>IFERROR(VLOOKUP(L24,'Schwab Positions'!$A$9:$J$10000,9,FALSE),"")</f>
        <v>2342.4175</v>
      </c>
      <c r="P24" s="30">
        <f t="shared" si="4"/>
        <v>19795.249762900003</v>
      </c>
    </row>
    <row r="25" spans="2:16">
      <c r="B25" t="str" cm="1">
        <f t="array" ref="B25">IFERROR(INDEX('Schwab Positions'!$A$8:$A$10000,SMALL(IF('Schwab Positions'!$E$8:$E$10000=$C$2,ROW('Schwab Positions'!$E$8:$E$10000)-7,""),ROWS($B$19:B25))),"")</f>
        <v>ATVI</v>
      </c>
      <c r="C25" t="str">
        <f>IFERROR(VLOOKUP(B25,'Schwab Positions'!$A$8:$B$10000,2,FALSE),"")</f>
        <v>Activision Blizzard</v>
      </c>
      <c r="D25" s="34" t="str">
        <f>IFERROR(VLOOKUP(B25,'Security Type'!$A$2:$C$1000,3,FALSE),"")</f>
        <v>US Equity</v>
      </c>
      <c r="E25" s="34" t="str">
        <f>IF(B25="","",IF(ISNUMBER(MATCH(B25,'2022 Port'!$D$6:$D$67,0)),VLOOKUP(B25,'Security Type'!$A$3:$D$1000,4,FALSE),"NOT IN PORT"))</f>
        <v>Communication Services</v>
      </c>
      <c r="F25" cm="1">
        <f t="array" ref="F25">IFERROR(INDEX('Schwab Positions'!$D$8:$D$10000,SMALL(IF('Schwab Positions'!$E$8:$E$10000=$C$2,ROW('Schwab Positions'!$E$8:$E$10000)-7,""),ROWS($F$19:$F25))),"")</f>
        <v>46</v>
      </c>
      <c r="G25" s="1" cm="1">
        <f t="array" ref="G25">IFERROR(INDEX('Schwab Positions'!$I$8:$I$10000,SMALL(IF('Schwab Positions'!$E$8:$E$10000=$C$2,ROW('Schwab Positions'!$E$8:$E$10000)-7,""),ROWS($G$19:$G25))),"")</f>
        <v>741.19</v>
      </c>
      <c r="H25" s="100">
        <f t="shared" si="1"/>
        <v>8.6118489052610797E-3</v>
      </c>
      <c r="I25" s="37" cm="1">
        <f t="array" ref="I25">IFERROR(IF($D25="Bond",IFERROR(INDEX('Schwab Positions'!$J$8:$J$10000,SMALL(IF('Schwab Positions'!$E$8:$E$10000=$C$2,ROW('Schwab Positions'!$E$8:$E$10000)-7,""),ROWS($I$19:$I25))),""),$F25*$G25),"")</f>
        <v>34094.740000000005</v>
      </c>
      <c r="J25" s="118"/>
      <c r="K25" s="117">
        <f t="shared" si="2"/>
        <v>-19.292610851603502</v>
      </c>
      <c r="L25" t="str">
        <f t="shared" si="3"/>
        <v>ATVI</v>
      </c>
      <c r="M25" s="35">
        <f>IFERROR(IF($L$5='2022 Port'!$H$3,VLOOKUP($L25,'2022 Port'!$D$6:$T$67,5,FALSE),IF($L$5='2022 Port'!$K$3,VLOOKUP($L25,'2022 Port'!$D$6:$T$67,8,FALSE),IF($L$5='2022 Port'!$N$3,VLOOKUP($L25,'2022 Port'!$D$6:$T$67,11,FALSE),IF($L$5='2022 Port'!$Q$3,VLOOKUP($L25,'2022 Port'!$D$6:$T$67,14,FALSE),IF($L$5='2022 Port'!T9,VLOOKUP($L25,'2022 Port'!$D$6:$T$67,17,FALSE),""))))),0)</f>
        <v>5.0000000000000001E-3</v>
      </c>
      <c r="N25" s="117">
        <f t="shared" si="5"/>
        <v>26.707389148396498</v>
      </c>
      <c r="O25" s="97">
        <f>IFERROR(VLOOKUP(L25,'Schwab Positions'!$A$9:$J$10000,9,FALSE),"")</f>
        <v>741.19</v>
      </c>
      <c r="P25" s="30">
        <f t="shared" si="4"/>
        <v>19795.249762900003</v>
      </c>
    </row>
    <row r="26" spans="2:16">
      <c r="B26" t="str" cm="1">
        <f t="array" ref="B26">IFERROR(INDEX('Schwab Positions'!$A$8:$A$10000,SMALL(IF('Schwab Positions'!$E$8:$E$10000=$C$2,ROW('Schwab Positions'!$E$8:$E$10000)-7,""),ROWS($B$19:B26))),"")</f>
        <v>ADM</v>
      </c>
      <c r="C26" t="str">
        <f>IFERROR(VLOOKUP(B26,'Schwab Positions'!$A$8:$B$10000,2,FALSE),"")</f>
        <v>ADM</v>
      </c>
      <c r="D26" s="34" t="str">
        <f>IFERROR(VLOOKUP(B26,'Security Type'!$A$2:$C$1000,3,FALSE),"")</f>
        <v>US Equity</v>
      </c>
      <c r="E26" s="34" t="str">
        <f>IF(B26="","",IF(ISNUMBER(MATCH(B26,'2022 Port'!$D$6:$D$67,0)),VLOOKUP(B26,'Security Type'!$A$3:$D$1000,4,FALSE),"NOT IN PORT"))</f>
        <v>Consumer Staples</v>
      </c>
      <c r="F26" cm="1">
        <f t="array" ref="F26">IFERROR(INDEX('Schwab Positions'!$D$8:$D$10000,SMALL(IF('Schwab Positions'!$E$8:$E$10000=$C$2,ROW('Schwab Positions'!$E$8:$E$10000)-7,""),ROWS($F$19:$F26))),"")</f>
        <v>8093</v>
      </c>
      <c r="G26" s="1" cm="1">
        <f t="array" ref="G26">IFERROR(INDEX('Schwab Positions'!$I$8:$I$10000,SMALL(IF('Schwab Positions'!$E$8:$E$10000=$C$2,ROW('Schwab Positions'!$E$8:$E$10000)-7,""),ROWS($G$19:$G26))),"")</f>
        <v>23.355</v>
      </c>
      <c r="H26" s="100">
        <f t="shared" si="1"/>
        <v>4.7741760590018889E-2</v>
      </c>
      <c r="I26" s="37" cm="1">
        <f t="array" ref="I26">IFERROR(IF($D26="Bond",IFERROR(INDEX('Schwab Positions'!$J$8:$J$10000,SMALL(IF('Schwab Positions'!$E$8:$E$10000=$C$2,ROW('Schwab Positions'!$E$8:$E$10000)-7,""),ROWS($I$19:$I26))),""),$F26*$G26),"")</f>
        <v>189012.01500000001</v>
      </c>
      <c r="J26" s="118"/>
      <c r="K26" s="117">
        <f t="shared" si="2"/>
        <v>-7245.4191923399703</v>
      </c>
      <c r="L26" t="str">
        <f t="shared" si="3"/>
        <v>ADM</v>
      </c>
      <c r="M26" s="35">
        <f>IFERROR(IF($L$5='2022 Port'!$H$3,VLOOKUP($L26,'2022 Port'!$D$6:$T$67,5,FALSE),IF($L$5='2022 Port'!$K$3,VLOOKUP($L26,'2022 Port'!$D$6:$T$67,8,FALSE),IF($L$5='2022 Port'!$N$3,VLOOKUP($L26,'2022 Port'!$D$6:$T$67,11,FALSE),IF($L$5='2022 Port'!$Q$3,VLOOKUP($L26,'2022 Port'!$D$6:$T$67,14,FALSE),IF($L$5='2022 Port'!T10,VLOOKUP($L26,'2022 Port'!$D$6:$T$67,17,FALSE),""))))),0)</f>
        <v>5.0000000000000001E-3</v>
      </c>
      <c r="N26" s="117">
        <f t="shared" si="5"/>
        <v>847.58080766003002</v>
      </c>
      <c r="O26" s="97">
        <f>IFERROR(VLOOKUP(L26,'Schwab Positions'!$A$9:$J$10000,9,FALSE),"")</f>
        <v>23.355</v>
      </c>
      <c r="P26" s="30">
        <f t="shared" si="4"/>
        <v>19795.249762900003</v>
      </c>
    </row>
    <row r="27" spans="2:16">
      <c r="B27" t="str" cm="1">
        <f t="array" ref="B27">IFERROR(INDEX('Schwab Positions'!$A$8:$A$10000,SMALL(IF('Schwab Positions'!$E$8:$E$10000=$C$2,ROW('Schwab Positions'!$E$8:$E$10000)-7,""),ROWS($B$19:B27))),"")</f>
        <v>ADBE</v>
      </c>
      <c r="C27" t="str">
        <f>IFERROR(VLOOKUP(B27,'Schwab Positions'!$A$8:$B$10000,2,FALSE),"")</f>
        <v>Adobe</v>
      </c>
      <c r="D27" s="34" t="str">
        <f>IFERROR(VLOOKUP(B27,'Security Type'!$A$2:$C$1000,3,FALSE),"")</f>
        <v>US Equity</v>
      </c>
      <c r="E27" s="34" t="str">
        <f>IF(B27="","",IF(ISNUMBER(MATCH(B27,'2022 Port'!$D$6:$D$67,0)),VLOOKUP(B27,'Security Type'!$A$3:$D$1000,4,FALSE),"NOT IN PORT"))</f>
        <v>Information Technology</v>
      </c>
      <c r="F27" cm="1">
        <f t="array" ref="F27">IFERROR(INDEX('Schwab Positions'!$D$8:$D$10000,SMALL(IF('Schwab Positions'!$E$8:$E$10000=$C$2,ROW('Schwab Positions'!$E$8:$E$10000)-7,""),ROWS($F$19:$F27))),"")</f>
        <v>58</v>
      </c>
      <c r="G27" s="1" cm="1">
        <f t="array" ref="G27">IFERROR(INDEX('Schwab Positions'!$I$8:$I$10000,SMALL(IF('Schwab Positions'!$E$8:$E$10000=$C$2,ROW('Schwab Positions'!$E$8:$E$10000)-7,""),ROWS($G$19:$G27))),"")</f>
        <v>309.19900000000001</v>
      </c>
      <c r="H27" s="100">
        <f t="shared" si="1"/>
        <v>4.5297589610641875E-3</v>
      </c>
      <c r="I27" s="37" cm="1">
        <f t="array" ref="I27">IFERROR(IF($D27="Bond",IFERROR(INDEX('Schwab Positions'!$J$8:$J$10000,SMALL(IF('Schwab Positions'!$E$8:$E$10000=$C$2,ROW('Schwab Positions'!$E$8:$E$10000)-7,""),ROWS($I$19:$I27))),""),$F27*$G27),"")</f>
        <v>17933.542000000001</v>
      </c>
      <c r="J27" s="118"/>
      <c r="K27" s="117" t="str">
        <f t="shared" si="2"/>
        <v>IN PORTFOLIO %</v>
      </c>
      <c r="L27" t="str">
        <f t="shared" si="3"/>
        <v>ADBE</v>
      </c>
      <c r="M27" s="35">
        <f>IFERROR(IF($L$5='2022 Port'!$H$3,VLOOKUP($L27,'2022 Port'!$D$6:$T$67,5,FALSE),IF($L$5='2022 Port'!$K$3,VLOOKUP($L27,'2022 Port'!$D$6:$T$67,8,FALSE),IF($L$5='2022 Port'!$N$3,VLOOKUP($L27,'2022 Port'!$D$6:$T$67,11,FALSE),IF($L$5='2022 Port'!$Q$3,VLOOKUP($L27,'2022 Port'!$D$6:$T$67,14,FALSE),IF($L$5='2022 Port'!T11,VLOOKUP($L27,'2022 Port'!$D$6:$T$67,17,FALSE),""))))),0)</f>
        <v>5.0000000000000001E-3</v>
      </c>
      <c r="N27" s="117">
        <f>IFERROR(M27*$C$15/O27,"")</f>
        <v>64.021066571690085</v>
      </c>
      <c r="O27" s="97">
        <f>IFERROR(VLOOKUP(L27,'Schwab Positions'!$A$9:$J$10000,9,FALSE),"")</f>
        <v>309.19900000000001</v>
      </c>
      <c r="P27" s="30">
        <f>IFERROR(O27*N27,"")</f>
        <v>19795.249762900003</v>
      </c>
    </row>
    <row r="28" spans="2:16">
      <c r="B28" t="str" cm="1">
        <f t="array" ref="B28">IFERROR(INDEX('Schwab Positions'!$A$8:$A$10000,SMALL(IF('Schwab Positions'!$E$8:$E$10000=$C$2,ROW('Schwab Positions'!$E$8:$E$10000)-7,""),ROWS($B$19:B28))),"")</f>
        <v>AAP</v>
      </c>
      <c r="C28" t="str">
        <f>IFERROR(VLOOKUP(B28,'Schwab Positions'!$A$8:$B$10000,2,FALSE),"")</f>
        <v>Advance Auto Parts</v>
      </c>
      <c r="D28" s="34" t="str">
        <f>IFERROR(VLOOKUP(B28,'Security Type'!$A$2:$C$1000,3,FALSE),"")</f>
        <v>US Equity</v>
      </c>
      <c r="E28" s="34" t="str">
        <f>IF(B28="","",IF(ISNUMBER(MATCH(B28,'2022 Port'!$D$6:$D$67,0)),VLOOKUP(B28,'Security Type'!$A$3:$D$1000,4,FALSE),"NOT IN PORT"))</f>
        <v>Consumer Discretionary</v>
      </c>
      <c r="F28" cm="1">
        <f t="array" ref="F28">IFERROR(INDEX('Schwab Positions'!$D$8:$D$10000,SMALL(IF('Schwab Positions'!$E$8:$E$10000=$C$2,ROW('Schwab Positions'!$E$8:$E$10000)-7,""),ROWS($F$19:$F28))),"")</f>
        <v>221</v>
      </c>
      <c r="G28" s="1" cm="1">
        <f t="array" ref="G28">IFERROR(INDEX('Schwab Positions'!$I$8:$I$10000,SMALL(IF('Schwab Positions'!$E$8:$E$10000=$C$2,ROW('Schwab Positions'!$E$8:$E$10000)-7,""),ROWS($G$19:$G28))),"")</f>
        <v>273.65499999999997</v>
      </c>
      <c r="H28" s="100">
        <f t="shared" si="1"/>
        <v>1.5275825191492814E-2</v>
      </c>
      <c r="I28" s="37" cm="1">
        <f t="array" ref="I28">IFERROR(IF($D28="Bond",IFERROR(INDEX('Schwab Positions'!$J$8:$J$10000,SMALL(IF('Schwab Positions'!$E$8:$E$10000=$C$2,ROW('Schwab Positions'!$E$8:$E$10000)-7,""),ROWS($I$19:$I28))),""),$F28*$G28),"")</f>
        <v>60477.754999999997</v>
      </c>
      <c r="J28" s="118"/>
      <c r="K28" s="117">
        <f t="shared" si="2"/>
        <v>-148.66348225722169</v>
      </c>
      <c r="L28" t="str">
        <f t="shared" si="3"/>
        <v>AAP</v>
      </c>
      <c r="M28" s="35">
        <f>IFERROR(IF($L$5='2022 Port'!$H$3,VLOOKUP($L28,'2022 Port'!$D$6:$T$67,5,FALSE),IF($L$5='2022 Port'!$K$3,VLOOKUP($L28,'2022 Port'!$D$6:$T$67,8,FALSE),IF($L$5='2022 Port'!$N$3,VLOOKUP($L28,'2022 Port'!$D$6:$T$67,11,FALSE),IF($L$5='2022 Port'!$Q$3,VLOOKUP($L28,'2022 Port'!$D$6:$T$67,14,FALSE),IF($L$5='2022 Port'!T12,VLOOKUP($L28,'2022 Port'!$D$6:$T$67,17,FALSE),""))))),0)</f>
        <v>5.0000000000000001E-3</v>
      </c>
      <c r="N28" s="117">
        <f t="shared" si="5"/>
        <v>72.336517742778327</v>
      </c>
      <c r="O28" s="97">
        <f>IFERROR(VLOOKUP(L28,'Schwab Positions'!$A$9:$J$10000,9,FALSE),"")</f>
        <v>273.65499999999997</v>
      </c>
      <c r="P28" s="30">
        <f t="shared" si="4"/>
        <v>19795.249762900003</v>
      </c>
    </row>
    <row r="29" spans="2:16">
      <c r="B29" t="str" cm="1">
        <f t="array" ref="B29">IFERROR(INDEX('Schwab Positions'!$A$8:$A$10000,SMALL(IF('Schwab Positions'!$E$8:$E$10000=$C$2,ROW('Schwab Positions'!$E$8:$E$10000)-7,""),ROWS($B$19:B29))),"")</f>
        <v>AMD</v>
      </c>
      <c r="C29" t="str">
        <f>IFERROR(VLOOKUP(B29,'Schwab Positions'!$A$8:$B$10000,2,FALSE),"")</f>
        <v>Advanced Micro Devices</v>
      </c>
      <c r="D29" s="34" t="str">
        <f>IFERROR(VLOOKUP(B29,'Security Type'!$A$2:$C$1000,3,FALSE),"")</f>
        <v>US Equity</v>
      </c>
      <c r="E29" s="34" t="str">
        <f>IF(B29="","",IF(ISNUMBER(MATCH(B29,'2022 Port'!$D$6:$D$67,0)),VLOOKUP(B29,'Security Type'!$A$3:$D$1000,4,FALSE),"NOT IN PORT"))</f>
        <v>Information Technology</v>
      </c>
      <c r="F29" cm="1">
        <f t="array" ref="F29">IFERROR(INDEX('Schwab Positions'!$D$8:$D$10000,SMALL(IF('Schwab Positions'!$E$8:$E$10000=$C$2,ROW('Schwab Positions'!$E$8:$E$10000)-7,""),ROWS($F$19:$F29))),"")</f>
        <v>434</v>
      </c>
      <c r="G29" s="1" cm="1">
        <f t="array" ref="G29">IFERROR(INDEX('Schwab Positions'!$I$8:$I$10000,SMALL(IF('Schwab Positions'!$E$8:$E$10000=$C$2,ROW('Schwab Positions'!$E$8:$E$10000)-7,""),ROWS($G$19:$G29))),"")</f>
        <v>67.87</v>
      </c>
      <c r="H29" s="100">
        <f t="shared" si="1"/>
        <v>7.440062730404459E-3</v>
      </c>
      <c r="I29" s="37" cm="1">
        <f t="array" ref="I29">IFERROR(IF($D29="Bond",IFERROR(INDEX('Schwab Positions'!$J$8:$J$10000,SMALL(IF('Schwab Positions'!$E$8:$E$10000=$C$2,ROW('Schwab Positions'!$E$8:$E$10000)-7,""),ROWS($I$19:$I29))),""),$F29*$G29),"")</f>
        <v>29455.58</v>
      </c>
      <c r="J29" s="118"/>
      <c r="K29" s="117">
        <f t="shared" si="2"/>
        <v>-142.33579250184175</v>
      </c>
      <c r="L29" t="str">
        <f t="shared" si="3"/>
        <v>AMD</v>
      </c>
      <c r="M29" s="35">
        <f>IFERROR(IF($L$5='2022 Port'!$H$3,VLOOKUP($L29,'2022 Port'!$D$6:$T$67,5,FALSE),IF($L$5='2022 Port'!$K$3,VLOOKUP($L29,'2022 Port'!$D$6:$T$67,8,FALSE),IF($L$5='2022 Port'!$N$3,VLOOKUP($L29,'2022 Port'!$D$6:$T$67,11,FALSE),IF($L$5='2022 Port'!$Q$3,VLOOKUP($L29,'2022 Port'!$D$6:$T$67,14,FALSE),IF($L$5='2022 Port'!T13,VLOOKUP($L29,'2022 Port'!$D$6:$T$67,17,FALSE),""))))),0)</f>
        <v>5.0000000000000001E-3</v>
      </c>
      <c r="N29" s="117">
        <f t="shared" si="5"/>
        <v>291.66420749815825</v>
      </c>
      <c r="O29" s="97">
        <f>IFERROR(VLOOKUP(L29,'Schwab Positions'!$A$9:$J$10000,9,FALSE),"")</f>
        <v>67.87</v>
      </c>
      <c r="P29" s="30">
        <f t="shared" si="4"/>
        <v>19795.249762900003</v>
      </c>
    </row>
    <row r="30" spans="2:16">
      <c r="B30" t="str" cm="1">
        <f t="array" ref="B30">IFERROR(INDEX('Schwab Positions'!$A$8:$A$10000,SMALL(IF('Schwab Positions'!$E$8:$E$10000=$C$2,ROW('Schwab Positions'!$E$8:$E$10000)-7,""),ROWS($B$19:B30))),"")</f>
        <v>AES</v>
      </c>
      <c r="C30" t="str">
        <f>IFERROR(VLOOKUP(B30,'Schwab Positions'!$A$8:$B$10000,2,FALSE),"")</f>
        <v>AES Corp</v>
      </c>
      <c r="D30" s="34" t="str">
        <f>IFERROR(VLOOKUP(B30,'Security Type'!$A$2:$C$1000,3,FALSE),"")</f>
        <v>US Equity</v>
      </c>
      <c r="E30" s="34" t="str">
        <f>IF(B30="","",IF(ISNUMBER(MATCH(B30,'2022 Port'!$D$6:$D$67,0)),VLOOKUP(B30,'Security Type'!$A$3:$D$1000,4,FALSE),"NOT IN PORT"))</f>
        <v>Utilities</v>
      </c>
      <c r="F30" cm="1">
        <f t="array" ref="F30">IFERROR(INDEX('Schwab Positions'!$D$8:$D$10000,SMALL(IF('Schwab Positions'!$E$8:$E$10000=$C$2,ROW('Schwab Positions'!$E$8:$E$10000)-7,""),ROWS($F$19:$F30))),"")</f>
        <v>4105</v>
      </c>
      <c r="G30" s="1" cm="1">
        <f t="array" ref="G30">IFERROR(INDEX('Schwab Positions'!$I$8:$I$10000,SMALL(IF('Schwab Positions'!$E$8:$E$10000=$C$2,ROW('Schwab Positions'!$E$8:$E$10000)-7,""),ROWS($G$19:$G30))),"")</f>
        <v>32.72</v>
      </c>
      <c r="H30" s="100">
        <f t="shared" si="1"/>
        <v>3.3926220080267071E-2</v>
      </c>
      <c r="I30" s="37" cm="1">
        <f t="array" ref="I30">IFERROR(IF($D30="Bond",IFERROR(INDEX('Schwab Positions'!$J$8:$J$10000,SMALL(IF('Schwab Positions'!$E$8:$E$10000=$C$2,ROW('Schwab Positions'!$E$8:$E$10000)-7,""),ROWS($I$19:$I30))),""),$F30*$G30),"")</f>
        <v>134315.6</v>
      </c>
      <c r="J30" s="118"/>
      <c r="K30" s="117">
        <f t="shared" si="2"/>
        <v>-3500.0107040678486</v>
      </c>
      <c r="L30" t="str">
        <f t="shared" si="3"/>
        <v>AES</v>
      </c>
      <c r="M30" s="35">
        <f>IFERROR(IF($L$5='2022 Port'!$H$3,VLOOKUP($L30,'2022 Port'!$D$6:$T$67,5,FALSE),IF($L$5='2022 Port'!$K$3,VLOOKUP($L30,'2022 Port'!$D$6:$T$67,8,FALSE),IF($L$5='2022 Port'!$N$3,VLOOKUP($L30,'2022 Port'!$D$6:$T$67,11,FALSE),IF($L$5='2022 Port'!$Q$3,VLOOKUP($L30,'2022 Port'!$D$6:$T$67,14,FALSE),IF($L$5='2022 Port'!T14,VLOOKUP($L30,'2022 Port'!$D$6:$T$67,17,FALSE),""))))),0)</f>
        <v>5.0000000000000001E-3</v>
      </c>
      <c r="N30" s="117">
        <f t="shared" si="5"/>
        <v>604.98929593215166</v>
      </c>
      <c r="O30" s="97">
        <f>IFERROR(VLOOKUP(L30,'Schwab Positions'!$A$9:$J$10000,9,FALSE),"")</f>
        <v>32.72</v>
      </c>
      <c r="P30" s="30">
        <f t="shared" si="4"/>
        <v>19795.249762900003</v>
      </c>
    </row>
    <row r="31" spans="2:16">
      <c r="B31" t="str" cm="1">
        <f t="array" ref="B31">IFERROR(INDEX('Schwab Positions'!$A$8:$A$10000,SMALL(IF('Schwab Positions'!$E$8:$E$10000=$C$2,ROW('Schwab Positions'!$E$8:$E$10000)-7,""),ROWS($B$19:B31))),"")</f>
        <v>AFL</v>
      </c>
      <c r="C31" t="str">
        <f>IFERROR(VLOOKUP(B31,'Schwab Positions'!$A$8:$B$10000,2,FALSE),"")</f>
        <v>Aflac</v>
      </c>
      <c r="D31" s="34" t="str">
        <f>IFERROR(VLOOKUP(B31,'Security Type'!$A$2:$C$1000,3,FALSE),"")</f>
        <v>US Equity</v>
      </c>
      <c r="E31" s="34" t="str">
        <f>IF(B31="","",IF(ISNUMBER(MATCH(B31,'2022 Port'!$D$6:$D$67,0)),VLOOKUP(B31,'Security Type'!$A$3:$D$1000,4,FALSE),"NOT IN PORT"))</f>
        <v>Financials</v>
      </c>
      <c r="F31" cm="1">
        <f t="array" ref="F31">IFERROR(INDEX('Schwab Positions'!$D$8:$D$10000,SMALL(IF('Schwab Positions'!$E$8:$E$10000=$C$2,ROW('Schwab Positions'!$E$8:$E$10000)-7,""),ROWS($F$19:$F31))),"")</f>
        <v>8428</v>
      </c>
      <c r="G31" s="1" cm="1">
        <f t="array" ref="G31">IFERROR(INDEX('Schwab Positions'!$I$8:$I$10000,SMALL(IF('Schwab Positions'!$E$8:$E$10000=$C$2,ROW('Schwab Positions'!$E$8:$E$10000)-7,""),ROWS($G$19:$G31))),"")</f>
        <v>29.2</v>
      </c>
      <c r="H31" s="100">
        <f t="shared" si="1"/>
        <v>6.2160771636545077E-2</v>
      </c>
      <c r="I31" s="37" cm="1">
        <f t="array" ref="I31">IFERROR(IF($D31="Bond",IFERROR(INDEX('Schwab Positions'!$J$8:$J$10000,SMALL(IF('Schwab Positions'!$E$8:$E$10000=$C$2,ROW('Schwab Positions'!$E$8:$E$10000)-7,""),ROWS($I$19:$I31))),""),$F31*$G31),"")</f>
        <v>246097.6</v>
      </c>
      <c r="J31" s="118"/>
      <c r="K31" s="117">
        <f t="shared" si="2"/>
        <v>-7750.0804875719177</v>
      </c>
      <c r="L31" t="str">
        <f t="shared" si="3"/>
        <v>AFL</v>
      </c>
      <c r="M31" s="35">
        <f>IFERROR(IF($L$5='2022 Port'!$H$3,VLOOKUP($L31,'2022 Port'!$D$6:$T$67,5,FALSE),IF($L$5='2022 Port'!$K$3,VLOOKUP($L31,'2022 Port'!$D$6:$T$67,8,FALSE),IF($L$5='2022 Port'!$N$3,VLOOKUP($L31,'2022 Port'!$D$6:$T$67,11,FALSE),IF($L$5='2022 Port'!$Q$3,VLOOKUP($L31,'2022 Port'!$D$6:$T$67,14,FALSE),IF($L$5='2022 Port'!T15,VLOOKUP($L31,'2022 Port'!$D$6:$T$67,17,FALSE),""))))),0)</f>
        <v>5.0000000000000001E-3</v>
      </c>
      <c r="N31" s="117">
        <f t="shared" si="5"/>
        <v>677.91951242808227</v>
      </c>
      <c r="O31" s="97">
        <f>IFERROR(VLOOKUP(L31,'Schwab Positions'!$A$9:$J$10000,9,FALSE),"")</f>
        <v>29.2</v>
      </c>
      <c r="P31" s="30">
        <f t="shared" si="4"/>
        <v>19795.249762900003</v>
      </c>
    </row>
    <row r="32" spans="2:16">
      <c r="B32" t="str" cm="1">
        <f t="array" ref="B32">IFERROR(INDEX('Schwab Positions'!$A$8:$A$10000,SMALL(IF('Schwab Positions'!$E$8:$E$10000=$C$2,ROW('Schwab Positions'!$E$8:$E$10000)-7,""),ROWS($B$19:B32))),"")</f>
        <v>A</v>
      </c>
      <c r="C32" t="str">
        <f>IFERROR(VLOOKUP(B32,'Schwab Positions'!$A$8:$B$10000,2,FALSE),"")</f>
        <v>Agilent Technologies</v>
      </c>
      <c r="D32" s="34" t="str">
        <f>IFERROR(VLOOKUP(B32,'Security Type'!$A$2:$C$1000,3,FALSE),"")</f>
        <v>US Equity</v>
      </c>
      <c r="E32" s="34" t="str">
        <f>IF(B32="","",IF(ISNUMBER(MATCH(B32,'2022 Port'!$D$6:$D$67,0)),VLOOKUP(B32,'Security Type'!$A$3:$D$1000,4,FALSE),"NOT IN PORT"))</f>
        <v>Health Care</v>
      </c>
      <c r="F32" cm="1">
        <f t="array" ref="F32">IFERROR(INDEX('Schwab Positions'!$D$8:$D$10000,SMALL(IF('Schwab Positions'!$E$8:$E$10000=$C$2,ROW('Schwab Positions'!$E$8:$E$10000)-7,""),ROWS($F$19:$F32))),"")</f>
        <v>256</v>
      </c>
      <c r="G32" s="1" cm="1">
        <f t="array" ref="G32">IFERROR(INDEX('Schwab Positions'!$I$8:$I$10000,SMALL(IF('Schwab Positions'!$E$8:$E$10000=$C$2,ROW('Schwab Positions'!$E$8:$E$10000)-7,""),ROWS($G$19:$G32))),"")</f>
        <v>147.56</v>
      </c>
      <c r="H32" s="100">
        <f t="shared" si="1"/>
        <v>9.5415214388449108E-3</v>
      </c>
      <c r="I32" s="37" cm="1">
        <f t="array" ref="I32">IFERROR(IF($D32="Bond",IFERROR(INDEX('Schwab Positions'!$J$8:$J$10000,SMALL(IF('Schwab Positions'!$E$8:$E$10000=$C$2,ROW('Schwab Positions'!$E$8:$E$10000)-7,""),ROWS($I$19:$I32))),""),$F32*$G32),"")</f>
        <v>37775.360000000001</v>
      </c>
      <c r="J32" s="118"/>
      <c r="K32" s="117">
        <f t="shared" si="2"/>
        <v>-121.84948656207644</v>
      </c>
      <c r="L32" t="str">
        <f t="shared" si="3"/>
        <v>A</v>
      </c>
      <c r="M32" s="35">
        <f>IFERROR(IF($L$5='2022 Port'!$H$3,VLOOKUP($L32,'2022 Port'!$D$6:$T$67,5,FALSE),IF($L$5='2022 Port'!$K$3,VLOOKUP($L32,'2022 Port'!$D$6:$T$67,8,FALSE),IF($L$5='2022 Port'!$N$3,VLOOKUP($L32,'2022 Port'!$D$6:$T$67,11,FALSE),IF($L$5='2022 Port'!$Q$3,VLOOKUP($L32,'2022 Port'!$D$6:$T$67,14,FALSE),IF($L$5='2022 Port'!T16,VLOOKUP($L32,'2022 Port'!$D$6:$T$67,17,FALSE),""))))),0)</f>
        <v>5.0000000000000001E-3</v>
      </c>
      <c r="N32" s="117">
        <f t="shared" si="5"/>
        <v>134.15051343792356</v>
      </c>
      <c r="O32" s="97">
        <f>IFERROR(VLOOKUP(L32,'Schwab Positions'!$A$9:$J$10000,9,FALSE),"")</f>
        <v>147.56</v>
      </c>
      <c r="P32" s="30">
        <f t="shared" si="4"/>
        <v>19795.249762900003</v>
      </c>
    </row>
    <row r="33" spans="2:16">
      <c r="B33" t="str" cm="1">
        <f t="array" ref="B33">IFERROR(INDEX('Schwab Positions'!$A$8:$A$10000,SMALL(IF('Schwab Positions'!$E$8:$E$10000=$C$2,ROW('Schwab Positions'!$E$8:$E$10000)-7,""),ROWS($B$19:B33))),"")</f>
        <v>APD</v>
      </c>
      <c r="C33" t="str">
        <f>IFERROR(VLOOKUP(B33,'Schwab Positions'!$A$8:$B$10000,2,FALSE),"")</f>
        <v>Air Products &amp; Chemicals</v>
      </c>
      <c r="D33" s="34" t="str">
        <f>IFERROR(VLOOKUP(B33,'Security Type'!$A$2:$C$1000,3,FALSE),"")</f>
        <v>US Equity</v>
      </c>
      <c r="E33" s="34" t="str">
        <f>IF(B33="","",IF(ISNUMBER(MATCH(B33,'2022 Port'!$D$6:$D$67,0)),VLOOKUP(B33,'Security Type'!$A$3:$D$1000,4,FALSE),"NOT IN PORT"))</f>
        <v>Materials</v>
      </c>
      <c r="F33" cm="1">
        <f t="array" ref="F33">IFERROR(INDEX('Schwab Positions'!$D$8:$D$10000,SMALL(IF('Schwab Positions'!$E$8:$E$10000=$C$2,ROW('Schwab Positions'!$E$8:$E$10000)-7,""),ROWS($F$19:$F33))),"")</f>
        <v>3313</v>
      </c>
      <c r="G33" s="1" cm="1">
        <f t="array" ref="G33">IFERROR(INDEX('Schwab Positions'!$I$8:$I$10000,SMALL(IF('Schwab Positions'!$E$8:$E$10000=$C$2,ROW('Schwab Positions'!$E$8:$E$10000)-7,""),ROWS($G$19:$G33))),"")</f>
        <v>32.414999999999999</v>
      </c>
      <c r="H33" s="100">
        <f t="shared" si="1"/>
        <v>2.7125420564601974E-2</v>
      </c>
      <c r="I33" s="37" cm="1">
        <f t="array" ref="I33">IFERROR(IF($D33="Bond",IFERROR(INDEX('Schwab Positions'!$J$8:$J$10000,SMALL(IF('Schwab Positions'!$E$8:$E$10000=$C$2,ROW('Schwab Positions'!$E$8:$E$10000)-7,""),ROWS($I$19:$I33))),""),$F33*$G33),"")</f>
        <v>107390.895</v>
      </c>
      <c r="J33" s="118"/>
      <c r="K33" s="117">
        <f t="shared" si="2"/>
        <v>-2702.3182241894183</v>
      </c>
      <c r="L33" t="str">
        <f t="shared" si="3"/>
        <v>APD</v>
      </c>
      <c r="M33" s="35">
        <f>IFERROR(IF($L$5='2022 Port'!$H$3,VLOOKUP($L33,'2022 Port'!$D$6:$T$67,5,FALSE),IF($L$5='2022 Port'!$K$3,VLOOKUP($L33,'2022 Port'!$D$6:$T$67,8,FALSE),IF($L$5='2022 Port'!$N$3,VLOOKUP($L33,'2022 Port'!$D$6:$T$67,11,FALSE),IF($L$5='2022 Port'!$Q$3,VLOOKUP($L33,'2022 Port'!$D$6:$T$67,14,FALSE),IF($L$5='2022 Port'!T17,VLOOKUP($L33,'2022 Port'!$D$6:$T$67,17,FALSE),""))))),0)</f>
        <v>5.0000000000000001E-3</v>
      </c>
      <c r="N33" s="117">
        <f t="shared" si="5"/>
        <v>610.6817758105816</v>
      </c>
      <c r="O33" s="97">
        <f>IFERROR(VLOOKUP(L33,'Schwab Positions'!$A$9:$J$10000,9,FALSE),"")</f>
        <v>32.414999999999999</v>
      </c>
      <c r="P33" s="30">
        <f t="shared" si="4"/>
        <v>19795.249762900003</v>
      </c>
    </row>
    <row r="34" spans="2:16">
      <c r="B34" t="str" cm="1">
        <f t="array" ref="B34">IFERROR(INDEX('Schwab Positions'!$A$8:$A$10000,SMALL(IF('Schwab Positions'!$E$8:$E$10000=$C$2,ROW('Schwab Positions'!$E$8:$E$10000)-7,""),ROWS($B$19:B34))),"")</f>
        <v>AKAM</v>
      </c>
      <c r="C34" t="str">
        <f>IFERROR(VLOOKUP(B34,'Schwab Positions'!$A$8:$B$10000,2,FALSE),"")</f>
        <v>Akamai Technologies</v>
      </c>
      <c r="D34" s="34" t="str">
        <f>IFERROR(VLOOKUP(B34,'Security Type'!$A$2:$C$1000,3,FALSE),"")</f>
        <v>US Equity</v>
      </c>
      <c r="E34" s="34" t="str">
        <f>IF(B34="","",IF(ISNUMBER(MATCH(B34,'2022 Port'!$D$6:$D$67,0)),VLOOKUP(B34,'Security Type'!$A$3:$D$1000,4,FALSE),"NOT IN PORT"))</f>
        <v>Information Technology</v>
      </c>
      <c r="F34" cm="1">
        <f t="array" ref="F34">IFERROR(INDEX('Schwab Positions'!$D$8:$D$10000,SMALL(IF('Schwab Positions'!$E$8:$E$10000=$C$2,ROW('Schwab Positions'!$E$8:$E$10000)-7,""),ROWS($F$19:$F34))),"")</f>
        <v>721</v>
      </c>
      <c r="G34" s="1" cm="1">
        <f t="array" ref="G34">IFERROR(INDEX('Schwab Positions'!$I$8:$I$10000,SMALL(IF('Schwab Positions'!$E$8:$E$10000=$C$2,ROW('Schwab Positions'!$E$8:$E$10000)-7,""),ROWS($G$19:$G34))),"")</f>
        <v>97.79</v>
      </c>
      <c r="H34" s="100">
        <f t="shared" si="1"/>
        <v>1.7808967010899387E-2</v>
      </c>
      <c r="I34" s="37" cm="1">
        <f t="array" ref="I34">IFERROR(IF($D34="Bond",IFERROR(INDEX('Schwab Positions'!$J$8:$J$10000,SMALL(IF('Schwab Positions'!$E$8:$E$10000=$C$2,ROW('Schwab Positions'!$E$8:$E$10000)-7,""),ROWS($I$19:$I34))),""),$F34*$G34),"")</f>
        <v>70506.590000000011</v>
      </c>
      <c r="J34" s="118"/>
      <c r="K34" s="117">
        <f t="shared" si="2"/>
        <v>-518.5738852346866</v>
      </c>
      <c r="L34" t="str">
        <f t="shared" si="3"/>
        <v>AKAM</v>
      </c>
      <c r="M34" s="35">
        <f>IFERROR(IF($L$5='2022 Port'!$H$3,VLOOKUP($L34,'2022 Port'!$D$6:$T$67,5,FALSE),IF($L$5='2022 Port'!$K$3,VLOOKUP($L34,'2022 Port'!$D$6:$T$67,8,FALSE),IF($L$5='2022 Port'!$N$3,VLOOKUP($L34,'2022 Port'!$D$6:$T$67,11,FALSE),IF($L$5='2022 Port'!$Q$3,VLOOKUP($L34,'2022 Port'!$D$6:$T$67,14,FALSE),IF($L$5='2022 Port'!T18,VLOOKUP($L34,'2022 Port'!$D$6:$T$67,17,FALSE),""))))),0)</f>
        <v>5.0000000000000001E-3</v>
      </c>
      <c r="N34" s="117">
        <f t="shared" si="5"/>
        <v>202.42611476531343</v>
      </c>
      <c r="O34" s="97">
        <f>IFERROR(VLOOKUP(L34,'Schwab Positions'!$A$9:$J$10000,9,FALSE),"")</f>
        <v>97.79</v>
      </c>
      <c r="P34" s="30">
        <f t="shared" si="4"/>
        <v>19795.249762900003</v>
      </c>
    </row>
    <row r="35" spans="2:16">
      <c r="B35" t="str" cm="1">
        <f t="array" ref="B35">IFERROR(INDEX('Schwab Positions'!$A$8:$A$10000,SMALL(IF('Schwab Positions'!$E$8:$E$10000=$C$2,ROW('Schwab Positions'!$E$8:$E$10000)-7,""),ROWS($B$19:B35))),"")</f>
        <v>ALK</v>
      </c>
      <c r="C35" t="str">
        <f>IFERROR(VLOOKUP(B35,'Schwab Positions'!$A$8:$B$10000,2,FALSE),"")</f>
        <v>Alaska Air Group</v>
      </c>
      <c r="D35" s="34" t="str">
        <f>IFERROR(VLOOKUP(B35,'Security Type'!$A$2:$C$1000,3,FALSE),"")</f>
        <v>US Equity</v>
      </c>
      <c r="E35" s="34" t="str">
        <f>IF(B35="","",IF(ISNUMBER(MATCH(B35,'2022 Port'!$D$6:$D$67,0)),VLOOKUP(B35,'Security Type'!$A$3:$D$1000,4,FALSE),"NOT IN PORT"))</f>
        <v>Industrials</v>
      </c>
      <c r="F35" cm="1">
        <f t="array" ref="F35">IFERROR(INDEX('Schwab Positions'!$D$8:$D$10000,SMALL(IF('Schwab Positions'!$E$8:$E$10000=$C$2,ROW('Schwab Positions'!$E$8:$E$10000)-7,""),ROWS($F$19:$F35))),"")</f>
        <v>877</v>
      </c>
      <c r="G35" s="1" cm="1">
        <f t="array" ref="G35">IFERROR(INDEX('Schwab Positions'!$I$8:$I$10000,SMALL(IF('Schwab Positions'!$E$8:$E$10000=$C$2,ROW('Schwab Positions'!$E$8:$E$10000)-7,""),ROWS($G$19:$G35))),"")</f>
        <v>44.49</v>
      </c>
      <c r="H35" s="100">
        <f t="shared" si="1"/>
        <v>9.8553265221049454E-3</v>
      </c>
      <c r="I35" s="37" cm="1">
        <f t="array" ref="I35">IFERROR(IF($D35="Bond",IFERROR(INDEX('Schwab Positions'!$J$8:$J$10000,SMALL(IF('Schwab Positions'!$E$8:$E$10000=$C$2,ROW('Schwab Positions'!$E$8:$E$10000)-7,""),ROWS($I$19:$I35))),""),$F35*$G35),"")</f>
        <v>39017.730000000003</v>
      </c>
      <c r="J35" s="118"/>
      <c r="K35" s="117">
        <f t="shared" si="2"/>
        <v>-432.06294082040904</v>
      </c>
      <c r="L35" t="str">
        <f t="shared" si="3"/>
        <v>ALK</v>
      </c>
      <c r="M35" s="35">
        <f>IFERROR(IF($L$5='2022 Port'!$H$3,VLOOKUP($L35,'2022 Port'!$D$6:$T$67,5,FALSE),IF($L$5='2022 Port'!$K$3,VLOOKUP($L35,'2022 Port'!$D$6:$T$67,8,FALSE),IF($L$5='2022 Port'!$N$3,VLOOKUP($L35,'2022 Port'!$D$6:$T$67,11,FALSE),IF($L$5='2022 Port'!$Q$3,VLOOKUP($L35,'2022 Port'!$D$6:$T$67,14,FALSE),IF($L$5='2022 Port'!T19,VLOOKUP($L35,'2022 Port'!$D$6:$T$67,17,FALSE),""))))),0)</f>
        <v>5.0000000000000001E-3</v>
      </c>
      <c r="N35" s="117">
        <f t="shared" si="5"/>
        <v>444.93705917959096</v>
      </c>
      <c r="O35" s="97">
        <f>IFERROR(VLOOKUP(L35,'Schwab Positions'!$A$9:$J$10000,9,FALSE),"")</f>
        <v>44.49</v>
      </c>
      <c r="P35" s="30">
        <f t="shared" si="4"/>
        <v>19795.249762900003</v>
      </c>
    </row>
    <row r="36" spans="2:16">
      <c r="B36" t="str" cm="1">
        <f t="array" ref="B36">IFERROR(INDEX('Schwab Positions'!$A$8:$A$10000,SMALL(IF('Schwab Positions'!$E$8:$E$10000=$C$2,ROW('Schwab Positions'!$E$8:$E$10000)-7,""),ROWS($B$19:B36))),"")</f>
        <v>ALB</v>
      </c>
      <c r="C36" t="str">
        <f>IFERROR(VLOOKUP(B36,'Schwab Positions'!$A$8:$B$10000,2,FALSE),"")</f>
        <v>Albemarle Corporation</v>
      </c>
      <c r="D36" s="34" t="str">
        <f>IFERROR(VLOOKUP(B36,'Security Type'!$A$2:$C$1000,3,FALSE),"")</f>
        <v>US Equity</v>
      </c>
      <c r="E36" s="34" t="str">
        <f>IF(B36="","",IF(ISNUMBER(MATCH(B36,'2022 Port'!$D$6:$D$67,0)),VLOOKUP(B36,'Security Type'!$A$3:$D$1000,4,FALSE),"NOT IN PORT"))</f>
        <v>Materials</v>
      </c>
      <c r="F36" cm="1">
        <f t="array" ref="F36">IFERROR(INDEX('Schwab Positions'!$D$8:$D$10000,SMALL(IF('Schwab Positions'!$E$8:$E$10000=$C$2,ROW('Schwab Positions'!$E$8:$E$10000)-7,""),ROWS($F$19:$F36))),"")</f>
        <v>56</v>
      </c>
      <c r="G36" s="1" cm="1">
        <f t="array" ref="G36">IFERROR(INDEX('Schwab Positions'!$I$8:$I$10000,SMALL(IF('Schwab Positions'!$E$8:$E$10000=$C$2,ROW('Schwab Positions'!$E$8:$E$10000)-7,""),ROWS($G$19:$G36))),"")</f>
        <v>495.39</v>
      </c>
      <c r="H36" s="100">
        <f t="shared" si="1"/>
        <v>7.0071962547280896E-3</v>
      </c>
      <c r="I36" s="37" cm="1">
        <f t="array" ref="I36">IFERROR(IF($D36="Bond",IFERROR(INDEX('Schwab Positions'!$J$8:$J$10000,SMALL(IF('Schwab Positions'!$E$8:$E$10000=$C$2,ROW('Schwab Positions'!$E$8:$E$10000)-7,""),ROWS($I$19:$I36))),""),$F36*$G36),"")</f>
        <v>27741.84</v>
      </c>
      <c r="J36" s="118"/>
      <c r="K36" s="117">
        <f t="shared" si="2"/>
        <v>-16.041079224651277</v>
      </c>
      <c r="L36" t="str">
        <f t="shared" si="3"/>
        <v>ALB</v>
      </c>
      <c r="M36" s="35">
        <f>IFERROR(IF($L$5='2022 Port'!$H$3,VLOOKUP($L36,'2022 Port'!$D$6:$T$67,5,FALSE),IF($L$5='2022 Port'!$K$3,VLOOKUP($L36,'2022 Port'!$D$6:$T$67,8,FALSE),IF($L$5='2022 Port'!$N$3,VLOOKUP($L36,'2022 Port'!$D$6:$T$67,11,FALSE),IF($L$5='2022 Port'!$Q$3,VLOOKUP($L36,'2022 Port'!$D$6:$T$67,14,FALSE),IF($L$5='2022 Port'!T20,VLOOKUP($L36,'2022 Port'!$D$6:$T$67,17,FALSE),""))))),0)</f>
        <v>5.0000000000000001E-3</v>
      </c>
      <c r="N36" s="117">
        <f t="shared" si="5"/>
        <v>39.958920775348723</v>
      </c>
      <c r="O36" s="97">
        <f>IFERROR(VLOOKUP(L36,'Schwab Positions'!$A$9:$J$10000,9,FALSE),"")</f>
        <v>495.39</v>
      </c>
      <c r="P36" s="30">
        <f t="shared" si="4"/>
        <v>19795.249762900003</v>
      </c>
    </row>
    <row r="37" spans="2:16">
      <c r="B37" t="str" cm="1">
        <f t="array" ref="B37">IFERROR(INDEX('Schwab Positions'!$A$8:$A$10000,SMALL(IF('Schwab Positions'!$E$8:$E$10000=$C$2,ROW('Schwab Positions'!$E$8:$E$10000)-7,""),ROWS($B$19:B37))),"")</f>
        <v>ARE</v>
      </c>
      <c r="C37" t="str">
        <f>IFERROR(VLOOKUP(B37,'Schwab Positions'!$A$8:$B$10000,2,FALSE),"")</f>
        <v>Alexandria Real Estate Equities</v>
      </c>
      <c r="D37" s="34" t="str">
        <f>IFERROR(VLOOKUP(B37,'Security Type'!$A$2:$C$1000,3,FALSE),"")</f>
        <v>US Equity</v>
      </c>
      <c r="E37" s="34" t="str">
        <f>IF(B37="","",IF(ISNUMBER(MATCH(B37,'2022 Port'!$D$6:$D$67,0)),VLOOKUP(B37,'Security Type'!$A$3:$D$1000,4,FALSE),"NOT IN PORT"))</f>
        <v>Real Estate</v>
      </c>
      <c r="F37" cm="1">
        <f t="array" ref="F37">IFERROR(INDEX('Schwab Positions'!$D$8:$D$10000,SMALL(IF('Schwab Positions'!$E$8:$E$10000=$C$2,ROW('Schwab Positions'!$E$8:$E$10000)-7,""),ROWS($F$19:$F37))),"")</f>
        <v>6708</v>
      </c>
      <c r="G37" s="1" cm="1">
        <f t="array" ref="G37">IFERROR(INDEX('Schwab Positions'!$I$8:$I$10000,SMALL(IF('Schwab Positions'!$E$8:$E$10000=$C$2,ROW('Schwab Positions'!$E$8:$E$10000)-7,""),ROWS($G$19:$G37))),"")</f>
        <v>51.395000000000003</v>
      </c>
      <c r="H37" s="100">
        <f t="shared" si="1"/>
        <v>8.7080906815871634E-2</v>
      </c>
      <c r="I37" s="37" cm="1">
        <f t="array" ref="I37">IFERROR(IF($D37="Bond",IFERROR(INDEX('Schwab Positions'!$J$8:$J$10000,SMALL(IF('Schwab Positions'!$E$8:$E$10000=$C$2,ROW('Schwab Positions'!$E$8:$E$10000)-7,""),ROWS($I$19:$I37))),""),$F37*$G37),"")</f>
        <v>344757.66000000003</v>
      </c>
      <c r="J37" s="118"/>
      <c r="K37" s="117">
        <f t="shared" si="2"/>
        <v>-6322.8409424477086</v>
      </c>
      <c r="L37" t="str">
        <f t="shared" si="3"/>
        <v>ARE</v>
      </c>
      <c r="M37" s="35">
        <f>IFERROR(IF($L$5='2022 Port'!$H$3,VLOOKUP($L37,'2022 Port'!$D$6:$T$67,5,FALSE),IF($L$5='2022 Port'!$K$3,VLOOKUP($L37,'2022 Port'!$D$6:$T$67,8,FALSE),IF($L$5='2022 Port'!$N$3,VLOOKUP($L37,'2022 Port'!$D$6:$T$67,11,FALSE),IF($L$5='2022 Port'!$Q$3,VLOOKUP($L37,'2022 Port'!$D$6:$T$67,14,FALSE),IF($L$5='2022 Port'!T21,VLOOKUP($L37,'2022 Port'!$D$6:$T$67,17,FALSE),""))))),0)</f>
        <v>5.0000000000000001E-3</v>
      </c>
      <c r="N37" s="117">
        <f t="shared" si="5"/>
        <v>385.15905755229113</v>
      </c>
      <c r="O37" s="97">
        <f>IFERROR(VLOOKUP(L37,'Schwab Positions'!$A$9:$J$10000,9,FALSE),"")</f>
        <v>51.395000000000003</v>
      </c>
      <c r="P37" s="30">
        <f t="shared" si="4"/>
        <v>19795.249762900003</v>
      </c>
    </row>
    <row r="38" spans="2:16">
      <c r="B38" t="str" cm="1">
        <f t="array" ref="B38">IFERROR(INDEX('Schwab Positions'!$A$8:$A$10000,SMALL(IF('Schwab Positions'!$E$8:$E$10000=$C$2,ROW('Schwab Positions'!$E$8:$E$10000)-7,""),ROWS($B$19:B38))),"")</f>
        <v>ALGN</v>
      </c>
      <c r="C38" t="str">
        <f>IFERROR(VLOOKUP(B38,'Schwab Positions'!$A$8:$B$10000,2,FALSE),"")</f>
        <v>Align Technology</v>
      </c>
      <c r="D38" s="34" t="str">
        <f>IFERROR(VLOOKUP(B38,'Security Type'!$A$2:$C$1000,3,FALSE),"")</f>
        <v>US Equity</v>
      </c>
      <c r="E38" s="34" t="str">
        <f>IF(B38="","",IF(ISNUMBER(MATCH(B38,'2022 Port'!$D$6:$D$67,0)),VLOOKUP(B38,'Security Type'!$A$3:$D$1000,4,FALSE),"NOT IN PORT"))</f>
        <v>Health Care</v>
      </c>
      <c r="F38" cm="1">
        <f t="array" ref="F38">IFERROR(INDEX('Schwab Positions'!$D$8:$D$10000,SMALL(IF('Schwab Positions'!$E$8:$E$10000=$C$2,ROW('Schwab Positions'!$E$8:$E$10000)-7,""),ROWS($F$19:$F38))),"")</f>
        <v>195</v>
      </c>
      <c r="G38" s="1" cm="1">
        <f t="array" ref="G38">IFERROR(INDEX('Schwab Positions'!$I$8:$I$10000,SMALL(IF('Schwab Positions'!$E$8:$E$10000=$C$2,ROW('Schwab Positions'!$E$8:$E$10000)-7,""),ROWS($G$19:$G38))),"")</f>
        <v>223.166</v>
      </c>
      <c r="H38" s="100">
        <f t="shared" si="1"/>
        <v>1.0991871919080225E-2</v>
      </c>
      <c r="I38" s="37" cm="1">
        <f t="array" ref="I38">IFERROR(IF($D38="Bond",IFERROR(INDEX('Schwab Positions'!$J$8:$J$10000,SMALL(IF('Schwab Positions'!$E$8:$E$10000=$C$2,ROW('Schwab Positions'!$E$8:$E$10000)-7,""),ROWS($I$19:$I38))),""),$F38*$G38),"")</f>
        <v>43517.37</v>
      </c>
      <c r="J38" s="118"/>
      <c r="K38" s="117">
        <f t="shared" si="2"/>
        <v>-106.29809306569996</v>
      </c>
      <c r="L38" t="str">
        <f t="shared" si="3"/>
        <v>ALGN</v>
      </c>
      <c r="M38" s="35">
        <f>IFERROR(IF($L$5='2022 Port'!$H$3,VLOOKUP($L38,'2022 Port'!$D$6:$T$67,5,FALSE),IF($L$5='2022 Port'!$K$3,VLOOKUP($L38,'2022 Port'!$D$6:$T$67,8,FALSE),IF($L$5='2022 Port'!$N$3,VLOOKUP($L38,'2022 Port'!$D$6:$T$67,11,FALSE),IF($L$5='2022 Port'!$Q$3,VLOOKUP($L38,'2022 Port'!$D$6:$T$67,14,FALSE),IF($L$5='2022 Port'!T22,VLOOKUP($L38,'2022 Port'!$D$6:$T$67,17,FALSE),""))))),0)</f>
        <v>5.0000000000000001E-3</v>
      </c>
      <c r="N38" s="117">
        <f t="shared" si="5"/>
        <v>88.701906934300041</v>
      </c>
      <c r="O38" s="97">
        <f>IFERROR(VLOOKUP(L38,'Schwab Positions'!$A$9:$J$10000,9,FALSE),"")</f>
        <v>223.166</v>
      </c>
      <c r="P38" s="30">
        <f t="shared" si="4"/>
        <v>19795.249762900003</v>
      </c>
    </row>
    <row r="39" spans="2:16">
      <c r="B39" t="str" cm="1">
        <f t="array" ref="B39">IFERROR(INDEX('Schwab Positions'!$A$8:$A$10000,SMALL(IF('Schwab Positions'!$E$8:$E$10000=$C$2,ROW('Schwab Positions'!$E$8:$E$10000)-7,""),ROWS($B$19:B39))),"")</f>
        <v>ALLE</v>
      </c>
      <c r="C39" t="str">
        <f>IFERROR(VLOOKUP(B39,'Schwab Positions'!$A$8:$B$10000,2,FALSE),"")</f>
        <v>Allegion</v>
      </c>
      <c r="D39" s="34" t="str">
        <f>IFERROR(VLOOKUP(B39,'Security Type'!$A$2:$C$1000,3,FALSE),"")</f>
        <v>US Equity</v>
      </c>
      <c r="E39" s="34" t="str">
        <f>IF(B39="","",IF(ISNUMBER(MATCH(B39,'2022 Port'!$D$6:$D$67,0)),VLOOKUP(B39,'Security Type'!$A$3:$D$1000,4,FALSE),"NOT IN PORT"))</f>
        <v>Industrials</v>
      </c>
      <c r="F39" cm="1">
        <f t="array" ref="F39">IFERROR(INDEX('Schwab Positions'!$D$8:$D$10000,SMALL(IF('Schwab Positions'!$E$8:$E$10000=$C$2,ROW('Schwab Positions'!$E$8:$E$10000)-7,""),ROWS($F$19:$F39))),"")</f>
        <v>169</v>
      </c>
      <c r="G39" s="1" cm="1">
        <f t="array" ref="G39">IFERROR(INDEX('Schwab Positions'!$I$8:$I$10000,SMALL(IF('Schwab Positions'!$E$8:$E$10000=$C$2,ROW('Schwab Positions'!$E$8:$E$10000)-7,""),ROWS($G$19:$G39))),"")</f>
        <v>184.70500000000001</v>
      </c>
      <c r="H39" s="100">
        <f t="shared" si="1"/>
        <v>7.8845039526864204E-3</v>
      </c>
      <c r="I39" s="37" cm="1">
        <f t="array" ref="I39">IFERROR(IF($D39="Bond",IFERROR(INDEX('Schwab Positions'!$J$8:$J$10000,SMALL(IF('Schwab Positions'!$E$8:$E$10000=$C$2,ROW('Schwab Positions'!$E$8:$E$10000)-7,""),ROWS($I$19:$I39))),""),$F39*$G39),"")</f>
        <v>31215.145</v>
      </c>
      <c r="J39" s="118"/>
      <c r="K39" s="117">
        <f t="shared" si="2"/>
        <v>-61.827753645542884</v>
      </c>
      <c r="L39" t="str">
        <f t="shared" si="3"/>
        <v>ALLE</v>
      </c>
      <c r="M39" s="35">
        <f>IFERROR(IF($L$5='2022 Port'!$H$3,VLOOKUP($L39,'2022 Port'!$D$6:$T$67,5,FALSE),IF($L$5='2022 Port'!$K$3,VLOOKUP($L39,'2022 Port'!$D$6:$T$67,8,FALSE),IF($L$5='2022 Port'!$N$3,VLOOKUP($L39,'2022 Port'!$D$6:$T$67,11,FALSE),IF($L$5='2022 Port'!$Q$3,VLOOKUP($L39,'2022 Port'!$D$6:$T$67,14,FALSE),IF($L$5='2022 Port'!T23,VLOOKUP($L39,'2022 Port'!$D$6:$T$67,17,FALSE),""))))),0)</f>
        <v>5.0000000000000001E-3</v>
      </c>
      <c r="N39" s="117">
        <f t="shared" si="5"/>
        <v>107.17224635445712</v>
      </c>
      <c r="O39" s="97">
        <f>IFERROR(VLOOKUP(L39,'Schwab Positions'!$A$9:$J$10000,9,FALSE),"")</f>
        <v>184.70500000000001</v>
      </c>
      <c r="P39" s="30">
        <f t="shared" si="4"/>
        <v>19795.249762900003</v>
      </c>
    </row>
    <row r="40" spans="2:16">
      <c r="B40" t="str" cm="1">
        <f t="array" ref="B40">IFERROR(INDEX('Schwab Positions'!$A$8:$A$10000,SMALL(IF('Schwab Positions'!$E$8:$E$10000=$C$2,ROW('Schwab Positions'!$E$8:$E$10000)-7,""),ROWS($B$19:B40))),"")</f>
        <v>LNT</v>
      </c>
      <c r="C40" t="str">
        <f>IFERROR(VLOOKUP(B40,'Schwab Positions'!$A$8:$B$10000,2,FALSE),"")</f>
        <v>Alliant Energy</v>
      </c>
      <c r="D40" s="34" t="str">
        <f>IFERROR(VLOOKUP(B40,'Security Type'!$A$2:$C$1000,3,FALSE),"")</f>
        <v>US Equity</v>
      </c>
      <c r="E40" s="34" t="str">
        <f>IF(B40="","",IF(ISNUMBER(MATCH(B40,'2022 Port'!$D$6:$D$67,0)),VLOOKUP(B40,'Security Type'!$A$3:$D$1000,4,FALSE),"NOT IN PORT"))</f>
        <v>Utilities</v>
      </c>
      <c r="F40" cm="1">
        <f t="array" ref="F40">IFERROR(INDEX('Schwab Positions'!$D$8:$D$10000,SMALL(IF('Schwab Positions'!$E$8:$E$10000=$C$2,ROW('Schwab Positions'!$E$8:$E$10000)-7,""),ROWS($F$19:$F40))),"")</f>
        <v>4453.5393000000004</v>
      </c>
      <c r="G40" s="1" cm="1">
        <f t="array" ref="G40">IFERROR(INDEX('Schwab Positions'!$I$8:$I$10000,SMALL(IF('Schwab Positions'!$E$8:$E$10000=$C$2,ROW('Schwab Positions'!$E$8:$E$10000)-7,""),ROWS($G$19:$G40))),"")</f>
        <v>55</v>
      </c>
      <c r="H40" s="100">
        <f t="shared" si="1"/>
        <v>6.1869555684786588E-2</v>
      </c>
      <c r="I40" s="37" cm="1">
        <f t="array" ref="I40">IFERROR(IF($D40="Bond",IFERROR(INDEX('Schwab Positions'!$J$8:$J$10000,SMALL(IF('Schwab Positions'!$E$8:$E$10000=$C$2,ROW('Schwab Positions'!$E$8:$E$10000)-7,""),ROWS($I$19:$I40))),""),$F40*$G40),"")</f>
        <v>244944.66150000002</v>
      </c>
      <c r="J40" s="118"/>
      <c r="K40" s="117">
        <f t="shared" si="2"/>
        <v>-4093.6256679472731</v>
      </c>
      <c r="L40" t="str">
        <f t="shared" si="3"/>
        <v>LNT</v>
      </c>
      <c r="M40" s="35">
        <f>IFERROR(IF($L$5='2022 Port'!$H$3,VLOOKUP($L40,'2022 Port'!$D$6:$T$67,5,FALSE),IF($L$5='2022 Port'!$K$3,VLOOKUP($L40,'2022 Port'!$D$6:$T$67,8,FALSE),IF($L$5='2022 Port'!$N$3,VLOOKUP($L40,'2022 Port'!$D$6:$T$67,11,FALSE),IF($L$5='2022 Port'!$Q$3,VLOOKUP($L40,'2022 Port'!$D$6:$T$67,14,FALSE),IF($L$5='2022 Port'!T24,VLOOKUP($L40,'2022 Port'!$D$6:$T$67,17,FALSE),""))))),0)</f>
        <v>5.0000000000000001E-3</v>
      </c>
      <c r="N40" s="117">
        <f t="shared" si="5"/>
        <v>359.91363205272734</v>
      </c>
      <c r="O40" s="97">
        <f>IFERROR(VLOOKUP(L40,'Schwab Positions'!$A$9:$J$10000,9,FALSE),"")</f>
        <v>55</v>
      </c>
      <c r="P40" s="30">
        <f t="shared" si="4"/>
        <v>19795.249762900003</v>
      </c>
    </row>
    <row r="41" spans="2:16">
      <c r="B41" t="str" cm="1">
        <f t="array" ref="B41">IFERROR(INDEX('Schwab Positions'!$A$8:$A$10000,SMALL(IF('Schwab Positions'!$E$8:$E$10000=$C$2,ROW('Schwab Positions'!$E$8:$E$10000)-7,""),ROWS($B$19:B41))),"")</f>
        <v>ALL</v>
      </c>
      <c r="C41" t="str">
        <f>IFERROR(VLOOKUP(B41,'Schwab Positions'!$A$8:$B$10000,2,FALSE),"")</f>
        <v>Allstate Corp</v>
      </c>
      <c r="D41" s="34" t="str">
        <f>IFERROR(VLOOKUP(B41,'Security Type'!$A$2:$C$1000,3,FALSE),"")</f>
        <v>US Equity</v>
      </c>
      <c r="E41" s="34" t="str">
        <f>IF(B41="","",IF(ISNUMBER(MATCH(B41,'2022 Port'!$D$6:$D$67,0)),VLOOKUP(B41,'Security Type'!$A$3:$D$1000,4,FALSE),"NOT IN PORT"))</f>
        <v>Financials</v>
      </c>
      <c r="F41" cm="1">
        <f t="array" ref="F41">IFERROR(INDEX('Schwab Positions'!$D$8:$D$10000,SMALL(IF('Schwab Positions'!$E$8:$E$10000=$C$2,ROW('Schwab Positions'!$E$8:$E$10000)-7,""),ROWS($F$19:$F41))),"")</f>
        <v>277</v>
      </c>
      <c r="G41" s="1" cm="1">
        <f t="array" ref="G41">IFERROR(INDEX('Schwab Positions'!$I$8:$I$10000,SMALL(IF('Schwab Positions'!$E$8:$E$10000=$C$2,ROW('Schwab Positions'!$E$8:$E$10000)-7,""),ROWS($G$19:$G41))),"")</f>
        <v>134.89500000000001</v>
      </c>
      <c r="H41" s="100">
        <f t="shared" si="1"/>
        <v>9.4381014252294792E-3</v>
      </c>
      <c r="I41" s="37" cm="1">
        <f t="array" ref="I41">IFERROR(IF($D41="Bond",IFERROR(INDEX('Schwab Positions'!$J$8:$J$10000,SMALL(IF('Schwab Positions'!$E$8:$E$10000=$C$2,ROW('Schwab Positions'!$E$8:$E$10000)-7,""),ROWS($I$19:$I41))),""),$F41*$G41),"")</f>
        <v>37365.915000000001</v>
      </c>
      <c r="J41" s="118"/>
      <c r="K41" s="117">
        <f t="shared" si="2"/>
        <v>-130.25438479632305</v>
      </c>
      <c r="L41" t="str">
        <f t="shared" si="3"/>
        <v>ALL</v>
      </c>
      <c r="M41" s="35">
        <f>IFERROR(IF($L$5='2022 Port'!$H$3,VLOOKUP($L41,'2022 Port'!$D$6:$T$67,5,FALSE),IF($L$5='2022 Port'!$K$3,VLOOKUP($L41,'2022 Port'!$D$6:$T$67,8,FALSE),IF($L$5='2022 Port'!$N$3,VLOOKUP($L41,'2022 Port'!$D$6:$T$67,11,FALSE),IF($L$5='2022 Port'!$Q$3,VLOOKUP($L41,'2022 Port'!$D$6:$T$67,14,FALSE),IF($L$5='2022 Port'!T25,VLOOKUP($L41,'2022 Port'!$D$6:$T$67,17,FALSE),""))))),0)</f>
        <v>5.0000000000000001E-3</v>
      </c>
      <c r="N41" s="117">
        <f t="shared" si="5"/>
        <v>146.74561520367695</v>
      </c>
      <c r="O41" s="97">
        <f>IFERROR(VLOOKUP(L41,'Schwab Positions'!$A$9:$J$10000,9,FALSE),"")</f>
        <v>134.89500000000001</v>
      </c>
      <c r="P41" s="30">
        <f t="shared" si="4"/>
        <v>19795.249762900003</v>
      </c>
    </row>
    <row r="42" spans="2:16">
      <c r="B42" t="str" cm="1">
        <f t="array" ref="B42">IFERROR(INDEX('Schwab Positions'!$A$8:$A$10000,SMALL(IF('Schwab Positions'!$E$8:$E$10000=$C$2,ROW('Schwab Positions'!$E$8:$E$10000)-7,""),ROWS($B$19:B42))),"")</f>
        <v>GOOGL</v>
      </c>
      <c r="C42" t="str">
        <f>IFERROR(VLOOKUP(B42,'Schwab Positions'!$A$8:$B$10000,2,FALSE),"")</f>
        <v>Alphabet (Class A)</v>
      </c>
      <c r="D42" s="34" t="str">
        <f>IFERROR(VLOOKUP(B42,'Security Type'!$A$2:$C$1000,3,FALSE),"")</f>
        <v>US Equity</v>
      </c>
      <c r="E42" s="34" t="str">
        <f>IF(B42="","",IF(ISNUMBER(MATCH(B42,'2022 Port'!$D$6:$D$67,0)),VLOOKUP(B42,'Security Type'!$A$3:$D$1000,4,FALSE),"NOT IN PORT"))</f>
        <v>Communication Services</v>
      </c>
      <c r="F42" cm="1">
        <f t="array" ref="F42">IFERROR(INDEX('Schwab Positions'!$D$8:$D$10000,SMALL(IF('Schwab Positions'!$E$8:$E$10000=$C$2,ROW('Schwab Positions'!$E$8:$E$10000)-7,""),ROWS($F$19:$F42))),"")</f>
        <v>108</v>
      </c>
      <c r="G42" s="1" cm="1">
        <f t="array" ref="G42">IFERROR(INDEX('Schwab Positions'!$I$8:$I$10000,SMALL(IF('Schwab Positions'!$E$8:$E$10000=$C$2,ROW('Schwab Positions'!$E$8:$E$10000)-7,""),ROWS($G$19:$G42))),"")</f>
        <v>327.96</v>
      </c>
      <c r="H42" s="100">
        <f t="shared" si="1"/>
        <v>8.9465100022084847E-3</v>
      </c>
      <c r="I42" s="37" cm="1">
        <f t="array" ref="I42">IFERROR(IF($D42="Bond",IFERROR(INDEX('Schwab Positions'!$J$8:$J$10000,SMALL(IF('Schwab Positions'!$E$8:$E$10000=$C$2,ROW('Schwab Positions'!$E$8:$E$10000)-7,""),ROWS($I$19:$I42))),""),$F42*$G42),"")</f>
        <v>35419.68</v>
      </c>
      <c r="J42" s="118"/>
      <c r="K42" s="117">
        <f t="shared" si="2"/>
        <v>-47.641267950664705</v>
      </c>
      <c r="L42" t="str">
        <f t="shared" si="3"/>
        <v>GOOGL</v>
      </c>
      <c r="M42" s="35">
        <f>IFERROR(IF($L$5='2022 Port'!$H$3,VLOOKUP($L42,'2022 Port'!$D$6:$T$67,5,FALSE),IF($L$5='2022 Port'!$K$3,VLOOKUP($L42,'2022 Port'!$D$6:$T$67,8,FALSE),IF($L$5='2022 Port'!$N$3,VLOOKUP($L42,'2022 Port'!$D$6:$T$67,11,FALSE),IF($L$5='2022 Port'!$Q$3,VLOOKUP($L42,'2022 Port'!$D$6:$T$67,14,FALSE),IF($L$5='2022 Port'!T26,VLOOKUP($L42,'2022 Port'!$D$6:$T$67,17,FALSE),""))))),0)</f>
        <v>5.0000000000000001E-3</v>
      </c>
      <c r="N42" s="117">
        <f t="shared" si="5"/>
        <v>60.358732049335295</v>
      </c>
      <c r="O42" s="97">
        <f>IFERROR(VLOOKUP(L42,'Schwab Positions'!$A$9:$J$10000,9,FALSE),"")</f>
        <v>327.96</v>
      </c>
      <c r="P42" s="30">
        <f t="shared" si="4"/>
        <v>19795.249762900003</v>
      </c>
    </row>
    <row r="43" spans="2:16">
      <c r="B43" t="str" cm="1">
        <f t="array" ref="B43">IFERROR(INDEX('Schwab Positions'!$A$8:$A$10000,SMALL(IF('Schwab Positions'!$E$8:$E$10000=$C$2,ROW('Schwab Positions'!$E$8:$E$10000)-7,""),ROWS($B$19:B43))),"")</f>
        <v>GOOG</v>
      </c>
      <c r="C43" t="str">
        <f>IFERROR(VLOOKUP(B43,'Schwab Positions'!$A$8:$B$10000,2,FALSE),"")</f>
        <v>Alphabet (Class C)</v>
      </c>
      <c r="D43" s="34" t="str">
        <f>IFERROR(VLOOKUP(B43,'Security Type'!$A$2:$C$1000,3,FALSE),"")</f>
        <v>US Equity</v>
      </c>
      <c r="E43" s="34" t="str">
        <f>IF(B43="","",IF(ISNUMBER(MATCH(B43,'2022 Port'!$D$6:$D$67,0)),VLOOKUP(B43,'Security Type'!$A$3:$D$1000,4,FALSE),"NOT IN PORT"))</f>
        <v>Communication Services</v>
      </c>
      <c r="F43" cm="1">
        <f t="array" ref="F43">IFERROR(INDEX('Schwab Positions'!$D$8:$D$10000,SMALL(IF('Schwab Positions'!$E$8:$E$10000=$C$2,ROW('Schwab Positions'!$E$8:$E$10000)-7,""),ROWS($F$19:$F43))),"")</f>
        <v>48</v>
      </c>
      <c r="G43" s="1" cm="1">
        <f t="array" ref="G43">IFERROR(INDEX('Schwab Positions'!$I$8:$I$10000,SMALL(IF('Schwab Positions'!$E$8:$E$10000=$C$2,ROW('Schwab Positions'!$E$8:$E$10000)-7,""),ROWS($G$19:$G43))),"")</f>
        <v>442.5</v>
      </c>
      <c r="H43" s="100">
        <f t="shared" si="1"/>
        <v>5.3649234676007296E-3</v>
      </c>
      <c r="I43" s="37" cm="1">
        <f t="array" ref="I43">IFERROR(IF($D43="Bond",IFERROR(INDEX('Schwab Positions'!$J$8:$J$10000,SMALL(IF('Schwab Positions'!$E$8:$E$10000=$C$2,ROW('Schwab Positions'!$E$8:$E$10000)-7,""),ROWS($I$19:$I43))),""),$F43*$G43),"")</f>
        <v>21240</v>
      </c>
      <c r="J43" s="118"/>
      <c r="K43" s="117" t="str">
        <f t="shared" si="2"/>
        <v>IN PORTFOLIO %</v>
      </c>
      <c r="L43" t="str">
        <f t="shared" si="3"/>
        <v>GOOG</v>
      </c>
      <c r="M43" s="35">
        <f>IFERROR(IF($L$5='2022 Port'!$H$3,VLOOKUP($L43,'2022 Port'!$D$6:$T$67,5,FALSE),IF($L$5='2022 Port'!$K$3,VLOOKUP($L43,'2022 Port'!$D$6:$T$67,8,FALSE),IF($L$5='2022 Port'!$N$3,VLOOKUP($L43,'2022 Port'!$D$6:$T$67,11,FALSE),IF($L$5='2022 Port'!$Q$3,VLOOKUP($L43,'2022 Port'!$D$6:$T$67,14,FALSE),IF($L$5='2022 Port'!T27,VLOOKUP($L43,'2022 Port'!$D$6:$T$67,17,FALSE),""))))),0)</f>
        <v>5.0000000000000001E-3</v>
      </c>
      <c r="N43" s="117">
        <f t="shared" si="5"/>
        <v>44.735027712768371</v>
      </c>
      <c r="O43" s="97">
        <f>IFERROR(VLOOKUP(L43,'Schwab Positions'!$A$9:$J$10000,9,FALSE),"")</f>
        <v>442.5</v>
      </c>
      <c r="P43" s="30">
        <f t="shared" si="4"/>
        <v>19795.249762900003</v>
      </c>
    </row>
    <row r="44" spans="2:16">
      <c r="B44" t="str" cm="1">
        <f t="array" ref="B44">IFERROR(INDEX('Schwab Positions'!$A$8:$A$10000,SMALL(IF('Schwab Positions'!$E$8:$E$10000=$C$2,ROW('Schwab Positions'!$E$8:$E$10000)-7,""),ROWS($B$19:B44))),"")</f>
        <v>MO</v>
      </c>
      <c r="C44" t="str">
        <f>IFERROR(VLOOKUP(B44,'Schwab Positions'!$A$8:$B$10000,2,FALSE),"")</f>
        <v>Altria Group</v>
      </c>
      <c r="D44" s="34" t="str">
        <f>IFERROR(VLOOKUP(B44,'Security Type'!$A$2:$C$1000,3,FALSE),"")</f>
        <v>US Equity</v>
      </c>
      <c r="E44" s="34" t="str">
        <f>IF(B44="","",IF(ISNUMBER(MATCH(B44,'2022 Port'!$D$6:$D$67,0)),VLOOKUP(B44,'Security Type'!$A$3:$D$1000,4,FALSE),"NOT IN PORT"))</f>
        <v>Consumer Staples</v>
      </c>
      <c r="F44" cm="1">
        <f t="array" ref="F44">IFERROR(INDEX('Schwab Positions'!$D$8:$D$10000,SMALL(IF('Schwab Positions'!$E$8:$E$10000=$C$2,ROW('Schwab Positions'!$E$8:$E$10000)-7,""),ROWS($F$19:$F44))),"")</f>
        <v>331</v>
      </c>
      <c r="G44" s="1" cm="1">
        <f t="array" ref="G44">IFERROR(INDEX('Schwab Positions'!$I$8:$I$10000,SMALL(IF('Schwab Positions'!$E$8:$E$10000=$C$2,ROW('Schwab Positions'!$E$8:$E$10000)-7,""),ROWS($G$19:$G44))),"")</f>
        <v>125.45</v>
      </c>
      <c r="H44" s="100">
        <f t="shared" si="1"/>
        <v>1.0488362232696767E-2</v>
      </c>
      <c r="I44" s="37" cm="1">
        <f t="array" ref="I44">IFERROR(IF($D44="Bond",IFERROR(INDEX('Schwab Positions'!$J$8:$J$10000,SMALL(IF('Schwab Positions'!$E$8:$E$10000=$C$2,ROW('Schwab Positions'!$E$8:$E$10000)-7,""),ROWS($I$19:$I44))),""),$F44*$G44),"")</f>
        <v>41523.950000000004</v>
      </c>
      <c r="J44" s="118"/>
      <c r="K44" s="117">
        <f t="shared" si="2"/>
        <v>-173.20606008051016</v>
      </c>
      <c r="L44" t="str">
        <f t="shared" si="3"/>
        <v>MO</v>
      </c>
      <c r="M44" s="35">
        <f>IFERROR(IF($L$5='2022 Port'!$H$3,VLOOKUP($L44,'2022 Port'!$D$6:$T$67,5,FALSE),IF($L$5='2022 Port'!$K$3,VLOOKUP($L44,'2022 Port'!$D$6:$T$67,8,FALSE),IF($L$5='2022 Port'!$N$3,VLOOKUP($L44,'2022 Port'!$D$6:$T$67,11,FALSE),IF($L$5='2022 Port'!$Q$3,VLOOKUP($L44,'2022 Port'!$D$6:$T$67,14,FALSE),IF($L$5='2022 Port'!T28,VLOOKUP($L44,'2022 Port'!$D$6:$T$67,17,FALSE),""))))),0)</f>
        <v>5.0000000000000001E-3</v>
      </c>
      <c r="N44" s="117">
        <f t="shared" si="5"/>
        <v>157.79393991948984</v>
      </c>
      <c r="O44" s="97">
        <f>IFERROR(VLOOKUP(L44,'Schwab Positions'!$A$9:$J$10000,9,FALSE),"")</f>
        <v>125.45</v>
      </c>
      <c r="P44" s="30">
        <f t="shared" si="4"/>
        <v>19795.249762900003</v>
      </c>
    </row>
    <row r="45" spans="2:16">
      <c r="B45" t="str" cm="1">
        <f t="array" ref="B45">IFERROR(INDEX('Schwab Positions'!$A$8:$A$10000,SMALL(IF('Schwab Positions'!$E$8:$E$10000=$C$2,ROW('Schwab Positions'!$E$8:$E$10000)-7,""),ROWS($B$19:B45))),"")</f>
        <v>AMZN</v>
      </c>
      <c r="C45" t="str">
        <f>IFERROR(VLOOKUP(B45,'Schwab Positions'!$A$8:$B$10000,2,FALSE),"")</f>
        <v>Amazon</v>
      </c>
      <c r="D45" s="34" t="str">
        <f>IFERROR(VLOOKUP(B45,'Security Type'!$A$2:$C$1000,3,FALSE),"")</f>
        <v>US Equity</v>
      </c>
      <c r="E45" s="34" t="str">
        <f>IF(B45="","",IF(ISNUMBER(MATCH(B45,'2022 Port'!$D$6:$D$67,0)),VLOOKUP(B45,'Security Type'!$A$3:$D$1000,4,FALSE),"NOT IN PORT"))</f>
        <v>Consumer Discretionary</v>
      </c>
      <c r="F45" cm="1">
        <f t="array" ref="F45">IFERROR(INDEX('Schwab Positions'!$D$8:$D$10000,SMALL(IF('Schwab Positions'!$E$8:$E$10000=$C$2,ROW('Schwab Positions'!$E$8:$E$10000)-7,""),ROWS($F$19:$F45))),"")</f>
        <v>412</v>
      </c>
      <c r="G45" s="1" cm="1">
        <f t="array" ref="G45">IFERROR(INDEX('Schwab Positions'!$I$8:$I$10000,SMALL(IF('Schwab Positions'!$E$8:$E$10000=$C$2,ROW('Schwab Positions'!$E$8:$E$10000)-7,""),ROWS($G$19:$G45))),"")</f>
        <v>240.23</v>
      </c>
      <c r="H45" s="100">
        <f t="shared" si="1"/>
        <v>2.499962394652307E-2</v>
      </c>
      <c r="I45" s="37" cm="1">
        <f t="array" ref="I45">IFERROR(IF($D45="Bond",IFERROR(INDEX('Schwab Positions'!$J$8:$J$10000,SMALL(IF('Schwab Positions'!$E$8:$E$10000=$C$2,ROW('Schwab Positions'!$E$8:$E$10000)-7,""),ROWS($I$19:$I45))),""),$F45*$G45),"")</f>
        <v>98974.76</v>
      </c>
      <c r="J45" s="118"/>
      <c r="K45" s="117">
        <f t="shared" si="2"/>
        <v>-329.59876050909543</v>
      </c>
      <c r="L45" t="str">
        <f t="shared" si="3"/>
        <v>AMZN</v>
      </c>
      <c r="M45" s="35">
        <f>IFERROR(IF($L$5='2022 Port'!$H$3,VLOOKUP($L45,'2022 Port'!$D$6:$T$67,5,FALSE),IF($L$5='2022 Port'!$K$3,VLOOKUP($L45,'2022 Port'!$D$6:$T$67,8,FALSE),IF($L$5='2022 Port'!$N$3,VLOOKUP($L45,'2022 Port'!$D$6:$T$67,11,FALSE),IF($L$5='2022 Port'!$Q$3,VLOOKUP($L45,'2022 Port'!$D$6:$T$67,14,FALSE),IF($L$5='2022 Port'!T29,VLOOKUP($L45,'2022 Port'!$D$6:$T$67,17,FALSE),""))))),0)</f>
        <v>5.0000000000000001E-3</v>
      </c>
      <c r="N45" s="117">
        <f t="shared" si="5"/>
        <v>82.401239490904558</v>
      </c>
      <c r="O45" s="97">
        <f>IFERROR(VLOOKUP(L45,'Schwab Positions'!$A$9:$J$10000,9,FALSE),"")</f>
        <v>240.23</v>
      </c>
      <c r="P45" s="30">
        <f t="shared" si="4"/>
        <v>19795.249762900003</v>
      </c>
    </row>
    <row r="46" spans="2:16">
      <c r="B46" t="str" cm="1">
        <f t="array" ref="B46">IFERROR(INDEX('Schwab Positions'!$A$8:$A$10000,SMALL(IF('Schwab Positions'!$E$8:$E$10000=$C$2,ROW('Schwab Positions'!$E$8:$E$10000)-7,""),ROWS($B$19:B46))),"")</f>
        <v>AMCR</v>
      </c>
      <c r="C46" t="str">
        <f>IFERROR(VLOOKUP(B46,'Schwab Positions'!$A$8:$B$10000,2,FALSE),"")</f>
        <v>Amcor</v>
      </c>
      <c r="D46" s="34" t="str">
        <f>IFERROR(VLOOKUP(B46,'Security Type'!$A$2:$C$1000,3,FALSE),"")</f>
        <v>US Equity</v>
      </c>
      <c r="E46" s="34" t="str">
        <f>IF(B46="","",IF(ISNUMBER(MATCH(B46,'2022 Port'!$D$6:$D$67,0)),VLOOKUP(B46,'Security Type'!$A$3:$D$1000,4,FALSE),"NOT IN PORT"))</f>
        <v>Materials</v>
      </c>
      <c r="F46" cm="1">
        <f t="array" ref="F46">IFERROR(INDEX('Schwab Positions'!$D$8:$D$10000,SMALL(IF('Schwab Positions'!$E$8:$E$10000=$C$2,ROW('Schwab Positions'!$E$8:$E$10000)-7,""),ROWS($F$19:$F46))),"")</f>
        <v>1440</v>
      </c>
      <c r="G46" s="1" cm="1">
        <f t="array" ref="G46">IFERROR(INDEX('Schwab Positions'!$I$8:$I$10000,SMALL(IF('Schwab Positions'!$E$8:$E$10000=$C$2,ROW('Schwab Positions'!$E$8:$E$10000)-7,""),ROWS($G$19:$G46))),"")</f>
        <v>27.05</v>
      </c>
      <c r="H46" s="100">
        <f t="shared" si="1"/>
        <v>9.8387240541423556E-3</v>
      </c>
      <c r="I46" s="37" cm="1">
        <f t="array" ref="I46">IFERROR(IF($D46="Bond",IFERROR(INDEX('Schwab Positions'!$J$8:$J$10000,SMALL(IF('Schwab Positions'!$E$8:$E$10000=$C$2,ROW('Schwab Positions'!$E$8:$E$10000)-7,""),ROWS($I$19:$I46))),""),$F46*$G46),"")</f>
        <v>38952</v>
      </c>
      <c r="J46" s="118"/>
      <c r="K46" s="117">
        <f t="shared" si="2"/>
        <v>-708.19779065064688</v>
      </c>
      <c r="L46" t="str">
        <f t="shared" si="3"/>
        <v>AMCR</v>
      </c>
      <c r="M46" s="35">
        <f>IFERROR(IF($L$5='2022 Port'!$H$3,VLOOKUP($L46,'2022 Port'!$D$6:$T$67,5,FALSE),IF($L$5='2022 Port'!$K$3,VLOOKUP($L46,'2022 Port'!$D$6:$T$67,8,FALSE),IF($L$5='2022 Port'!$N$3,VLOOKUP($L46,'2022 Port'!$D$6:$T$67,11,FALSE),IF($L$5='2022 Port'!$Q$3,VLOOKUP($L46,'2022 Port'!$D$6:$T$67,14,FALSE),IF($L$5='2022 Port'!T34,VLOOKUP($L46,'2022 Port'!$D$6:$T$67,17,FALSE),""))))),0)</f>
        <v>5.0000000000000001E-3</v>
      </c>
      <c r="N46" s="117">
        <f t="shared" si="5"/>
        <v>731.80220934935312</v>
      </c>
      <c r="O46" s="97">
        <f>IFERROR(VLOOKUP(L46,'Schwab Positions'!$A$9:$J$10000,9,FALSE),"")</f>
        <v>27.05</v>
      </c>
      <c r="P46" s="30">
        <f t="shared" si="4"/>
        <v>19795.249762900003</v>
      </c>
    </row>
    <row r="47" spans="2:16">
      <c r="B47" t="str" cm="1">
        <f t="array" ref="B47">IFERROR(INDEX('Schwab Positions'!$A$8:$A$10000,SMALL(IF('Schwab Positions'!$E$8:$E$10000=$C$2,ROW('Schwab Positions'!$E$8:$E$10000)-7,""),ROWS($B$19:B47))),"")</f>
        <v>AEE</v>
      </c>
      <c r="C47" t="str">
        <f>IFERROR(VLOOKUP(B47,'Schwab Positions'!$A$8:$B$10000,2,FALSE),"")</f>
        <v>Ameren Corp</v>
      </c>
      <c r="D47" s="34" t="str">
        <f>IFERROR(VLOOKUP(B47,'Security Type'!$A$2:$C$1000,3,FALSE),"")</f>
        <v>US Equity</v>
      </c>
      <c r="E47" s="34" t="str">
        <f>IF(B47="","",IF(ISNUMBER(MATCH(B47,'2022 Port'!$D$6:$D$67,0)),VLOOKUP(B47,'Security Type'!$A$3:$D$1000,4,FALSE),"NOT IN PORT"))</f>
        <v>Utilities</v>
      </c>
      <c r="F47" cm="1">
        <f t="array" ref="F47">IFERROR(INDEX('Schwab Positions'!$D$8:$D$10000,SMALL(IF('Schwab Positions'!$E$8:$E$10000=$C$2,ROW('Schwab Positions'!$E$8:$E$10000)-7,""),ROWS($F$19:$F47))),"")</f>
        <v>288</v>
      </c>
      <c r="G47" s="1" cm="1">
        <f t="array" ref="G47">IFERROR(INDEX('Schwab Positions'!$I$8:$I$10000,SMALL(IF('Schwab Positions'!$E$8:$E$10000=$C$2,ROW('Schwab Positions'!$E$8:$E$10000)-7,""),ROWS($G$19:$G47))),"")</f>
        <v>126.08499999999999</v>
      </c>
      <c r="H47" s="100">
        <f t="shared" si="1"/>
        <v>9.1720186496601751E-3</v>
      </c>
      <c r="I47" s="37" cm="1">
        <f t="array" ref="I47">IFERROR(IF($D47="Bond",IFERROR(INDEX('Schwab Positions'!$J$8:$J$10000,SMALL(IF('Schwab Positions'!$E$8:$E$10000=$C$2,ROW('Schwab Positions'!$E$8:$E$10000)-7,""),ROWS($I$19:$I47))),""),$F47*$G47),"")</f>
        <v>36312.479999999996</v>
      </c>
      <c r="J47" s="118"/>
      <c r="K47" s="117">
        <f t="shared" si="2"/>
        <v>-131.0007553404449</v>
      </c>
      <c r="L47" t="str">
        <f t="shared" si="3"/>
        <v>AEE</v>
      </c>
      <c r="M47" s="35">
        <f>IFERROR(IF($L$5='2022 Port'!$H$3,VLOOKUP($L47,'2022 Port'!$D$6:$T$67,5,FALSE),IF($L$5='2022 Port'!$K$3,VLOOKUP($L47,'2022 Port'!$D$6:$T$67,8,FALSE),IF($L$5='2022 Port'!$N$3,VLOOKUP($L47,'2022 Port'!$D$6:$T$67,11,FALSE),IF($L$5='2022 Port'!$Q$3,VLOOKUP($L47,'2022 Port'!$D$6:$T$67,14,FALSE),IF($L$5='2022 Port'!T35,VLOOKUP($L47,'2022 Port'!$D$6:$T$67,17,FALSE),""))))),0)</f>
        <v>5.0000000000000001E-3</v>
      </c>
      <c r="N47" s="117">
        <f t="shared" si="5"/>
        <v>156.9992446595551</v>
      </c>
      <c r="O47" s="97">
        <f>IFERROR(VLOOKUP(L47,'Schwab Positions'!$A$9:$J$10000,9,FALSE),"")</f>
        <v>126.08499999999999</v>
      </c>
      <c r="P47" s="30">
        <f t="shared" si="4"/>
        <v>19795.249762900003</v>
      </c>
    </row>
    <row r="48" spans="2:16">
      <c r="B48" t="str" cm="1">
        <f t="array" ref="B48">IFERROR(INDEX('Schwab Positions'!$A$8:$A$10000,SMALL(IF('Schwab Positions'!$E$8:$E$10000=$C$2,ROW('Schwab Positions'!$E$8:$E$10000)-7,""),ROWS($B$19:B48))),"")</f>
        <v>AAL</v>
      </c>
      <c r="C48" t="str">
        <f>IFERROR(VLOOKUP(B48,'Schwab Positions'!$A$8:$B$10000,2,FALSE),"")</f>
        <v>American Airlines Group</v>
      </c>
      <c r="D48" s="34" t="str">
        <f>IFERROR(VLOOKUP(B48,'Security Type'!$A$2:$C$1000,3,FALSE),"")</f>
        <v>US Equity</v>
      </c>
      <c r="E48" s="34" t="str">
        <f>IF(B48="","",IF(ISNUMBER(MATCH(B48,'2022 Port'!$D$6:$D$67,0)),VLOOKUP(B48,'Security Type'!$A$3:$D$1000,4,FALSE),"NOT IN PORT"))</f>
        <v>Industrials</v>
      </c>
      <c r="F48" cm="1">
        <f t="array" ref="F48">IFERROR(INDEX('Schwab Positions'!$D$8:$D$10000,SMALL(IF('Schwab Positions'!$E$8:$E$10000=$C$2,ROW('Schwab Positions'!$E$8:$E$10000)-7,""),ROWS($F$19:$F48))),"")</f>
        <v>258</v>
      </c>
      <c r="G48" s="1" cm="1">
        <f t="array" ref="G48">IFERROR(INDEX('Schwab Positions'!$I$8:$I$10000,SMALL(IF('Schwab Positions'!$E$8:$E$10000=$C$2,ROW('Schwab Positions'!$E$8:$E$10000)-7,""),ROWS($G$19:$G48))),"")</f>
        <v>145.91</v>
      </c>
      <c r="H48" s="100">
        <f t="shared" si="1"/>
        <v>9.5085387784682954E-3</v>
      </c>
      <c r="I48" s="37" cm="1">
        <f t="array" ref="I48">IFERROR(IF($D48="Bond",IFERROR(INDEX('Schwab Positions'!$J$8:$J$10000,SMALL(IF('Schwab Positions'!$E$8:$E$10000=$C$2,ROW('Schwab Positions'!$E$8:$E$10000)-7,""),ROWS($I$19:$I48))),""),$F48*$G48),"")</f>
        <v>37644.78</v>
      </c>
      <c r="J48" s="118"/>
      <c r="K48" s="117">
        <f t="shared" si="2"/>
        <v>-122.33246684325951</v>
      </c>
      <c r="L48" t="str">
        <f t="shared" si="3"/>
        <v>AAL</v>
      </c>
      <c r="M48" s="35">
        <f>IFERROR(IF($L$5='2022 Port'!$H$3,VLOOKUP($L48,'2022 Port'!$D$6:$T$67,5,FALSE),IF($L$5='2022 Port'!$K$3,VLOOKUP($L48,'2022 Port'!$D$6:$T$67,8,FALSE),IF($L$5='2022 Port'!$N$3,VLOOKUP($L48,'2022 Port'!$D$6:$T$67,11,FALSE),IF($L$5='2022 Port'!$Q$3,VLOOKUP($L48,'2022 Port'!$D$6:$T$67,14,FALSE),IF($L$5='2022 Port'!T36,VLOOKUP($L48,'2022 Port'!$D$6:$T$67,17,FALSE),""))))),0)</f>
        <v>5.0000000000000001E-3</v>
      </c>
      <c r="N48" s="117">
        <f t="shared" si="5"/>
        <v>135.66753315674049</v>
      </c>
      <c r="O48" s="97">
        <f>IFERROR(VLOOKUP(L48,'Schwab Positions'!$A$9:$J$10000,9,FALSE),"")</f>
        <v>145.91</v>
      </c>
      <c r="P48" s="30">
        <f t="shared" si="4"/>
        <v>19795.249762900003</v>
      </c>
    </row>
    <row r="49" spans="2:16">
      <c r="B49" t="str" cm="1">
        <f t="array" ref="B49">IFERROR(INDEX('Schwab Positions'!$A$8:$A$10000,SMALL(IF('Schwab Positions'!$E$8:$E$10000=$C$2,ROW('Schwab Positions'!$E$8:$E$10000)-7,""),ROWS($B$19:B49))),"")</f>
        <v>AEP</v>
      </c>
      <c r="C49" t="str">
        <f>IFERROR(VLOOKUP(B49,'Schwab Positions'!$A$8:$B$10000,2,FALSE),"")</f>
        <v>American Electric Power</v>
      </c>
      <c r="D49" s="34" t="str">
        <f>IFERROR(VLOOKUP(B49,'Security Type'!$A$2:$C$1000,3,FALSE),"")</f>
        <v>US Equity</v>
      </c>
      <c r="E49" s="34" t="str">
        <f>IF(B49="","",IF(ISNUMBER(MATCH(B49,'2022 Port'!$D$6:$D$67,0)),VLOOKUP(B49,'Security Type'!$A$3:$D$1000,4,FALSE),"NOT IN PORT"))</f>
        <v>Utilities</v>
      </c>
      <c r="F49" cm="1">
        <f t="array" ref="F49">IFERROR(INDEX('Schwab Positions'!$D$8:$D$10000,SMALL(IF('Schwab Positions'!$E$8:$E$10000=$C$2,ROW('Schwab Positions'!$E$8:$E$10000)-7,""),ROWS($F$19:$F49))),"")</f>
        <v>2586</v>
      </c>
      <c r="G49" s="1" cm="1">
        <f t="array" ref="G49">IFERROR(INDEX('Schwab Positions'!$I$8:$I$10000,SMALL(IF('Schwab Positions'!$E$8:$E$10000=$C$2,ROW('Schwab Positions'!$E$8:$E$10000)-7,""),ROWS($G$19:$G49))),"")</f>
        <v>20.335000000000001</v>
      </c>
      <c r="H49" s="100">
        <f t="shared" si="1"/>
        <v>1.3282557843386392E-2</v>
      </c>
      <c r="I49" s="37" cm="1">
        <f t="array" ref="I49">IFERROR(IF($D49="Bond",IFERROR(INDEX('Schwab Positions'!$J$8:$J$10000,SMALL(IF('Schwab Positions'!$E$8:$E$10000=$C$2,ROW('Schwab Positions'!$E$8:$E$10000)-7,""),ROWS($I$19:$I49))),""),$F49*$G49),"")</f>
        <v>52586.310000000005</v>
      </c>
      <c r="J49" s="118"/>
      <c r="K49" s="117">
        <f t="shared" si="2"/>
        <v>-1612.5429179788541</v>
      </c>
      <c r="L49" t="str">
        <f t="shared" si="3"/>
        <v>AEP</v>
      </c>
      <c r="M49" s="35">
        <f>IFERROR(IF($L$5='2022 Port'!$H$3,VLOOKUP($L49,'2022 Port'!$D$6:$T$67,5,FALSE),IF($L$5='2022 Port'!$K$3,VLOOKUP($L49,'2022 Port'!$D$6:$T$67,8,FALSE),IF($L$5='2022 Port'!$N$3,VLOOKUP($L49,'2022 Port'!$D$6:$T$67,11,FALSE),IF($L$5='2022 Port'!$Q$3,VLOOKUP($L49,'2022 Port'!$D$6:$T$67,14,FALSE),IF($L$5='2022 Port'!T37,VLOOKUP($L49,'2022 Port'!$D$6:$T$67,17,FALSE),""))))),0)</f>
        <v>5.0000000000000001E-3</v>
      </c>
      <c r="N49" s="117">
        <f t="shared" si="5"/>
        <v>973.45708202114588</v>
      </c>
      <c r="O49" s="97">
        <f>IFERROR(VLOOKUP(L49,'Schwab Positions'!$A$9:$J$10000,9,FALSE),"")</f>
        <v>20.335000000000001</v>
      </c>
      <c r="P49" s="30">
        <f t="shared" si="4"/>
        <v>19795.249762900003</v>
      </c>
    </row>
    <row r="50" spans="2:16">
      <c r="B50" t="str" cm="1">
        <f t="array" ref="B50">IFERROR(INDEX('Schwab Positions'!$A$8:$A$10000,SMALL(IF('Schwab Positions'!$E$8:$E$10000=$C$2,ROW('Schwab Positions'!$E$8:$E$10000)-7,""),ROWS($B$19:B50))),"")</f>
        <v>AXP</v>
      </c>
      <c r="C50" t="str">
        <f>IFERROR(VLOOKUP(B50,'Schwab Positions'!$A$8:$B$10000,2,FALSE),"")</f>
        <v>American Express</v>
      </c>
      <c r="D50" s="34" t="str">
        <f>IFERROR(VLOOKUP(B50,'Security Type'!$A$2:$C$1000,3,FALSE),"")</f>
        <v>US Equity</v>
      </c>
      <c r="E50" s="34" t="str">
        <f>IF(B50="","",IF(ISNUMBER(MATCH(B50,'2022 Port'!$D$6:$D$67,0)),VLOOKUP(B50,'Security Type'!$A$3:$D$1000,4,FALSE),"NOT IN PORT"))</f>
        <v>Financials</v>
      </c>
      <c r="F50" cm="1">
        <f t="array" ref="F50">IFERROR(INDEX('Schwab Positions'!$D$8:$D$10000,SMALL(IF('Schwab Positions'!$E$8:$E$10000=$C$2,ROW('Schwab Positions'!$E$8:$E$10000)-7,""),ROWS($F$19:$F50))),"")</f>
        <v>1203</v>
      </c>
      <c r="G50" s="1" cm="1">
        <f t="array" ref="G50">IFERROR(INDEX('Schwab Positions'!$I$8:$I$10000,SMALL(IF('Schwab Positions'!$E$8:$E$10000=$C$2,ROW('Schwab Positions'!$E$8:$E$10000)-7,""),ROWS($G$19:$G50))),"")</f>
        <v>40.42</v>
      </c>
      <c r="H50" s="100">
        <f t="shared" si="1"/>
        <v>1.228205265970749E-2</v>
      </c>
      <c r="I50" s="37" cm="1">
        <f t="array" ref="I50">IFERROR(IF($D50="Bond",IFERROR(INDEX('Schwab Positions'!$J$8:$J$10000,SMALL(IF('Schwab Positions'!$E$8:$E$10000=$C$2,ROW('Schwab Positions'!$E$8:$E$10000)-7,""),ROWS($I$19:$I50))),""),$F50*$G50),"")</f>
        <v>48625.26</v>
      </c>
      <c r="J50" s="118"/>
      <c r="K50" s="117">
        <f t="shared" si="2"/>
        <v>-713.26101526719435</v>
      </c>
      <c r="L50" t="str">
        <f t="shared" si="3"/>
        <v>AXP</v>
      </c>
      <c r="M50" s="35">
        <f>IFERROR(IF($L$5='2022 Port'!$H$3,VLOOKUP($L50,'2022 Port'!$D$6:$T$67,5,FALSE),IF($L$5='2022 Port'!$K$3,VLOOKUP($L50,'2022 Port'!$D$6:$T$67,8,FALSE),IF($L$5='2022 Port'!$N$3,VLOOKUP($L50,'2022 Port'!$D$6:$T$67,11,FALSE),IF($L$5='2022 Port'!$Q$3,VLOOKUP($L50,'2022 Port'!$D$6:$T$67,14,FALSE),IF($L$5='2022 Port'!T38,VLOOKUP($L50,'2022 Port'!$D$6:$T$67,17,FALSE),""))))),0)</f>
        <v>5.0000000000000001E-3</v>
      </c>
      <c r="N50" s="117">
        <f t="shared" si="5"/>
        <v>489.73898473280559</v>
      </c>
      <c r="O50" s="97">
        <f>IFERROR(VLOOKUP(L50,'Schwab Positions'!$A$9:$J$10000,9,FALSE),"")</f>
        <v>40.42</v>
      </c>
      <c r="P50" s="30">
        <f t="shared" si="4"/>
        <v>19795.249762900003</v>
      </c>
    </row>
    <row r="51" spans="2:16">
      <c r="B51" t="str" cm="1">
        <f t="array" ref="B51">IFERROR(INDEX('Schwab Positions'!$A$8:$A$10000,SMALL(IF('Schwab Positions'!$E$8:$E$10000=$C$2,ROW('Schwab Positions'!$E$8:$E$10000)-7,""),ROWS($B$19:B51))),"")</f>
        <v>AIG</v>
      </c>
      <c r="C51" t="str">
        <f>IFERROR(VLOOKUP(B51,'Schwab Positions'!$A$8:$B$10000,2,FALSE),"")</f>
        <v>American International Group</v>
      </c>
      <c r="D51" s="34" t="str">
        <f>IFERROR(VLOOKUP(B51,'Security Type'!$A$2:$C$1000,3,FALSE),"")</f>
        <v>US Equity</v>
      </c>
      <c r="E51" s="34" t="str">
        <f>IF(B51="","",IF(ISNUMBER(MATCH(B51,'2022 Port'!$D$6:$D$67,0)),VLOOKUP(B51,'Security Type'!$A$3:$D$1000,4,FALSE),"NOT IN PORT"))</f>
        <v>Financials</v>
      </c>
      <c r="F51" cm="1">
        <f t="array" ref="F51">IFERROR(INDEX('Schwab Positions'!$D$8:$D$10000,SMALL(IF('Schwab Positions'!$E$8:$E$10000=$C$2,ROW('Schwab Positions'!$E$8:$E$10000)-7,""),ROWS($F$19:$F51))),"")</f>
        <v>6938</v>
      </c>
      <c r="G51" s="1" cm="1">
        <f t="array" ref="G51">IFERROR(INDEX('Schwab Positions'!$I$8:$I$10000,SMALL(IF('Schwab Positions'!$E$8:$E$10000=$C$2,ROW('Schwab Positions'!$E$8:$E$10000)-7,""),ROWS($G$19:$G51))),"")</f>
        <v>12.414999999999999</v>
      </c>
      <c r="H51" s="100">
        <f t="shared" si="1"/>
        <v>2.1756550443084985E-2</v>
      </c>
      <c r="I51" s="37" cm="1">
        <f t="array" ref="I51">IFERROR(IF($D51="Bond",IFERROR(INDEX('Schwab Positions'!$J$8:$J$10000,SMALL(IF('Schwab Positions'!$E$8:$E$10000=$C$2,ROW('Schwab Positions'!$E$8:$E$10000)-7,""),ROWS($I$19:$I51))),""),$F51*$G51),"")</f>
        <v>86135.26999999999</v>
      </c>
      <c r="J51" s="118"/>
      <c r="K51" s="117">
        <f t="shared" si="2"/>
        <v>-5343.5376751590811</v>
      </c>
      <c r="L51" t="str">
        <f t="shared" si="3"/>
        <v>AIG</v>
      </c>
      <c r="M51" s="35">
        <f>IFERROR(IF($L$5='2022 Port'!$H$3,VLOOKUP($L51,'2022 Port'!$D$6:$T$67,5,FALSE),IF($L$5='2022 Port'!$K$3,VLOOKUP($L51,'2022 Port'!$D$6:$T$67,8,FALSE),IF($L$5='2022 Port'!$N$3,VLOOKUP($L51,'2022 Port'!$D$6:$T$67,11,FALSE),IF($L$5='2022 Port'!$Q$3,VLOOKUP($L51,'2022 Port'!$D$6:$T$67,14,FALSE),IF($L$5='2022 Port'!T39,VLOOKUP($L51,'2022 Port'!$D$6:$T$67,17,FALSE),""))))),0)</f>
        <v>5.0000000000000001E-3</v>
      </c>
      <c r="N51" s="117">
        <f t="shared" si="5"/>
        <v>1594.4623248409187</v>
      </c>
      <c r="O51" s="97">
        <f>IFERROR(VLOOKUP(L51,'Schwab Positions'!$A$9:$J$10000,9,FALSE),"")</f>
        <v>12.414999999999999</v>
      </c>
      <c r="P51" s="30">
        <f t="shared" si="4"/>
        <v>19795.249762900003</v>
      </c>
    </row>
    <row r="52" spans="2:16">
      <c r="B52" t="str" cm="1">
        <f t="array" ref="B52">IFERROR(INDEX('Schwab Positions'!$A$8:$A$10000,SMALL(IF('Schwab Positions'!$E$8:$E$10000=$C$2,ROW('Schwab Positions'!$E$8:$E$10000)-7,""),ROWS($B$19:B52))),"")</f>
        <v>AMT</v>
      </c>
      <c r="C52" t="str">
        <f>IFERROR(VLOOKUP(B52,'Schwab Positions'!$A$8:$B$10000,2,FALSE),"")</f>
        <v>American Tower</v>
      </c>
      <c r="D52" s="34" t="str">
        <f>IFERROR(VLOOKUP(B52,'Security Type'!$A$2:$C$1000,3,FALSE),"")</f>
        <v>US Equity</v>
      </c>
      <c r="E52" s="34" t="str">
        <f>IF(B52="","",IF(ISNUMBER(MATCH(B52,'2022 Port'!$D$6:$D$67,0)),VLOOKUP(B52,'Security Type'!$A$3:$D$1000,4,FALSE),"NOT IN PORT"))</f>
        <v>Real Estate</v>
      </c>
      <c r="F52" cm="1">
        <f t="array" ref="F52">IFERROR(INDEX('Schwab Positions'!$D$8:$D$10000,SMALL(IF('Schwab Positions'!$E$8:$E$10000=$C$2,ROW('Schwab Positions'!$E$8:$E$10000)-7,""),ROWS($F$19:$F52))),"")</f>
        <v>143</v>
      </c>
      <c r="G52" s="1" cm="1">
        <f t="array" ref="G52">IFERROR(INDEX('Schwab Positions'!$I$8:$I$10000,SMALL(IF('Schwab Positions'!$E$8:$E$10000=$C$2,ROW('Schwab Positions'!$E$8:$E$10000)-7,""),ROWS($G$19:$G52))),"")</f>
        <v>288.79000000000002</v>
      </c>
      <c r="H52" s="100">
        <f t="shared" si="1"/>
        <v>1.0431030296318424E-2</v>
      </c>
      <c r="I52" s="37" cm="1">
        <f t="array" ref="I52">IFERROR(IF($D52="Bond",IFERROR(INDEX('Schwab Positions'!$J$8:$J$10000,SMALL(IF('Schwab Positions'!$E$8:$E$10000=$C$2,ROW('Schwab Positions'!$E$8:$E$10000)-7,""),ROWS($I$19:$I52))),""),$F52*$G52),"")</f>
        <v>41296.97</v>
      </c>
      <c r="J52" s="118"/>
      <c r="K52" s="117">
        <f t="shared" si="2"/>
        <v>-74.454517944180893</v>
      </c>
      <c r="L52" t="str">
        <f t="shared" si="3"/>
        <v>AMT</v>
      </c>
      <c r="M52" s="35">
        <f>IFERROR(IF($L$5='2022 Port'!$H$3,VLOOKUP($L52,'2022 Port'!$D$6:$T$67,5,FALSE),IF($L$5='2022 Port'!$K$3,VLOOKUP($L52,'2022 Port'!$D$6:$T$67,8,FALSE),IF($L$5='2022 Port'!$N$3,VLOOKUP($L52,'2022 Port'!$D$6:$T$67,11,FALSE),IF($L$5='2022 Port'!$Q$3,VLOOKUP($L52,'2022 Port'!$D$6:$T$67,14,FALSE),IF($L$5='2022 Port'!T40,VLOOKUP($L52,'2022 Port'!$D$6:$T$67,17,FALSE),""))))),0)</f>
        <v>5.0000000000000001E-3</v>
      </c>
      <c r="N52" s="117">
        <f t="shared" si="5"/>
        <v>68.545482055819107</v>
      </c>
      <c r="O52" s="97">
        <f>IFERROR(VLOOKUP(L52,'Schwab Positions'!$A$9:$J$10000,9,FALSE),"")</f>
        <v>288.79000000000002</v>
      </c>
      <c r="P52" s="30">
        <f t="shared" si="4"/>
        <v>19795.249762900003</v>
      </c>
    </row>
    <row r="53" spans="2:16">
      <c r="B53" t="str" cm="1">
        <f t="array" ref="B53">IFERROR(INDEX('Schwab Positions'!$A$8:$A$10000,SMALL(IF('Schwab Positions'!$E$8:$E$10000=$C$2,ROW('Schwab Positions'!$E$8:$E$10000)-7,""),ROWS($B$19:B53))),"")</f>
        <v>EEM</v>
      </c>
      <c r="C53" t="str">
        <f>IFERROR(VLOOKUP(B53,'Schwab Positions'!$A$8:$B$10000,2,FALSE),"")</f>
        <v>iShares MSCI Emerging Markets ETF</v>
      </c>
      <c r="D53" s="34" t="str">
        <f>IFERROR(VLOOKUP(B53,'Security Type'!$A$2:$C$1000,3,FALSE),"")</f>
        <v>Emerging</v>
      </c>
      <c r="E53" s="34" t="str">
        <f>IF(B53="","",IF(ISNUMBER(MATCH(B53,'2022 Port'!$D$6:$D$67,0)),VLOOKUP(B53,'Security Type'!$A$3:$D$1000,4,FALSE),"NOT IN PORT"))</f>
        <v>N/A</v>
      </c>
      <c r="F53" cm="1">
        <f t="array" ref="F53">IFERROR(INDEX('Schwab Positions'!$D$8:$D$10000,SMALL(IF('Schwab Positions'!$E$8:$E$10000=$C$2,ROW('Schwab Positions'!$E$8:$E$10000)-7,""),ROWS($F$19:$F53))),"")</f>
        <v>337</v>
      </c>
      <c r="G53" s="1" cm="1">
        <f t="array" ref="G53">IFERROR(INDEX('Schwab Positions'!$I$8:$I$10000,SMALL(IF('Schwab Positions'!$E$8:$E$10000=$C$2,ROW('Schwab Positions'!$E$8:$E$10000)-7,""),ROWS($G$19:$G53))),"")</f>
        <v>78.644999999999996</v>
      </c>
      <c r="H53" s="100">
        <f t="shared" si="1"/>
        <v>6.6943749933562995E-3</v>
      </c>
      <c r="I53" s="37" cm="1">
        <f t="array" ref="I53">IFERROR(IF($D53="Bond",IFERROR(INDEX('Schwab Positions'!$J$8:$J$10000,SMALL(IF('Schwab Positions'!$E$8:$E$10000=$C$2,ROW('Schwab Positions'!$E$8:$E$10000)-7,""),ROWS($I$19:$I53))),""),$F53*$G53),"")</f>
        <v>26503.364999999998</v>
      </c>
      <c r="K53" s="117">
        <f t="shared" si="2"/>
        <v>-337</v>
      </c>
      <c r="L53" t="str">
        <f t="shared" si="3"/>
        <v>EEM</v>
      </c>
      <c r="M53" s="35">
        <f>IFERROR(IF($L$5='2022 Port'!$H$3,VLOOKUP($L53,'2022 Port'!$D$6:$T$67,5,FALSE),IF($L$5='2022 Port'!$K$3,VLOOKUP($L53,'2022 Port'!$D$6:$T$67,8,FALSE),IF($L$5='2022 Port'!$N$3,VLOOKUP($L53,'2022 Port'!$D$6:$T$67,11,FALSE),IF($L$5='2022 Port'!$Q$3,VLOOKUP($L53,'2022 Port'!$D$6:$T$67,14,FALSE),IF($L$5='2022 Port'!T41,VLOOKUP($L53,'2022 Port'!$D$6:$T$67,17,FALSE),""))))),0)</f>
        <v>0</v>
      </c>
      <c r="N53" s="117">
        <f t="shared" si="5"/>
        <v>0</v>
      </c>
      <c r="O53" s="97">
        <f>IFERROR(VLOOKUP(L53,'Schwab Positions'!$A$9:$J$10000,9,FALSE),"")</f>
        <v>78.644999999999996</v>
      </c>
      <c r="P53" s="30">
        <f t="shared" si="4"/>
        <v>0</v>
      </c>
    </row>
    <row r="54" spans="2:16">
      <c r="B54" t="str" cm="1">
        <f t="array" ref="B54">IFERROR(INDEX('Schwab Positions'!$A$8:$A$10000,SMALL(IF('Schwab Positions'!$E$8:$E$10000=$C$2,ROW('Schwab Positions'!$E$8:$E$10000)-7,""),ROWS($B$19:B54))),"")</f>
        <v>IEMG</v>
      </c>
      <c r="C54" t="str">
        <f>IFERROR(VLOOKUP(B54,'Schwab Positions'!$A$8:$B$10000,2,FALSE),"")</f>
        <v>iShares Core MSCI EM ETF</v>
      </c>
      <c r="D54" s="34" t="str">
        <f>IFERROR(VLOOKUP(B54,'Security Type'!$A$2:$C$1000,3,FALSE),"")</f>
        <v>Emerging</v>
      </c>
      <c r="E54" s="34" t="str">
        <f>IF(B54="","",IF(ISNUMBER(MATCH(B54,'2022 Port'!$D$6:$D$67,0)),VLOOKUP(B54,'Security Type'!$A$3:$D$1000,4,FALSE),"NOT IN PORT"))</f>
        <v>N/A</v>
      </c>
      <c r="F54" cm="1">
        <f t="array" ref="F54">IFERROR(INDEX('Schwab Positions'!$D$8:$D$10000,SMALL(IF('Schwab Positions'!$E$8:$E$10000=$C$2,ROW('Schwab Positions'!$E$8:$E$10000)-7,""),ROWS($F$19:$F54))),"")</f>
        <v>51</v>
      </c>
      <c r="G54" s="1" cm="1">
        <f t="array" ref="G54">IFERROR(INDEX('Schwab Positions'!$I$8:$I$10000,SMALL(IF('Schwab Positions'!$E$8:$E$10000=$C$2,ROW('Schwab Positions'!$E$8:$E$10000)-7,""),ROWS($G$19:$G54))),"")</f>
        <v>282.38</v>
      </c>
      <c r="H54" s="100">
        <f t="shared" si="1"/>
        <v>3.6375848176947172E-3</v>
      </c>
      <c r="I54" s="37" cm="1">
        <f t="array" ref="I54">IFERROR(IF($D54="Bond",IFERROR(INDEX('Schwab Positions'!$J$8:$J$10000,SMALL(IF('Schwab Positions'!$E$8:$E$10000=$C$2,ROW('Schwab Positions'!$E$8:$E$10000)-7,""),ROWS($I$19:$I54))),""),$F54*$G54),"")</f>
        <v>14401.38</v>
      </c>
      <c r="K54" s="117">
        <f t="shared" si="2"/>
        <v>-51</v>
      </c>
      <c r="L54" t="str">
        <f t="shared" si="3"/>
        <v>IEMG</v>
      </c>
      <c r="M54" s="35">
        <f>IFERROR(IF($L$5='2022 Port'!$H$3,VLOOKUP($L54,'2022 Port'!$D$6:$T$67,5,FALSE),IF($L$5='2022 Port'!$K$3,VLOOKUP($L54,'2022 Port'!$D$6:$T$67,8,FALSE),IF($L$5='2022 Port'!$N$3,VLOOKUP($L54,'2022 Port'!$D$6:$T$67,11,FALSE),IF($L$5='2022 Port'!$Q$3,VLOOKUP($L54,'2022 Port'!$D$6:$T$67,14,FALSE),IF($L$5='2022 Port'!T42,VLOOKUP($L54,'2022 Port'!$D$6:$T$67,17,FALSE),""))))),0)</f>
        <v>0</v>
      </c>
      <c r="N54" s="117">
        <f t="shared" si="5"/>
        <v>0</v>
      </c>
      <c r="O54" s="97">
        <f>IFERROR(VLOOKUP(L54,'Schwab Positions'!$A$9:$J$10000,9,FALSE),"")</f>
        <v>282.38</v>
      </c>
      <c r="P54" s="30">
        <f t="shared" si="4"/>
        <v>0</v>
      </c>
    </row>
    <row r="55" spans="2:16" ht="14.25" customHeight="1">
      <c r="B55" t="str" cm="1">
        <f t="array" ref="B55">IFERROR(INDEX('Schwab Positions'!$A$8:$A$10000,SMALL(IF('Schwab Positions'!$E$8:$E$10000=$C$2,ROW('Schwab Positions'!$E$8:$E$10000)-7,""),ROWS($B$19:B55))),"")</f>
        <v>VWO</v>
      </c>
      <c r="C55" t="str">
        <f>IFERROR(VLOOKUP(B55,'Schwab Positions'!$A$8:$B$10000,2,FALSE),"")</f>
        <v>Vanguard FTSE Emerging Markets ETF</v>
      </c>
      <c r="D55" s="34" t="str">
        <f>IFERROR(VLOOKUP(B55,'Security Type'!$A$2:$C$1000,3,FALSE),"")</f>
        <v>Emerging</v>
      </c>
      <c r="E55" s="34" t="str">
        <f>IF(B55="","",IF(ISNUMBER(MATCH(B55,'2022 Port'!$D$6:$D$67,0)),VLOOKUP(B55,'Security Type'!$A$3:$D$1000,4,FALSE),"NOT IN PORT"))</f>
        <v>N/A</v>
      </c>
      <c r="F55" cm="1">
        <f t="array" ref="F55">IFERROR(INDEX('Schwab Positions'!$D$8:$D$10000,SMALL(IF('Schwab Positions'!$E$8:$E$10000=$C$2,ROW('Schwab Positions'!$E$8:$E$10000)-7,""),ROWS($F$19:$F55))),"")</f>
        <v>399</v>
      </c>
      <c r="G55" s="1" cm="1">
        <f t="array" ref="G55">IFERROR(INDEX('Schwab Positions'!$I$8:$I$10000,SMALL(IF('Schwab Positions'!$E$8:$E$10000=$C$2,ROW('Schwab Positions'!$E$8:$E$10000)-7,""),ROWS($G$19:$G55))),"")</f>
        <v>94.265000000000001</v>
      </c>
      <c r="H55" s="100">
        <f t="shared" si="1"/>
        <v>9.5001920790338864E-3</v>
      </c>
      <c r="I55" s="37" cm="1">
        <f t="array" ref="I55">IFERROR(IF($D55="Bond",IFERROR(INDEX('Schwab Positions'!$J$8:$J$10000,SMALL(IF('Schwab Positions'!$E$8:$E$10000=$C$2,ROW('Schwab Positions'!$E$8:$E$10000)-7,""),ROWS($I$19:$I55))),""),$F55*$G55),"")</f>
        <v>37611.735000000001</v>
      </c>
      <c r="K55" s="117">
        <f t="shared" si="2"/>
        <v>-399</v>
      </c>
      <c r="L55" t="str">
        <f t="shared" si="3"/>
        <v>VWO</v>
      </c>
      <c r="M55" s="35">
        <f>IFERROR(IF($L$5='2022 Port'!$H$3,VLOOKUP($L55,'2022 Port'!$D$6:$T$67,5,FALSE),IF($L$5='2022 Port'!$K$3,VLOOKUP($L55,'2022 Port'!$D$6:$T$67,8,FALSE),IF($L$5='2022 Port'!$N$3,VLOOKUP($L55,'2022 Port'!$D$6:$T$67,11,FALSE),IF($L$5='2022 Port'!$Q$3,VLOOKUP($L55,'2022 Port'!$D$6:$T$67,14,FALSE),IF($L$5='2022 Port'!T43,VLOOKUP($L55,'2022 Port'!$D$6:$T$67,17,FALSE),""))))),0)</f>
        <v>0</v>
      </c>
      <c r="N55" s="117">
        <f t="shared" si="5"/>
        <v>0</v>
      </c>
      <c r="O55" s="97">
        <f>IFERROR(VLOOKUP(L55,'Schwab Positions'!$A$9:$J$10000,9,FALSE),"")</f>
        <v>94.265000000000001</v>
      </c>
      <c r="P55" s="30">
        <f t="shared" si="4"/>
        <v>0</v>
      </c>
    </row>
    <row r="56" spans="2:16" ht="14.25" customHeight="1">
      <c r="B56" t="str" cm="1">
        <f t="array" ref="B56">IFERROR(INDEX('Schwab Positions'!$A$8:$A$10000,SMALL(IF('Schwab Positions'!$E$8:$E$10000=$C$2,ROW('Schwab Positions'!$E$8:$E$10000)-7,""),ROWS($B$19:B56))),"")</f>
        <v>VEA</v>
      </c>
      <c r="C56" t="str">
        <f>IFERROR(VLOOKUP(B56,'Schwab Positions'!$A$8:$B$10000,2,FALSE),"")</f>
        <v>Vanguard FTSE Developed Markets ETF</v>
      </c>
      <c r="D56" s="34" t="str">
        <f>IFERROR(VLOOKUP(B56,'Security Type'!$A$2:$C$1000,3,FALSE),"")</f>
        <v>Intl</v>
      </c>
      <c r="E56" s="34" t="str">
        <f>IF(B56="","",IF(ISNUMBER(MATCH(B56,'2022 Port'!$D$6:$D$67,0)),VLOOKUP(B56,'Security Type'!$A$3:$D$1000,4,FALSE),"NOT IN PORT"))</f>
        <v>N/A</v>
      </c>
      <c r="F56" cm="1">
        <f t="array" ref="F56">IFERROR(INDEX('Schwab Positions'!$D$8:$D$10000,SMALL(IF('Schwab Positions'!$E$8:$E$10000=$C$2,ROW('Schwab Positions'!$E$8:$E$10000)-7,""),ROWS($F$19:$F56))),"")</f>
        <v>658</v>
      </c>
      <c r="G56" s="1" cm="1">
        <f t="array" ref="G56">IFERROR(INDEX('Schwab Positions'!$I$8:$I$10000,SMALL(IF('Schwab Positions'!$E$8:$E$10000=$C$2,ROW('Schwab Positions'!$E$8:$E$10000)-7,""),ROWS($G$19:$G56))),"")</f>
        <v>126.29</v>
      </c>
      <c r="H56" s="100">
        <f t="shared" si="1"/>
        <v>2.0989586136908142E-2</v>
      </c>
      <c r="I56" s="37" cm="1">
        <f t="array" ref="I56">IFERROR(IF($D56="Bond",IFERROR(INDEX('Schwab Positions'!$J$8:$J$10000,SMALL(IF('Schwab Positions'!$E$8:$E$10000=$C$2,ROW('Schwab Positions'!$E$8:$E$10000)-7,""),ROWS($I$19:$I56))),""),$F56*$G56),"")</f>
        <v>83098.820000000007</v>
      </c>
      <c r="K56" s="117">
        <f t="shared" si="2"/>
        <v>282.46637562277306</v>
      </c>
      <c r="L56" t="str">
        <f t="shared" si="3"/>
        <v>VEA</v>
      </c>
      <c r="M56" s="35">
        <f>IFERROR(IF($L$5='2022 Port'!$H$3,VLOOKUP($L56,'2022 Port'!$D$6:$T$67,5,FALSE),IF($L$5='2022 Port'!$K$3,VLOOKUP($L56,'2022 Port'!$D$6:$T$67,8,FALSE),IF($L$5='2022 Port'!$N$3,VLOOKUP($L56,'2022 Port'!$D$6:$T$67,11,FALSE),IF($L$5='2022 Port'!$Q$3,VLOOKUP($L56,'2022 Port'!$D$6:$T$67,14,FALSE),IF($L$5='2022 Port'!T44,VLOOKUP($L56,'2022 Port'!$D$6:$T$67,17,FALSE),""))))),0)</f>
        <v>0.03</v>
      </c>
      <c r="N56" s="117">
        <f t="shared" si="5"/>
        <v>940.46637562277306</v>
      </c>
      <c r="O56" s="97">
        <f>IFERROR(VLOOKUP(L56,'Schwab Positions'!$A$9:$J$10000,9,FALSE),"")</f>
        <v>126.29</v>
      </c>
      <c r="P56" s="30">
        <f t="shared" si="4"/>
        <v>118771.49857740001</v>
      </c>
    </row>
    <row r="57" spans="2:16" ht="14.25" customHeight="1">
      <c r="B57" t="str" cm="1">
        <f t="array" ref="B57">IFERROR(INDEX('Schwab Positions'!$A$8:$A$10000,SMALL(IF('Schwab Positions'!$E$8:$E$10000=$C$2,ROW('Schwab Positions'!$E$8:$E$10000)-7,""),ROWS($B$19:B57))),"")</f>
        <v>EFA</v>
      </c>
      <c r="C57" t="str">
        <f>IFERROR(VLOOKUP(B57,'Schwab Positions'!$A$8:$B$10000,2,FALSE),"")</f>
        <v>iShares MSCI EAFE ETF</v>
      </c>
      <c r="D57" s="34" t="str">
        <f>IFERROR(VLOOKUP(B57,'Security Type'!$A$2:$C$1000,3,FALSE),"")</f>
        <v>Intl</v>
      </c>
      <c r="E57" s="34" t="str">
        <f>IF(B57="","",IF(ISNUMBER(MATCH(B57,'2022 Port'!$D$6:$D$67,0)),VLOOKUP(B57,'Security Type'!$A$3:$D$1000,4,FALSE),"NOT IN PORT"))</f>
        <v>N/A</v>
      </c>
      <c r="F57" cm="1">
        <f t="array" ref="F57">IFERROR(INDEX('Schwab Positions'!$D$8:$D$10000,SMALL(IF('Schwab Positions'!$E$8:$E$10000=$C$2,ROW('Schwab Positions'!$E$8:$E$10000)-7,""),ROWS($F$19:$F57))),"")</f>
        <v>1877</v>
      </c>
      <c r="G57" s="1" cm="1">
        <f t="array" ref="G57">IFERROR(INDEX('Schwab Positions'!$I$8:$I$10000,SMALL(IF('Schwab Positions'!$E$8:$E$10000=$C$2,ROW('Schwab Positions'!$E$8:$E$10000)-7,""),ROWS($G$19:$G57))),"")</f>
        <v>44.564999999999998</v>
      </c>
      <c r="H57" s="100">
        <f t="shared" si="1"/>
        <v>2.1128428790217368E-2</v>
      </c>
      <c r="I57" s="37" cm="1">
        <f t="array" ref="I57">IFERROR(IF($D57="Bond",IFERROR(INDEX('Schwab Positions'!$J$8:$J$10000,SMALL(IF('Schwab Positions'!$E$8:$E$10000=$C$2,ROW('Schwab Positions'!$E$8:$E$10000)-7,""),ROWS($I$19:$I57))),""),$F57*$G57),"")</f>
        <v>83648.50499999999</v>
      </c>
      <c r="K57" s="117">
        <f t="shared" si="2"/>
        <v>-1877</v>
      </c>
      <c r="L57" t="str">
        <f t="shared" si="3"/>
        <v>EFA</v>
      </c>
      <c r="M57" s="35">
        <f>IFERROR(IF($L$5='2022 Port'!$H$3,VLOOKUP($L57,'2022 Port'!$D$6:$T$67,5,FALSE),IF($L$5='2022 Port'!$K$3,VLOOKUP($L57,'2022 Port'!$D$6:$T$67,8,FALSE),IF($L$5='2022 Port'!$N$3,VLOOKUP($L57,'2022 Port'!$D$6:$T$67,11,FALSE),IF($L$5='2022 Port'!$Q$3,VLOOKUP($L57,'2022 Port'!$D$6:$T$67,14,FALSE),IF($L$5='2022 Port'!T45,VLOOKUP($L57,'2022 Port'!$D$6:$T$67,17,FALSE),""))))),0)</f>
        <v>0</v>
      </c>
      <c r="N57" s="117">
        <f>IFERROR(M57*$C$15/O57,"")</f>
        <v>0</v>
      </c>
      <c r="O57" s="97">
        <f>IFERROR(VLOOKUP(L57,'Schwab Positions'!$A$9:$J$10000,9,FALSE),"")</f>
        <v>44.564999999999998</v>
      </c>
      <c r="P57" s="30">
        <f t="shared" si="4"/>
        <v>0</v>
      </c>
    </row>
    <row r="58" spans="2:16" ht="14.25" customHeight="1">
      <c r="B58" t="str" cm="1">
        <f t="array" ref="B58">IFERROR(INDEX('Schwab Positions'!$A$8:$A$10000,SMALL(IF('Schwab Positions'!$E$8:$E$10000=$C$2,ROW('Schwab Positions'!$E$8:$E$10000)-7,""),ROWS($B$19:B58))),"")</f>
        <v>SCHF</v>
      </c>
      <c r="C58" t="str">
        <f>IFERROR(VLOOKUP(B58,'Schwab Positions'!$A$8:$B$10000,2,FALSE),"")</f>
        <v>Schwab International Equity ETF</v>
      </c>
      <c r="D58" s="34" t="str">
        <f>IFERROR(VLOOKUP(B58,'Security Type'!$A$2:$C$1000,3,FALSE),"")</f>
        <v>Intl</v>
      </c>
      <c r="E58" s="34" t="str">
        <f>IF(B58="","",IF(ISNUMBER(MATCH(B58,'2022 Port'!$D$6:$D$67,0)),VLOOKUP(B58,'Security Type'!$A$3:$D$1000,4,FALSE),"NOT IN PORT"))</f>
        <v>N/A</v>
      </c>
      <c r="F58" cm="1">
        <f t="array" ref="F58">IFERROR(INDEX('Schwab Positions'!$D$8:$D$10000,SMALL(IF('Schwab Positions'!$E$8:$E$10000=$C$2,ROW('Schwab Positions'!$E$8:$E$10000)-7,""),ROWS($F$19:$F58))),"")</f>
        <v>352</v>
      </c>
      <c r="G58" s="1" cm="1">
        <f t="array" ref="G58">IFERROR(INDEX('Schwab Positions'!$I$8:$I$10000,SMALL(IF('Schwab Positions'!$E$8:$E$10000=$C$2,ROW('Schwab Positions'!$E$8:$E$10000)-7,""),ROWS($G$19:$G58))),"")</f>
        <v>395.25</v>
      </c>
      <c r="H58" s="100">
        <f t="shared" si="1"/>
        <v>3.5141764227888624E-2</v>
      </c>
      <c r="I58" s="37" cm="1">
        <f t="array" ref="I58">IFERROR(IF($D58="Bond",IFERROR(INDEX('Schwab Positions'!$J$8:$J$10000,SMALL(IF('Schwab Positions'!$E$8:$E$10000=$C$2,ROW('Schwab Positions'!$E$8:$E$10000)-7,""),ROWS($I$19:$I58))),""),$F58*$G58),"")</f>
        <v>139128</v>
      </c>
      <c r="K58" s="117">
        <f t="shared" si="2"/>
        <v>-352</v>
      </c>
      <c r="L58" t="str">
        <f t="shared" si="3"/>
        <v>SCHF</v>
      </c>
      <c r="M58" s="35">
        <f>IFERROR(IF($L$5='2022 Port'!$H$3,VLOOKUP($L58,'2022 Port'!$D$6:$T$67,5,FALSE),IF($L$5='2022 Port'!$K$3,VLOOKUP($L58,'2022 Port'!$D$6:$T$67,8,FALSE),IF($L$5='2022 Port'!$N$3,VLOOKUP($L58,'2022 Port'!$D$6:$T$67,11,FALSE),IF($L$5='2022 Port'!$Q$3,VLOOKUP($L58,'2022 Port'!$D$6:$T$67,14,FALSE),IF($L$5='2022 Port'!T46,VLOOKUP($L58,'2022 Port'!$D$6:$T$67,17,FALSE),""))))),0)</f>
        <v>0</v>
      </c>
      <c r="N58" s="117">
        <f t="shared" ref="N58:N121" si="6">IFERROR(M58*$C$15/O58,"")</f>
        <v>0</v>
      </c>
      <c r="O58" s="97">
        <f>IFERROR(VLOOKUP(L58,'Schwab Positions'!$A$9:$J$10000,9,FALSE),"")</f>
        <v>395.25</v>
      </c>
      <c r="P58" s="30">
        <f t="shared" si="4"/>
        <v>0</v>
      </c>
    </row>
    <row r="59" spans="2:16" ht="14.25" customHeight="1">
      <c r="B59" t="str" cm="1">
        <f t="array" ref="B59">IFERROR(INDEX('Schwab Positions'!$A$8:$A$10000,SMALL(IF('Schwab Positions'!$E$8:$E$10000=$C$2,ROW('Schwab Positions'!$E$8:$E$10000)-7,""),ROWS($B$19:B59))),"")</f>
        <v>SCZ</v>
      </c>
      <c r="C59" t="str">
        <f>IFERROR(VLOOKUP(B59,'Schwab Positions'!$A$8:$B$10000,2,FALSE),"")</f>
        <v>iShares MSCI EAFE Small-Cap ETF</v>
      </c>
      <c r="D59" s="34" t="str">
        <f>IFERROR(VLOOKUP(B59,'Security Type'!$A$2:$C$1000,3,FALSE),"")</f>
        <v>Intl</v>
      </c>
      <c r="E59" s="34" t="str">
        <f>IF(B59="","",IF(ISNUMBER(MATCH(B59,'2022 Port'!$D$6:$D$67,0)),VLOOKUP(B59,'Security Type'!$A$3:$D$1000,4,FALSE),"NOT IN PORT"))</f>
        <v>N/A</v>
      </c>
      <c r="F59" cm="1">
        <f t="array" ref="F59">IFERROR(INDEX('Schwab Positions'!$D$8:$D$10000,SMALL(IF('Schwab Positions'!$E$8:$E$10000=$C$2,ROW('Schwab Positions'!$E$8:$E$10000)-7,""),ROWS($F$19:$F59))),"")</f>
        <v>691</v>
      </c>
      <c r="G59" s="1" cm="1">
        <f t="array" ref="G59">IFERROR(INDEX('Schwab Positions'!$I$8:$I$10000,SMALL(IF('Schwab Positions'!$E$8:$E$10000=$C$2,ROW('Schwab Positions'!$E$8:$E$10000)-7,""),ROWS($G$19:$G59))),"")</f>
        <v>50.354999999999997</v>
      </c>
      <c r="H59" s="100">
        <f t="shared" si="1"/>
        <v>8.7888017117149254E-3</v>
      </c>
      <c r="I59" s="37" cm="1">
        <f t="array" ref="I59">IFERROR(IF($D59="Bond",IFERROR(INDEX('Schwab Positions'!$J$8:$J$10000,SMALL(IF('Schwab Positions'!$E$8:$E$10000=$C$2,ROW('Schwab Positions'!$E$8:$E$10000)-7,""),ROWS($I$19:$I59))),""),$F59*$G59),"")</f>
        <v>34795.305</v>
      </c>
      <c r="K59" s="117">
        <f t="shared" si="2"/>
        <v>-691</v>
      </c>
      <c r="L59" t="str">
        <f t="shared" si="3"/>
        <v>SCZ</v>
      </c>
      <c r="M59" s="35">
        <f>IFERROR(IF($L$5='2022 Port'!$H$3,VLOOKUP($L59,'2022 Port'!$D$6:$T$67,5,FALSE),IF($L$5='2022 Port'!$K$3,VLOOKUP($L59,'2022 Port'!$D$6:$T$67,8,FALSE),IF($L$5='2022 Port'!$N$3,VLOOKUP($L59,'2022 Port'!$D$6:$T$67,11,FALSE),IF($L$5='2022 Port'!$Q$3,VLOOKUP($L59,'2022 Port'!$D$6:$T$67,14,FALSE),IF($L$5='2022 Port'!T47,VLOOKUP($L59,'2022 Port'!$D$6:$T$67,17,FALSE),""))))),0)</f>
        <v>0</v>
      </c>
      <c r="N59" s="117">
        <f t="shared" si="6"/>
        <v>0</v>
      </c>
      <c r="O59" s="97">
        <f>IFERROR(VLOOKUP(L59,'Schwab Positions'!$A$9:$J$10000,9,FALSE),"")</f>
        <v>50.354999999999997</v>
      </c>
      <c r="P59" s="30">
        <f t="shared" si="4"/>
        <v>0</v>
      </c>
    </row>
    <row r="60" spans="2:16" ht="14.25" customHeight="1">
      <c r="B60" t="str" cm="1">
        <f t="array" ref="B60">IFERROR(INDEX('Schwab Positions'!$A$8:$A$10000,SMALL(IF('Schwab Positions'!$E$8:$E$10000=$C$2,ROW('Schwab Positions'!$E$8:$E$10000)-7,""),ROWS($B$19:B60))),"")</f>
        <v>SWVXX</v>
      </c>
      <c r="C60" t="str">
        <f>IFERROR(VLOOKUP(B60,'Schwab Positions'!$A$8:$B$10000,2,FALSE),"")</f>
        <v>Money Market Fund</v>
      </c>
      <c r="D60" s="34" t="str">
        <f>IFERROR(VLOOKUP(B60,'Security Type'!$A$2:$C$1000,3,FALSE),"")</f>
        <v>MMF</v>
      </c>
      <c r="E60" s="34" t="str">
        <f>IF(B60="","",IF(ISNUMBER(MATCH(B60,'2022 Port'!$D$6:$D$67,0)),VLOOKUP(B60,'Security Type'!$A$3:$D$1000,4,FALSE),"NOT IN PORT"))</f>
        <v>Consumer Staples</v>
      </c>
      <c r="F60" cm="1">
        <f t="array" ref="F60">IFERROR(INDEX('Schwab Positions'!$D$8:$D$10000,SMALL(IF('Schwab Positions'!$E$8:$E$10000=$C$2,ROW('Schwab Positions'!$E$8:$E$10000)-7,""),ROWS($F$19:$F60))),"")</f>
        <v>156</v>
      </c>
      <c r="G60" s="1" cm="1">
        <f t="array" ref="G60">IFERROR(INDEX('Schwab Positions'!$I$8:$I$10000,SMALL(IF('Schwab Positions'!$E$8:$E$10000=$C$2,ROW('Schwab Positions'!$E$8:$E$10000)-7,""),ROWS($G$19:$G60))),"")</f>
        <v>1</v>
      </c>
      <c r="H60" s="100">
        <f t="shared" si="1"/>
        <v>3.9403392699892368E-5</v>
      </c>
      <c r="I60" s="37" cm="1">
        <f t="array" ref="I60">IFERROR(IF($D60="Bond",IFERROR(INDEX('Schwab Positions'!$J$8:$J$10000,SMALL(IF('Schwab Positions'!$E$8:$E$10000=$C$2,ROW('Schwab Positions'!$E$8:$E$10000)-7,""),ROWS($I$19:$I60))),""),$F60*$G60),"")</f>
        <v>156</v>
      </c>
      <c r="K60" s="117">
        <f t="shared" si="2"/>
        <v>79024.999051600011</v>
      </c>
      <c r="L60" t="str">
        <f t="shared" si="3"/>
        <v>SWVXX</v>
      </c>
      <c r="M60" s="35">
        <f>IFERROR(IF($L$5='2022 Port'!$H$3,VLOOKUP($L60,'2022 Port'!$D$6:$T$67,5,FALSE),IF($L$5='2022 Port'!$K$3,VLOOKUP($L60,'2022 Port'!$D$6:$T$67,8,FALSE),IF($L$5='2022 Port'!$N$3,VLOOKUP($L60,'2022 Port'!$D$6:$T$67,11,FALSE),IF($L$5='2022 Port'!$Q$3,VLOOKUP($L60,'2022 Port'!$D$6:$T$67,14,FALSE),IF($L$5='2022 Port'!T48,VLOOKUP($L60,'2022 Port'!$D$6:$T$67,17,FALSE),""))))),0)</f>
        <v>0.02</v>
      </c>
      <c r="N60" s="117">
        <f t="shared" si="6"/>
        <v>79180.999051600011</v>
      </c>
      <c r="O60" s="97">
        <f>IFERROR(VLOOKUP(L60,'Schwab Positions'!$A$9:$J$10000,9,FALSE),"")</f>
        <v>1</v>
      </c>
      <c r="P60" s="30">
        <f t="shared" si="4"/>
        <v>79180.999051600011</v>
      </c>
    </row>
    <row r="61" spans="2:16" ht="14.25" customHeight="1">
      <c r="B61" t="str" cm="1">
        <f t="array" ref="B61">IFERROR(INDEX('Schwab Positions'!$A$8:$A$10000,SMALL(IF('Schwab Positions'!$E$8:$E$10000=$C$2,ROW('Schwab Positions'!$E$8:$E$10000)-7,""),ROWS($B$19:B61))),"")</f>
        <v>LQDI</v>
      </c>
      <c r="C61" t="str">
        <f>IFERROR(VLOOKUP(B61,'Schwab Positions'!$A$8:$B$10000,2,FALSE),"")</f>
        <v>iShares Inflation Hedged Corporate Bond</v>
      </c>
      <c r="D61" s="34" t="str">
        <f>IFERROR(VLOOKUP(B61,'Security Type'!$A$2:$C$1000,3,FALSE),"")</f>
        <v>Bond</v>
      </c>
      <c r="E61" s="34" t="str">
        <f>IF(B61="","",IF(ISNUMBER(MATCH(B61,'2022 Port'!$D$6:$D$67,0)),VLOOKUP(B61,'Security Type'!$A$3:$D$1000,4,FALSE),"NOT IN PORT"))</f>
        <v>N/A</v>
      </c>
      <c r="F61" cm="1">
        <f t="array" ref="F61">IFERROR(INDEX('Schwab Positions'!$D$8:$D$10000,SMALL(IF('Schwab Positions'!$E$8:$E$10000=$C$2,ROW('Schwab Positions'!$E$8:$E$10000)-7,""),ROWS($F$19:$F61))),"")</f>
        <v>4277</v>
      </c>
      <c r="G61" s="1" cm="1">
        <f t="array" ref="G61">IFERROR(INDEX('Schwab Positions'!$I$8:$I$10000,SMALL(IF('Schwab Positions'!$E$8:$E$10000=$C$2,ROW('Schwab Positions'!$E$8:$E$10000)-7,""),ROWS($G$19:$G61))),"")</f>
        <v>80.459999999999994</v>
      </c>
      <c r="H61" s="100">
        <f t="shared" si="1"/>
        <v>8.6921717109364055E-2</v>
      </c>
      <c r="I61" s="37" cm="1">
        <f t="array" ref="I61">IFERROR(IF($D61="Bond",IFERROR(INDEX('Schwab Positions'!$J$8:$J$10000,SMALL(IF('Schwab Positions'!$E$8:$E$10000=$C$2,ROW('Schwab Positions'!$E$8:$E$10000)-7,""),ROWS($I$19:$I61))),""),$F61*$G61),"")</f>
        <v>344127.42</v>
      </c>
      <c r="K61" s="117">
        <f t="shared" si="2"/>
        <v>-2308.7922184538897</v>
      </c>
      <c r="L61" t="str">
        <f t="shared" si="3"/>
        <v>LQDI</v>
      </c>
      <c r="M61" s="35">
        <f>IFERROR(IF($L$5='2022 Port'!$H$3,VLOOKUP($L61,'2022 Port'!$D$6:$T$67,5,FALSE),IF($L$5='2022 Port'!$K$3,VLOOKUP($L61,'2022 Port'!$D$6:$T$67,8,FALSE),IF($L$5='2022 Port'!$N$3,VLOOKUP($L61,'2022 Port'!$D$6:$T$67,11,FALSE),IF($L$5='2022 Port'!$Q$3,VLOOKUP($L61,'2022 Port'!$D$6:$T$67,14,FALSE),IF($L$5='2022 Port'!T49,VLOOKUP($L61,'2022 Port'!$D$6:$T$67,17,FALSE),""))))),0)</f>
        <v>0.04</v>
      </c>
      <c r="N61" s="117">
        <f t="shared" si="6"/>
        <v>1968.2077815461103</v>
      </c>
      <c r="O61" s="97">
        <f>IFERROR(VLOOKUP(L61,'Schwab Positions'!$A$9:$J$10000,9,FALSE),"")</f>
        <v>80.459999999999994</v>
      </c>
      <c r="P61" s="30">
        <f t="shared" si="4"/>
        <v>158361.99810320002</v>
      </c>
    </row>
    <row r="62" spans="2:16">
      <c r="B62" t="str" cm="1">
        <f t="array" ref="B62">IFERROR(INDEX('Schwab Positions'!$A$8:$A$10000,SMALL(IF('Schwab Positions'!$E$8:$E$10000=$C$2,ROW('Schwab Positions'!$E$8:$E$10000)-7,""),ROWS($B$19:B62))),"")</f>
        <v>BNDX</v>
      </c>
      <c r="C62" t="str">
        <f>IFERROR(VLOOKUP(B62,'Schwab Positions'!$A$8:$B$10000,2,FALSE),"")</f>
        <v>Vanguard Total International Bond ETF</v>
      </c>
      <c r="D62" s="34" t="str">
        <f>IFERROR(VLOOKUP(B62,'Security Type'!$A$2:$C$1000,3,FALSE),"")</f>
        <v>Bond</v>
      </c>
      <c r="E62" s="34" t="str">
        <f>IF(B62="","",IF(ISNUMBER(MATCH(B62,'2022 Port'!$D$6:$D$67,0)),VLOOKUP(B62,'Security Type'!$A$3:$D$1000,4,FALSE),"NOT IN PORT"))</f>
        <v>N/A</v>
      </c>
      <c r="F62" cm="1">
        <f t="array" ref="F62">IFERROR(INDEX('Schwab Positions'!$D$8:$D$10000,SMALL(IF('Schwab Positions'!$E$8:$E$10000=$C$2,ROW('Schwab Positions'!$E$8:$E$10000)-7,""),ROWS($F$19:$F62))),"")</f>
        <v>103000</v>
      </c>
      <c r="G62" s="1" cm="1">
        <f t="array" ref="G62">IFERROR(INDEX('Schwab Positions'!$I$8:$I$10000,SMALL(IF('Schwab Positions'!$E$8:$E$10000=$C$2,ROW('Schwab Positions'!$E$8:$E$10000)-7,""),ROWS($G$19:$G62))),"")</f>
        <v>28.41</v>
      </c>
      <c r="H62" s="100">
        <f t="shared" si="1"/>
        <v>7.3912429371926942E-3</v>
      </c>
      <c r="I62" s="37" cm="1">
        <f t="array" ref="I62">IFERROR(IF($D62="Bond",IFERROR(INDEX('Schwab Positions'!$J$8:$J$10000,SMALL(IF('Schwab Positions'!$E$8:$E$10000=$C$2,ROW('Schwab Positions'!$E$8:$E$10000)-7,""),ROWS($I$19:$I62))),""),$F62*$G62),"")</f>
        <v>29262.3</v>
      </c>
      <c r="K62" s="117">
        <f t="shared" si="2"/>
        <v>-97425.836040014081</v>
      </c>
      <c r="L62" t="str">
        <f t="shared" si="3"/>
        <v>BNDX</v>
      </c>
      <c r="M62" s="35">
        <f>IFERROR(IF($L$5='2022 Port'!$H$3,VLOOKUP($L62,'2022 Port'!$D$6:$T$67,5,FALSE),IF($L$5='2022 Port'!$K$3,VLOOKUP($L62,'2022 Port'!$D$6:$T$67,8,FALSE),IF($L$5='2022 Port'!$N$3,VLOOKUP($L62,'2022 Port'!$D$6:$T$67,11,FALSE),IF($L$5='2022 Port'!$Q$3,VLOOKUP($L62,'2022 Port'!$D$6:$T$67,14,FALSE),IF($L$5='2022 Port'!T50,VLOOKUP($L62,'2022 Port'!$D$6:$T$67,17,FALSE),""))))),0)</f>
        <v>0.04</v>
      </c>
      <c r="N62" s="117">
        <f t="shared" si="6"/>
        <v>5574.1639599859209</v>
      </c>
      <c r="O62" s="97">
        <f>IFERROR(VLOOKUP(L62,'Schwab Positions'!$A$9:$J$10000,9,FALSE),"")</f>
        <v>28.41</v>
      </c>
      <c r="P62" s="30">
        <f t="shared" si="4"/>
        <v>158361.99810320002</v>
      </c>
    </row>
    <row r="63" spans="2:16">
      <c r="B63" t="str" cm="1">
        <f t="array" ref="B63">IFERROR(INDEX('Schwab Positions'!$A$8:$A$10000,SMALL(IF('Schwab Positions'!$E$8:$E$10000=$C$2,ROW('Schwab Positions'!$E$8:$E$10000)-7,""),ROWS($B$19:B63))),"")</f>
        <v>HYGH</v>
      </c>
      <c r="C63" t="str">
        <f>IFERROR(VLOOKUP(B63,'Schwab Positions'!$A$8:$B$10000,2,FALSE),"")</f>
        <v>iShares Interest Rate Hedged High Yield Bond ETF</v>
      </c>
      <c r="D63" s="34" t="str">
        <f>IFERROR(VLOOKUP(B63,'Security Type'!$A$2:$C$1000,3,FALSE),"")</f>
        <v>Bond</v>
      </c>
      <c r="E63" s="34" t="str">
        <f>IF(B63="","",IF(ISNUMBER(MATCH(B63,'2022 Port'!$D$6:$D$67,0)),VLOOKUP(B63,'Security Type'!$A$3:$D$1000,4,FALSE),"NOT IN PORT"))</f>
        <v>N/A</v>
      </c>
      <c r="F63" cm="1">
        <f t="array" ref="F63">IFERROR(INDEX('Schwab Positions'!$D$8:$D$10000,SMALL(IF('Schwab Positions'!$E$8:$E$10000=$C$2,ROW('Schwab Positions'!$E$8:$E$10000)-7,""),ROWS($F$19:$F63))),"")</f>
        <v>94000</v>
      </c>
      <c r="G63" s="1" cm="1">
        <f t="array" ref="G63">IFERROR(INDEX('Schwab Positions'!$I$8:$I$10000,SMALL(IF('Schwab Positions'!$E$8:$E$10000=$C$2,ROW('Schwab Positions'!$E$8:$E$10000)-7,""),ROWS($G$19:$G63))),"")</f>
        <v>96.935000000000002</v>
      </c>
      <c r="H63" s="100">
        <f t="shared" si="1"/>
        <v>2.3015344865911683E-2</v>
      </c>
      <c r="I63" s="37" cm="1">
        <f t="array" ref="I63">IFERROR(IF($D63="Bond",IFERROR(INDEX('Schwab Positions'!$J$8:$J$10000,SMALL(IF('Schwab Positions'!$E$8:$E$10000=$C$2,ROW('Schwab Positions'!$E$8:$E$10000)-7,""),ROWS($I$19:$I63))),""),$F63*$G63),"")</f>
        <v>91118.9</v>
      </c>
      <c r="K63" s="117">
        <f t="shared" si="2"/>
        <v>-79705.18921542271</v>
      </c>
      <c r="L63" t="str">
        <f t="shared" si="3"/>
        <v>HYGH</v>
      </c>
      <c r="M63" s="35">
        <f>IFERROR(IF($L$5='2022 Port'!$H$3,VLOOKUP($L63,'2022 Port'!$D$6:$T$67,5,FALSE),IF($L$5='2022 Port'!$K$3,VLOOKUP($L63,'2022 Port'!$D$6:$T$67,8,FALSE),IF($L$5='2022 Port'!$N$3,VLOOKUP($L63,'2022 Port'!$D$6:$T$67,11,FALSE),IF($L$5='2022 Port'!$Q$3,VLOOKUP($L63,'2022 Port'!$D$6:$T$67,14,FALSE),IF($L$5='2022 Port'!T51,VLOOKUP($L63,'2022 Port'!$D$6:$T$67,17,FALSE),""))))),0)</f>
        <v>0.35</v>
      </c>
      <c r="N63" s="117">
        <f t="shared" si="6"/>
        <v>14294.810784577294</v>
      </c>
      <c r="O63" s="97">
        <f>IFERROR(VLOOKUP(L63,'Schwab Positions'!$A$9:$J$10000,9,FALSE),"")</f>
        <v>96.935000000000002</v>
      </c>
      <c r="P63" s="30">
        <f t="shared" si="4"/>
        <v>1385667.483403</v>
      </c>
    </row>
    <row r="64" spans="2:16">
      <c r="B64" t="str" cm="1">
        <f t="array" ref="B64">IFERROR(INDEX('Schwab Positions'!$A$8:$A$10000,SMALL(IF('Schwab Positions'!$E$8:$E$10000=$C$2,ROW('Schwab Positions'!$E$8:$E$10000)-7,""),ROWS($B$19:B64))),"")</f>
        <v>STIP</v>
      </c>
      <c r="C64" t="str">
        <f>IFERROR(VLOOKUP(B64,'Schwab Positions'!$A$8:$B$10000,2,FALSE),"")</f>
        <v>iShares TIPS Bond ETF</v>
      </c>
      <c r="D64" s="34" t="str">
        <f>IFERROR(VLOOKUP(B64,'Security Type'!$A$2:$C$1000,3,FALSE),"")</f>
        <v>Bond</v>
      </c>
      <c r="E64" s="34" t="str">
        <f>IF(B64="","",IF(ISNUMBER(MATCH(B64,'2022 Port'!$D$6:$D$67,0)),VLOOKUP(B64,'Security Type'!$A$3:$D$1000,4,FALSE),"NOT IN PORT"))</f>
        <v>N/A</v>
      </c>
      <c r="F64" cm="1">
        <f t="array" ref="F64">IFERROR(INDEX('Schwab Positions'!$D$8:$D$10000,SMALL(IF('Schwab Positions'!$E$8:$E$10000=$C$2,ROW('Schwab Positions'!$E$8:$E$10000)-7,""),ROWS($F$19:$F64))),"")</f>
        <v>12000</v>
      </c>
      <c r="G64" s="1" cm="1">
        <f t="array" ref="G64">IFERROR(INDEX('Schwab Positions'!$I$8:$I$10000,SMALL(IF('Schwab Positions'!$E$8:$E$10000=$C$2,ROW('Schwab Positions'!$E$8:$E$10000)-7,""),ROWS($G$19:$G64))),"")</f>
        <v>98.955600000000004</v>
      </c>
      <c r="H64" s="100">
        <f t="shared" si="1"/>
        <v>2.999373623023275E-3</v>
      </c>
      <c r="I64" s="37" cm="1">
        <f t="array" ref="I64">IFERROR(IF($D64="Bond",IFERROR(INDEX('Schwab Positions'!$J$8:$J$10000,SMALL(IF('Schwab Positions'!$E$8:$E$10000=$C$2,ROW('Schwab Positions'!$E$8:$E$10000)-7,""),ROWS($I$19:$I64))),""),$F64*$G64),"")</f>
        <v>11874.67</v>
      </c>
      <c r="K64" s="117">
        <f t="shared" si="2"/>
        <v>2002.9213445525056</v>
      </c>
      <c r="L64" t="str">
        <f t="shared" si="3"/>
        <v>STIP</v>
      </c>
      <c r="M64" s="35">
        <f>IFERROR(IF($L$5='2022 Port'!$H$3,VLOOKUP($L64,'2022 Port'!$D$6:$T$67,5,FALSE),IF($L$5='2022 Port'!$K$3,VLOOKUP($L64,'2022 Port'!$D$6:$T$67,8,FALSE),IF($L$5='2022 Port'!$N$3,VLOOKUP($L64,'2022 Port'!$D$6:$T$67,11,FALSE),IF($L$5='2022 Port'!$Q$3,VLOOKUP($L64,'2022 Port'!$D$6:$T$67,14,FALSE),IF($L$5='2022 Port'!T52,VLOOKUP($L64,'2022 Port'!$D$6:$T$67,17,FALSE),""))))),0)</f>
        <v>0.35</v>
      </c>
      <c r="N64" s="117">
        <f t="shared" si="6"/>
        <v>14002.921344552506</v>
      </c>
      <c r="O64" s="97">
        <f>IFERROR(VLOOKUP(L64,'Schwab Positions'!$A$9:$J$10000,9,FALSE),"")</f>
        <v>98.955600000000004</v>
      </c>
      <c r="P64" s="30">
        <f t="shared" si="4"/>
        <v>1385667.483403</v>
      </c>
    </row>
    <row r="65" spans="2:16">
      <c r="B65" t="str" cm="1">
        <f t="array" ref="B65">IFERROR(INDEX('Schwab Positions'!$A$8:$A$10000,SMALL(IF('Schwab Positions'!$E$8:$E$10000=$C$2,ROW('Schwab Positions'!$E$8:$E$10000)-7,""),ROWS($B$19:B65))),"")</f>
        <v>SPY</v>
      </c>
      <c r="C65" t="str">
        <f>IFERROR(VLOOKUP(B65,'Schwab Positions'!$A$8:$B$10000,2,FALSE),"")</f>
        <v>SPDR S&amp;P 500 ETF</v>
      </c>
      <c r="D65" s="34" t="str">
        <f>IFERROR(VLOOKUP(B65,'Security Type'!$A$2:$C$1000,3,FALSE),"")</f>
        <v>US ETF</v>
      </c>
      <c r="E65" s="34" t="str">
        <f>IF(B65="","",IF(ISNUMBER(MATCH(B65,'2022 Port'!$D$6:$D$67,0)),VLOOKUP(B65,'Security Type'!$A$3:$D$1000,4,FALSE),"NOT IN PORT"))</f>
        <v>NOT IN PORT</v>
      </c>
      <c r="F65" cm="1">
        <f t="array" ref="F65">IFERROR(INDEX('Schwab Positions'!$D$8:$D$10000,SMALL(IF('Schwab Positions'!$E$8:$E$10000=$C$2,ROW('Schwab Positions'!$E$8:$E$10000)-7,""),ROWS($F$19:$F65))),"")</f>
        <v>11238.326999999999</v>
      </c>
      <c r="G65" s="1" cm="1">
        <f t="array" ref="G65">IFERROR(INDEX('Schwab Positions'!$I$8:$I$10000,SMALL(IF('Schwab Positions'!$E$8:$E$10000=$C$2,ROW('Schwab Positions'!$E$8:$E$10000)-7,""),ROWS($G$19:$G65))),"")</f>
        <v>28.4</v>
      </c>
      <c r="H65" s="100">
        <f t="shared" si="1"/>
        <v>8.0617443735966743E-2</v>
      </c>
      <c r="I65" s="37" cm="1">
        <f t="array" ref="I65">IFERROR(IF($D65="Bond",IFERROR(INDEX('Schwab Positions'!$J$8:$J$10000,SMALL(IF('Schwab Positions'!$E$8:$E$10000=$C$2,ROW('Schwab Positions'!$E$8:$E$10000)-7,""),ROWS($I$19:$I65))),""),$F65*$G65),"")</f>
        <v>319168.48679999996</v>
      </c>
      <c r="K65" s="117">
        <f t="shared" si="2"/>
        <v>-11238.326999999999</v>
      </c>
      <c r="L65" t="str">
        <f>B65</f>
        <v>SPY</v>
      </c>
      <c r="M65" s="35">
        <f>IFERROR(IF($L$5='2022 Port'!$H$3,VLOOKUP($L65,'2022 Port'!$D$6:$T$67,5,FALSE),IF($L$5='2022 Port'!$K$3,VLOOKUP($L65,'2022 Port'!$D$6:$T$67,8,FALSE),IF($L$5='2022 Port'!$N$3,VLOOKUP($L65,'2022 Port'!$D$6:$T$67,11,FALSE),IF($L$5='2022 Port'!$Q$3,VLOOKUP($L65,'2022 Port'!$D$6:$T$67,14,FALSE),IF($L$5='2022 Port'!#REF!,VLOOKUP($L65,'2022 Port'!$D$6:$T$67,17,FALSE),""))))),0)</f>
        <v>0</v>
      </c>
      <c r="N65" s="117">
        <f t="shared" si="6"/>
        <v>0</v>
      </c>
      <c r="O65" s="97">
        <f>IFERROR(VLOOKUP(L65,'Schwab Positions'!$A$9:$J$10000,9,FALSE),"")</f>
        <v>28.4</v>
      </c>
      <c r="P65" s="30">
        <f t="shared" si="4"/>
        <v>0</v>
      </c>
    </row>
    <row r="66" spans="2:16">
      <c r="B66" t="str" cm="1">
        <f t="array" ref="B66">IFERROR(INDEX('Schwab Positions'!$A$8:$A$10000,SMALL(IF('Schwab Positions'!$E$8:$E$10000=$C$2,ROW('Schwab Positions'!$E$8:$E$10000)-7,""),ROWS($B$19:B66))),"")</f>
        <v>VNQ</v>
      </c>
      <c r="C66" t="str">
        <f>IFERROR(VLOOKUP(B66,'Schwab Positions'!$A$8:$B$10000,2,FALSE),"")</f>
        <v>Vanguard Real Estate ETF</v>
      </c>
      <c r="D66" s="34" t="str">
        <f>IFERROR(VLOOKUP(B66,'Security Type'!$A$2:$C$1000,3,FALSE),"")</f>
        <v>REIT</v>
      </c>
      <c r="E66" s="34" t="str">
        <f>IF(B66="","",IF(ISNUMBER(MATCH(B66,'2022 Port'!$D$6:$D$67,0)),VLOOKUP(B66,'Security Type'!$A$3:$D$1000,4,FALSE),"NOT IN PORT"))</f>
        <v>N/A</v>
      </c>
      <c r="F66" cm="1">
        <f t="array" ref="F66">IFERROR(INDEX('Schwab Positions'!$D$8:$D$10000,SMALL(IF('Schwab Positions'!$E$8:$E$10000=$C$2,ROW('Schwab Positions'!$E$8:$E$10000)-7,""),ROWS($F$19:$F66))),"")</f>
        <v>21852.417000000001</v>
      </c>
      <c r="G66" s="1" cm="1">
        <f t="array" ref="G66">IFERROR(INDEX('Schwab Positions'!$I$8:$I$10000,SMALL(IF('Schwab Positions'!$E$8:$E$10000=$C$2,ROW('Schwab Positions'!$E$8:$E$10000)-7,""),ROWS($G$19:$G66))),"")</f>
        <v>4.84</v>
      </c>
      <c r="H66" s="100">
        <f t="shared" si="1"/>
        <v>2.6714918868622886E-2</v>
      </c>
      <c r="I66" s="37" cm="1">
        <f t="array" ref="I66">IFERROR(IF($D66="Bond",IFERROR(INDEX('Schwab Positions'!$J$8:$J$10000,SMALL(IF('Schwab Positions'!$E$8:$E$10000=$C$2,ROW('Schwab Positions'!$E$8:$E$10000)-7,""),ROWS($I$19:$I66))),""),$F66*$G66),"")</f>
        <v>105765.69828</v>
      </c>
      <c r="K66" s="117">
        <f t="shared" si="2"/>
        <v>-21852.417000000001</v>
      </c>
      <c r="L66" t="str">
        <f t="shared" si="3"/>
        <v>VNQ</v>
      </c>
      <c r="M66" s="35">
        <f>IFERROR(IF($L$5='2022 Port'!$H$3,VLOOKUP($L66,'2022 Port'!$D$6:$T$67,5,FALSE),IF($L$5='2022 Port'!$K$3,VLOOKUP($L66,'2022 Port'!$D$6:$T$67,8,FALSE),IF($L$5='2022 Port'!$N$3,VLOOKUP($L66,'2022 Port'!$D$6:$T$67,11,FALSE),IF($L$5='2022 Port'!$Q$3,VLOOKUP($L66,'2022 Port'!$D$6:$T$67,14,FALSE),IF($L$5='2022 Port'!T53,VLOOKUP($L66,'2022 Port'!$D$6:$T$67,17,FALSE),""))))),0)</f>
        <v>0</v>
      </c>
      <c r="N66" s="117">
        <f t="shared" si="6"/>
        <v>0</v>
      </c>
      <c r="O66" s="97">
        <f>IFERROR(VLOOKUP(L66,'Schwab Positions'!$A$9:$J$10000,9,FALSE),"")</f>
        <v>4.84</v>
      </c>
      <c r="P66" s="30">
        <f t="shared" si="4"/>
        <v>0</v>
      </c>
    </row>
    <row r="67" spans="2:16">
      <c r="B67" t="str" cm="1">
        <f t="array" ref="B67">IFERROR(INDEX('Schwab Positions'!$A$8:$A$10000,SMALL(IF('Schwab Positions'!$E$8:$E$10000=$C$2,ROW('Schwab Positions'!$E$8:$E$10000)-7,""),ROWS($B$19:B67))),"")</f>
        <v>SWPPX</v>
      </c>
      <c r="C67" t="str">
        <f>IFERROR(VLOOKUP(B67,'Schwab Positions'!$A$8:$B$10000,2,FALSE),"")</f>
        <v>Schwab S&amp;P 500 Index Fund</v>
      </c>
      <c r="D67" s="34" t="str">
        <f>IFERROR(VLOOKUP(B67,'Security Type'!$A$2:$C$1000,3,FALSE),"")</f>
        <v>US MF</v>
      </c>
      <c r="E67" s="34" t="str">
        <f>IF(B67="","",IF(ISNUMBER(MATCH(B67,'2022 Port'!$D$6:$D$67,0)),VLOOKUP(B67,'Security Type'!$A$3:$D$1000,4,FALSE),"NOT IN PORT"))</f>
        <v>NOT IN PORT</v>
      </c>
      <c r="F67" cm="1">
        <f t="array" ref="F67">IFERROR(INDEX('Schwab Positions'!$D$8:$D$10000,SMALL(IF('Schwab Positions'!$E$8:$E$10000=$C$2,ROW('Schwab Positions'!$E$8:$E$10000)-7,""),ROWS($F$19:$F67))),"")</f>
        <v>683.86</v>
      </c>
      <c r="G67" s="1" cm="1">
        <f t="array" ref="G67">IFERROR(INDEX('Schwab Positions'!$I$8:$I$10000,SMALL(IF('Schwab Positions'!$E$8:$E$10000=$C$2,ROW('Schwab Positions'!$E$8:$E$10000)-7,""),ROWS($G$19:$G67))),"")</f>
        <v>1</v>
      </c>
      <c r="H67" s="100">
        <f t="shared" si="1"/>
        <v>1.7273335981889996E-4</v>
      </c>
      <c r="I67" s="37" cm="1">
        <f t="array" ref="I67">IFERROR(IF($D67="Bond",IFERROR(INDEX('Schwab Positions'!$J$8:$J$10000,SMALL(IF('Schwab Positions'!$E$8:$E$10000=$C$2,ROW('Schwab Positions'!$E$8:$E$10000)-7,""),ROWS($I$19:$I67))),""),$F67*$G67),"")</f>
        <v>683.86</v>
      </c>
      <c r="K67" s="117">
        <f t="shared" si="2"/>
        <v>-683.86</v>
      </c>
      <c r="L67" t="str">
        <f>B67</f>
        <v>SWPPX</v>
      </c>
      <c r="M67" s="35">
        <f>IFERROR(IF($L$5='2022 Port'!$H$3,VLOOKUP($L67,'2022 Port'!$D$6:$T$67,5,FALSE),IF($L$5='2022 Port'!$K$3,VLOOKUP($L67,'2022 Port'!$D$6:$T$67,8,FALSE),IF($L$5='2022 Port'!$N$3,VLOOKUP($L67,'2022 Port'!$D$6:$T$67,11,FALSE),IF($L$5='2022 Port'!$Q$3,VLOOKUP($L67,'2022 Port'!$D$6:$T$67,14,FALSE),IF($L$5='2022 Port'!T54,VLOOKUP($L67,'2022 Port'!$D$6:$T$67,17,FALSE),""))))),0)</f>
        <v>0</v>
      </c>
      <c r="N67" s="117">
        <f t="shared" si="6"/>
        <v>0</v>
      </c>
      <c r="O67" s="97">
        <f>IFERROR(VLOOKUP(L67,'Schwab Positions'!$A$9:$J$10000,9,FALSE),"")</f>
        <v>1</v>
      </c>
      <c r="P67" s="30">
        <f t="shared" si="4"/>
        <v>0</v>
      </c>
    </row>
    <row r="68" spans="2:16">
      <c r="B68" t="str" cm="1">
        <f t="array" ref="B68">IFERROR(INDEX('Schwab Positions'!$A$8:$A$10000,SMALL(IF('Schwab Positions'!$E$8:$E$10000=$C$2,ROW('Schwab Positions'!$E$8:$E$10000)-7,""),ROWS($B$19:B68))),"")</f>
        <v/>
      </c>
      <c r="C68" t="str">
        <f>IFERROR(VLOOKUP(B68,'Schwab Positions'!$A$8:$B$10000,2,FALSE),"")</f>
        <v/>
      </c>
      <c r="D68" s="34" t="str">
        <f>IFERROR(VLOOKUP(B68,'Security Type'!$A$2:$C$1000,3,FALSE),"")</f>
        <v/>
      </c>
      <c r="E68" s="34" t="str">
        <f>IF(B68="","",IF(ISNUMBER(MATCH(B68,'2022 Port'!$D$6:$D$67,0)),VLOOKUP(B68,'Security Type'!$A$3:$D$1000,4,FALSE),"NOT IN PORT"))</f>
        <v/>
      </c>
      <c r="F68" t="str" cm="1">
        <f t="array" ref="F68">IFERROR(INDEX('Schwab Positions'!$D$8:$D$10000,SMALL(IF('Schwab Positions'!$E$8:$E$10000=$C$2,ROW('Schwab Positions'!$E$8:$E$10000)-7,""),ROWS($F$19:$F68))),"")</f>
        <v/>
      </c>
      <c r="G68" s="1" t="str" cm="1">
        <f t="array" ref="G68">IFERROR(INDEX('Schwab Positions'!$I$8:$I$10000,SMALL(IF('Schwab Positions'!$E$8:$E$10000=$C$2,ROW('Schwab Positions'!$E$8:$E$10000)-7,""),ROWS($G$19:$G68))),"")</f>
        <v/>
      </c>
      <c r="H68" s="100" t="str">
        <f t="shared" si="1"/>
        <v/>
      </c>
      <c r="I68" s="37" t="str" cm="1">
        <f t="array" ref="I68">IFERROR(IF($D68="Bond",IFERROR(INDEX('Schwab Positions'!$J$8:$J$10000,SMALL(IF('Schwab Positions'!$E$8:$E$10000=$C$2,ROW('Schwab Positions'!$E$8:$E$10000)-7,""),ROWS($I$19:$I68))),""),$F68*$G68),"")</f>
        <v/>
      </c>
      <c r="K68" s="117" t="str">
        <f t="shared" si="2"/>
        <v/>
      </c>
      <c r="L68" t="str">
        <f t="shared" si="3"/>
        <v/>
      </c>
      <c r="M68" s="35">
        <f>IFERROR(IF($L$5='2022 Port'!$H$3,VLOOKUP($L68,'2022 Port'!$D$6:$T$67,5,FALSE),IF($L$5='2022 Port'!$K$3,VLOOKUP($L68,'2022 Port'!$D$6:$T$67,8,FALSE),IF($L$5='2022 Port'!$N$3,VLOOKUP($L68,'2022 Port'!$D$6:$T$67,11,FALSE),IF($L$5='2022 Port'!$Q$3,VLOOKUP($L68,'2022 Port'!$D$6:$T$67,14,FALSE),IF($L$5='2022 Port'!T55,VLOOKUP($L68,'2022 Port'!$D$6:$T$67,17,FALSE),""))))),0)</f>
        <v>0</v>
      </c>
      <c r="N68" s="117" t="str">
        <f t="shared" si="6"/>
        <v/>
      </c>
      <c r="O68" s="97" t="str">
        <f>IFERROR(VLOOKUP(L68,'Schwab Positions'!$A$9:$J$10000,9,FALSE),"")</f>
        <v/>
      </c>
      <c r="P68" s="30" t="str">
        <f t="shared" si="4"/>
        <v/>
      </c>
    </row>
    <row r="69" spans="2:16">
      <c r="B69" t="str" cm="1">
        <f t="array" ref="B69">IFERROR(INDEX('Schwab Positions'!$A$8:$A$10000,SMALL(IF('Schwab Positions'!$E$8:$E$10000=$C$2,ROW('Schwab Positions'!$E$8:$E$10000)-7,""),ROWS($B$19:B69))),"")</f>
        <v/>
      </c>
      <c r="C69" t="str">
        <f>IFERROR(VLOOKUP(B69,'Schwab Positions'!$A$8:$B$10000,2,FALSE),"")</f>
        <v/>
      </c>
      <c r="D69" s="34" t="str">
        <f>IFERROR(VLOOKUP(B69,'Security Type'!$A$2:$C$1000,3,FALSE),"")</f>
        <v/>
      </c>
      <c r="E69" s="34" t="str">
        <f>IF(B69="","",IF(ISNUMBER(MATCH(B69,'2022 Port'!$D$6:$D$67,0)),VLOOKUP(B69,'Security Type'!$A$3:$D$1000,4,FALSE),"NOT IN PORT"))</f>
        <v/>
      </c>
      <c r="F69" t="str" cm="1">
        <f t="array" ref="F69">IFERROR(INDEX('Schwab Positions'!$D$8:$D$10000,SMALL(IF('Schwab Positions'!$E$8:$E$10000=$C$2,ROW('Schwab Positions'!$E$8:$E$10000)-7,""),ROWS($F$19:$F69))),"")</f>
        <v/>
      </c>
      <c r="G69" s="1" t="str" cm="1">
        <f t="array" ref="G69">IFERROR(INDEX('Schwab Positions'!$I$8:$I$10000,SMALL(IF('Schwab Positions'!$E$8:$E$10000=$C$2,ROW('Schwab Positions'!$E$8:$E$10000)-7,""),ROWS($G$19:$G69))),"")</f>
        <v/>
      </c>
      <c r="H69" s="100" t="str">
        <f t="shared" si="1"/>
        <v/>
      </c>
      <c r="I69" s="37" t="str" cm="1">
        <f t="array" ref="I69">IFERROR(IF($D69="Bond",IFERROR(INDEX('Schwab Positions'!$J$8:$J$10000,SMALL(IF('Schwab Positions'!$E$8:$E$10000=$C$2,ROW('Schwab Positions'!$E$8:$E$10000)-7,""),ROWS($I$19:$I69))),""),$F69*$G69),"")</f>
        <v/>
      </c>
      <c r="K69" s="117" t="str">
        <f t="shared" si="2"/>
        <v/>
      </c>
      <c r="L69" t="str">
        <f t="shared" si="3"/>
        <v/>
      </c>
      <c r="M69" s="35">
        <f>IFERROR(IF($L$5='2022 Port'!$H$3,VLOOKUP($L69,'2022 Port'!$D$6:$T$67,5,FALSE),IF($L$5='2022 Port'!$K$3,VLOOKUP($L69,'2022 Port'!$D$6:$T$67,8,FALSE),IF($L$5='2022 Port'!$N$3,VLOOKUP($L69,'2022 Port'!$D$6:$T$67,11,FALSE),IF($L$5='2022 Port'!$Q$3,VLOOKUP($L69,'2022 Port'!$D$6:$T$67,14,FALSE),IF($L$5='2022 Port'!T56,VLOOKUP($L69,'2022 Port'!$D$6:$T$67,17,FALSE),""))))),0)</f>
        <v>0</v>
      </c>
      <c r="N69" s="117" t="str">
        <f t="shared" si="6"/>
        <v/>
      </c>
      <c r="O69" s="97" t="str">
        <f>IFERROR(VLOOKUP(L69,'Schwab Positions'!$A$9:$J$10000,9,FALSE),"")</f>
        <v/>
      </c>
      <c r="P69" s="30" t="str">
        <f t="shared" si="4"/>
        <v/>
      </c>
    </row>
    <row r="70" spans="2:16">
      <c r="B70" t="str" cm="1">
        <f t="array" ref="B70">IFERROR(INDEX('Schwab Positions'!$A$8:$A$10000,SMALL(IF('Schwab Positions'!$E$8:$E$10000=$C$2,ROW('Schwab Positions'!$E$8:$E$10000)-7,""),ROWS($B$19:B70))),"")</f>
        <v/>
      </c>
      <c r="C70" t="str">
        <f>IFERROR(VLOOKUP(B70,'Schwab Positions'!$A$8:$B$10000,2,FALSE),"")</f>
        <v/>
      </c>
      <c r="D70" s="34" t="str">
        <f>IFERROR(VLOOKUP(B70,'Security Type'!$A$2:$C$1000,3,FALSE),"")</f>
        <v/>
      </c>
      <c r="E70" s="34" t="str">
        <f>IF(B70="","",IF(ISNUMBER(MATCH(B70,'2022 Port'!$D$6:$D$67,0)),VLOOKUP(B70,'Security Type'!$A$3:$D$1000,4,FALSE),"NOT IN PORT"))</f>
        <v/>
      </c>
      <c r="F70" t="str" cm="1">
        <f t="array" ref="F70">IFERROR(INDEX('Schwab Positions'!$D$8:$D$10000,SMALL(IF('Schwab Positions'!$E$8:$E$10000=$C$2,ROW('Schwab Positions'!$E$8:$E$10000)-7,""),ROWS($F$19:$F70))),"")</f>
        <v/>
      </c>
      <c r="G70" s="1" t="str" cm="1">
        <f t="array" ref="G70">IFERROR(INDEX('Schwab Positions'!$I$8:$I$10000,SMALL(IF('Schwab Positions'!$E$8:$E$10000=$C$2,ROW('Schwab Positions'!$E$8:$E$10000)-7,""),ROWS($G$19:$G70))),"")</f>
        <v/>
      </c>
      <c r="H70" s="100" t="str">
        <f t="shared" si="1"/>
        <v/>
      </c>
      <c r="I70" s="37" t="str" cm="1">
        <f t="array" ref="I70">IFERROR(IF($D70="Bond",IFERROR(INDEX('Schwab Positions'!$J$8:$J$10000,SMALL(IF('Schwab Positions'!$E$8:$E$10000=$C$2,ROW('Schwab Positions'!$E$8:$E$10000)-7,""),ROWS($I$19:$I70))),""),$F70*$G70),"")</f>
        <v/>
      </c>
      <c r="K70" s="117" t="str">
        <f t="shared" si="2"/>
        <v/>
      </c>
      <c r="L70" t="str">
        <f t="shared" si="3"/>
        <v/>
      </c>
      <c r="M70" s="35">
        <f>IFERROR(IF($L$5='2022 Port'!$H$3,VLOOKUP($L70,'2022 Port'!$D$6:$T$67,5,FALSE),IF($L$5='2022 Port'!$K$3,VLOOKUP($L70,'2022 Port'!$D$6:$T$67,8,FALSE),IF($L$5='2022 Port'!$N$3,VLOOKUP($L70,'2022 Port'!$D$6:$T$67,11,FALSE),IF($L$5='2022 Port'!$Q$3,VLOOKUP($L70,'2022 Port'!$D$6:$T$67,14,FALSE),IF($L$5='2022 Port'!T57,VLOOKUP($L70,'2022 Port'!$D$6:$T$67,17,FALSE),""))))),0)</f>
        <v>0</v>
      </c>
      <c r="N70" s="117" t="str">
        <f t="shared" si="6"/>
        <v/>
      </c>
      <c r="O70" s="97" t="str">
        <f>IFERROR(VLOOKUP(L70,'Schwab Positions'!$A$9:$J$10000,9,FALSE),"")</f>
        <v/>
      </c>
      <c r="P70" s="30" t="str">
        <f t="shared" si="4"/>
        <v/>
      </c>
    </row>
    <row r="71" spans="2:16">
      <c r="B71" t="str" cm="1">
        <f t="array" ref="B71">IFERROR(INDEX('Schwab Positions'!$A$8:$A$10000,SMALL(IF('Schwab Positions'!$E$8:$E$10000=$C$2,ROW('Schwab Positions'!$E$8:$E$10000)-7,""),ROWS($B$19:B71))),"")</f>
        <v/>
      </c>
      <c r="C71" t="str">
        <f>IFERROR(VLOOKUP(B71,'Schwab Positions'!$A$8:$B$10000,2,FALSE),"")</f>
        <v/>
      </c>
      <c r="D71" s="34" t="str">
        <f>IFERROR(VLOOKUP(B71,'Security Type'!$A$2:$C$1000,3,FALSE),"")</f>
        <v/>
      </c>
      <c r="E71" s="34" t="str">
        <f>IF(B71="","",IF(ISNUMBER(MATCH(B71,'2022 Port'!$D$6:$D$67,0)),VLOOKUP(B71,'Security Type'!$A$3:$D$1000,4,FALSE),"NOT IN PORT"))</f>
        <v/>
      </c>
      <c r="F71" t="str" cm="1">
        <f t="array" ref="F71">IFERROR(INDEX('Schwab Positions'!$D$8:$D$10000,SMALL(IF('Schwab Positions'!$E$8:$E$10000=$C$2,ROW('Schwab Positions'!$E$8:$E$10000)-7,""),ROWS($F$19:$F71))),"")</f>
        <v/>
      </c>
      <c r="G71" s="1" t="str" cm="1">
        <f t="array" ref="G71">IFERROR(INDEX('Schwab Positions'!$I$8:$I$10000,SMALL(IF('Schwab Positions'!$E$8:$E$10000=$C$2,ROW('Schwab Positions'!$E$8:$E$10000)-7,""),ROWS($G$19:$G71))),"")</f>
        <v/>
      </c>
      <c r="H71" s="100" t="str">
        <f t="shared" si="1"/>
        <v/>
      </c>
      <c r="I71" s="37" t="str" cm="1">
        <f t="array" ref="I71">IFERROR(IF($D71="Bond",IFERROR(INDEX('Schwab Positions'!$J$8:$J$10000,SMALL(IF('Schwab Positions'!$E$8:$E$10000=$C$2,ROW('Schwab Positions'!$E$8:$E$10000)-7,""),ROWS($I$19:$I71))),""),$F71*$G71),"")</f>
        <v/>
      </c>
      <c r="K71" s="117" t="str">
        <f t="shared" si="2"/>
        <v/>
      </c>
      <c r="L71" t="str">
        <f t="shared" si="3"/>
        <v/>
      </c>
      <c r="M71" s="35">
        <f>IFERROR(IF($L$5='2022 Port'!$H$3,VLOOKUP($L71,'2022 Port'!$D$6:$T$67,5,FALSE),IF($L$5='2022 Port'!$K$3,VLOOKUP($L71,'2022 Port'!$D$6:$T$67,8,FALSE),IF($L$5='2022 Port'!$N$3,VLOOKUP($L71,'2022 Port'!$D$6:$T$67,11,FALSE),IF($L$5='2022 Port'!$Q$3,VLOOKUP($L71,'2022 Port'!$D$6:$T$67,14,FALSE),IF($L$5='2022 Port'!T58,VLOOKUP($L71,'2022 Port'!$D$6:$T$67,17,FALSE),""))))),0)</f>
        <v>0</v>
      </c>
      <c r="N71" s="117" t="str">
        <f t="shared" si="6"/>
        <v/>
      </c>
      <c r="O71" s="97" t="str">
        <f>IFERROR(VLOOKUP(L71,'Schwab Positions'!$A$9:$J$10000,9,FALSE),"")</f>
        <v/>
      </c>
      <c r="P71" s="30" t="str">
        <f t="shared" si="4"/>
        <v/>
      </c>
    </row>
    <row r="72" spans="2:16">
      <c r="B72" t="str" cm="1">
        <f t="array" ref="B72">IFERROR(INDEX('Schwab Positions'!$A$8:$A$10000,SMALL(IF('Schwab Positions'!$E$8:$E$10000=$C$2,ROW('Schwab Positions'!$E$8:$E$10000)-7,""),ROWS($B$19:B72))),"")</f>
        <v/>
      </c>
      <c r="C72" t="str">
        <f>IFERROR(VLOOKUP(B72,'Schwab Positions'!$A$8:$B$10000,2,FALSE),"")</f>
        <v/>
      </c>
      <c r="D72" s="34" t="str">
        <f>IFERROR(VLOOKUP(B72,'Security Type'!$A$2:$C$1000,3,FALSE),"")</f>
        <v/>
      </c>
      <c r="E72" s="34" t="str">
        <f>IF(B72="","",IF(ISNUMBER(MATCH(B72,'2022 Port'!$D$6:$D$67,0)),VLOOKUP(B72,'Security Type'!$A$3:$D$1000,4,FALSE),"NOT IN PORT"))</f>
        <v/>
      </c>
      <c r="F72" t="str" cm="1">
        <f t="array" ref="F72">IFERROR(INDEX('Schwab Positions'!$D$8:$D$10000,SMALL(IF('Schwab Positions'!$E$8:$E$10000=$C$2,ROW('Schwab Positions'!$E$8:$E$10000)-7,""),ROWS($F$19:$F72))),"")</f>
        <v/>
      </c>
      <c r="G72" s="1" t="str" cm="1">
        <f t="array" ref="G72">IFERROR(INDEX('Schwab Positions'!$I$8:$I$10000,SMALL(IF('Schwab Positions'!$E$8:$E$10000=$C$2,ROW('Schwab Positions'!$E$8:$E$10000)-7,""),ROWS($G$19:$G72))),"")</f>
        <v/>
      </c>
      <c r="H72" s="100" t="str">
        <f t="shared" si="1"/>
        <v/>
      </c>
      <c r="I72" s="37" t="str" cm="1">
        <f t="array" ref="I72">IFERROR(IF($D72="Bond",IFERROR(INDEX('Schwab Positions'!$J$8:$J$10000,SMALL(IF('Schwab Positions'!$E$8:$E$10000=$C$2,ROW('Schwab Positions'!$E$8:$E$10000)-7,""),ROWS($I$19:$I72))),""),$F72*$G72),"")</f>
        <v/>
      </c>
      <c r="K72" s="117" t="str">
        <f t="shared" si="2"/>
        <v/>
      </c>
      <c r="L72" t="str">
        <f t="shared" si="3"/>
        <v/>
      </c>
      <c r="M72" s="35">
        <f>IFERROR(IF($L$5='2022 Port'!$H$3,VLOOKUP($L72,'2022 Port'!$D$6:$T$67,5,FALSE),IF($L$5='2022 Port'!$K$3,VLOOKUP($L72,'2022 Port'!$D$6:$T$67,8,FALSE),IF($L$5='2022 Port'!$N$3,VLOOKUP($L72,'2022 Port'!$D$6:$T$67,11,FALSE),IF($L$5='2022 Port'!$Q$3,VLOOKUP($L72,'2022 Port'!$D$6:$T$67,14,FALSE),IF($L$5='2022 Port'!T59,VLOOKUP($L72,'2022 Port'!$D$6:$T$67,17,FALSE),""))))),0)</f>
        <v>0</v>
      </c>
      <c r="N72" s="117" t="str">
        <f t="shared" si="6"/>
        <v/>
      </c>
      <c r="O72" s="97" t="str">
        <f>IFERROR(VLOOKUP(L72,'Schwab Positions'!$A$9:$J$10000,9,FALSE),"")</f>
        <v/>
      </c>
      <c r="P72" s="30" t="str">
        <f t="shared" si="4"/>
        <v/>
      </c>
    </row>
    <row r="73" spans="2:16">
      <c r="B73" t="str" cm="1">
        <f t="array" ref="B73">IFERROR(INDEX('Schwab Positions'!$A$8:$A$10000,SMALL(IF('Schwab Positions'!$E$8:$E$10000=$C$2,ROW('Schwab Positions'!$E$8:$E$10000)-7,""),ROWS($B$19:B73))),"")</f>
        <v/>
      </c>
      <c r="C73" t="str">
        <f>IFERROR(VLOOKUP(B73,'Schwab Positions'!$A$8:$B$10000,2,FALSE),"")</f>
        <v/>
      </c>
      <c r="D73" s="34" t="str">
        <f>IFERROR(VLOOKUP(B73,'Security Type'!$A$2:$C$1000,3,FALSE),"")</f>
        <v/>
      </c>
      <c r="E73" s="34" t="str">
        <f>IF(B73="","",IF(ISNUMBER(MATCH(B73,'2022 Port'!$D$6:$D$67,0)),VLOOKUP(B73,'Security Type'!$A$3:$D$1000,4,FALSE),"NOT IN PORT"))</f>
        <v/>
      </c>
      <c r="F73" t="str" cm="1">
        <f t="array" ref="F73">IFERROR(INDEX('Schwab Positions'!$D$8:$D$10000,SMALL(IF('Schwab Positions'!$E$8:$E$10000=$C$2,ROW('Schwab Positions'!$E$8:$E$10000)-7,""),ROWS($F$19:$F73))),"")</f>
        <v/>
      </c>
      <c r="G73" s="1" t="str" cm="1">
        <f t="array" ref="G73">IFERROR(INDEX('Schwab Positions'!$I$8:$I$10000,SMALL(IF('Schwab Positions'!$E$8:$E$10000=$C$2,ROW('Schwab Positions'!$E$8:$E$10000)-7,""),ROWS($G$19:$G73))),"")</f>
        <v/>
      </c>
      <c r="H73" s="100" t="str">
        <f t="shared" si="1"/>
        <v/>
      </c>
      <c r="I73" s="37" t="str" cm="1">
        <f t="array" ref="I73">IFERROR(IF($D73="Bond",IFERROR(INDEX('Schwab Positions'!$J$8:$J$10000,SMALL(IF('Schwab Positions'!$E$8:$E$10000=$C$2,ROW('Schwab Positions'!$E$8:$E$10000)-7,""),ROWS($I$19:$I73))),""),$F73*$G73),"")</f>
        <v/>
      </c>
      <c r="K73" s="117" t="str">
        <f t="shared" si="2"/>
        <v/>
      </c>
      <c r="L73" t="str">
        <f t="shared" si="3"/>
        <v/>
      </c>
      <c r="M73" s="35">
        <f>IFERROR(IF($L$5='2022 Port'!$H$3,VLOOKUP($L73,'2022 Port'!$D$6:$T$67,5,FALSE),IF($L$5='2022 Port'!$K$3,VLOOKUP($L73,'2022 Port'!$D$6:$T$67,8,FALSE),IF($L$5='2022 Port'!$N$3,VLOOKUP($L73,'2022 Port'!$D$6:$T$67,11,FALSE),IF($L$5='2022 Port'!$Q$3,VLOOKUP($L73,'2022 Port'!$D$6:$T$67,14,FALSE),IF($L$5='2022 Port'!T60,VLOOKUP($L73,'2022 Port'!$D$6:$T$67,17,FALSE),""))))),0)</f>
        <v>0</v>
      </c>
      <c r="N73" s="117" t="str">
        <f t="shared" si="6"/>
        <v/>
      </c>
      <c r="O73" s="97" t="str">
        <f>IFERROR(VLOOKUP(L73,'Schwab Positions'!$A$9:$J$10000,9,FALSE),"")</f>
        <v/>
      </c>
      <c r="P73" s="30" t="str">
        <f t="shared" si="4"/>
        <v/>
      </c>
    </row>
    <row r="74" spans="2:16">
      <c r="B74" t="str" cm="1">
        <f t="array" ref="B74">IFERROR(INDEX('Schwab Positions'!$A$8:$A$10000,SMALL(IF('Schwab Positions'!$E$8:$E$10000=$C$2,ROW('Schwab Positions'!$E$8:$E$10000)-7,""),ROWS($B$19:B74))),"")</f>
        <v/>
      </c>
      <c r="C74" t="str">
        <f>IFERROR(VLOOKUP(B74,'Schwab Positions'!$A$8:$B$10000,2,FALSE),"")</f>
        <v/>
      </c>
      <c r="D74" s="34" t="str">
        <f>IFERROR(VLOOKUP(B74,'Security Type'!$A$2:$C$1000,3,FALSE),"")</f>
        <v/>
      </c>
      <c r="E74" s="34" t="str">
        <f>IF(B74="","",IF(ISNUMBER(MATCH(B74,'2022 Port'!$D$6:$D$67,0)),VLOOKUP(B74,'Security Type'!$A$3:$D$1000,4,FALSE),"NOT IN PORT"))</f>
        <v/>
      </c>
      <c r="F74" t="str" cm="1">
        <f t="array" ref="F74">IFERROR(INDEX('Schwab Positions'!$D$8:$D$10000,SMALL(IF('Schwab Positions'!$E$8:$E$10000=$C$2,ROW('Schwab Positions'!$E$8:$E$10000)-7,""),ROWS($F$19:$F74))),"")</f>
        <v/>
      </c>
      <c r="G74" s="1" t="str" cm="1">
        <f t="array" ref="G74">IFERROR(INDEX('Schwab Positions'!$I$8:$I$10000,SMALL(IF('Schwab Positions'!$E$8:$E$10000=$C$2,ROW('Schwab Positions'!$E$8:$E$10000)-7,""),ROWS($G$19:$G74))),"")</f>
        <v/>
      </c>
      <c r="H74" s="100" t="str">
        <f t="shared" si="1"/>
        <v/>
      </c>
      <c r="I74" s="37" t="str" cm="1">
        <f t="array" ref="I74">IFERROR(IF($D74="Bond",IFERROR(INDEX('Schwab Positions'!$J$8:$J$10000,SMALL(IF('Schwab Positions'!$E$8:$E$10000=$C$2,ROW('Schwab Positions'!$E$8:$E$10000)-7,""),ROWS($I$19:$I74))),""),$F74*$G74),"")</f>
        <v/>
      </c>
      <c r="K74" s="117" t="str">
        <f t="shared" si="2"/>
        <v/>
      </c>
      <c r="L74" t="str">
        <f t="shared" si="3"/>
        <v/>
      </c>
      <c r="M74" s="35">
        <f>IFERROR(IF($L$5='2022 Port'!$H$3,VLOOKUP($L74,'2022 Port'!$D$6:$T$67,5,FALSE),IF($L$5='2022 Port'!$K$3,VLOOKUP($L74,'2022 Port'!$D$6:$T$67,8,FALSE),IF($L$5='2022 Port'!$N$3,VLOOKUP($L74,'2022 Port'!$D$6:$T$67,11,FALSE),IF($L$5='2022 Port'!$Q$3,VLOOKUP($L74,'2022 Port'!$D$6:$T$67,14,FALSE),IF($L$5='2022 Port'!T61,VLOOKUP($L74,'2022 Port'!$D$6:$T$67,17,FALSE),""))))),0)</f>
        <v>0</v>
      </c>
      <c r="N74" s="117" t="str">
        <f t="shared" si="6"/>
        <v/>
      </c>
      <c r="O74" s="97" t="str">
        <f>IFERROR(VLOOKUP(L74,'Schwab Positions'!$A$9:$J$10000,9,FALSE),"")</f>
        <v/>
      </c>
      <c r="P74" s="30" t="str">
        <f t="shared" si="4"/>
        <v/>
      </c>
    </row>
    <row r="75" spans="2:16">
      <c r="B75" t="str" cm="1">
        <f t="array" ref="B75">IFERROR(INDEX('Schwab Positions'!$A$8:$A$10000,SMALL(IF('Schwab Positions'!$E$8:$E$10000=$C$2,ROW('Schwab Positions'!$E$8:$E$10000)-7,""),ROWS($B$19:B75))),"")</f>
        <v/>
      </c>
      <c r="C75" t="str">
        <f>IFERROR(VLOOKUP(B75,'Schwab Positions'!$A$8:$B$10000,2,FALSE),"")</f>
        <v/>
      </c>
      <c r="D75" s="34" t="str">
        <f>IFERROR(VLOOKUP(B75,'Security Type'!$A$2:$C$1000,3,FALSE),"")</f>
        <v/>
      </c>
      <c r="E75" s="34" t="str">
        <f>IF(B75="","",IF(ISNUMBER(MATCH(B75,'2022 Port'!$D$6:$D$67,0)),VLOOKUP(B75,'Security Type'!$A$3:$D$1000,4,FALSE),"NOT IN PORT"))</f>
        <v/>
      </c>
      <c r="F75" t="str" cm="1">
        <f t="array" ref="F75">IFERROR(INDEX('Schwab Positions'!$D$8:$D$10000,SMALL(IF('Schwab Positions'!$E$8:$E$10000=$C$2,ROW('Schwab Positions'!$E$8:$E$10000)-7,""),ROWS($F$19:$F75))),"")</f>
        <v/>
      </c>
      <c r="G75" s="1" t="str" cm="1">
        <f t="array" ref="G75">IFERROR(INDEX('Schwab Positions'!$I$8:$I$10000,SMALL(IF('Schwab Positions'!$E$8:$E$10000=$C$2,ROW('Schwab Positions'!$E$8:$E$10000)-7,""),ROWS($G$19:$G75))),"")</f>
        <v/>
      </c>
      <c r="H75" s="100" t="str">
        <f t="shared" si="1"/>
        <v/>
      </c>
      <c r="I75" s="37" t="str" cm="1">
        <f t="array" ref="I75">IFERROR(IF($D75="Bond",IFERROR(INDEX('Schwab Positions'!$J$8:$J$10000,SMALL(IF('Schwab Positions'!$E$8:$E$10000=$C$2,ROW('Schwab Positions'!$E$8:$E$10000)-7,""),ROWS($I$19:$I75))),""),$F75*$G75),"")</f>
        <v/>
      </c>
      <c r="K75" s="117" t="str">
        <f t="shared" si="2"/>
        <v/>
      </c>
      <c r="L75" t="str">
        <f t="shared" si="3"/>
        <v/>
      </c>
      <c r="M75" s="35">
        <f>IFERROR(IF($L$5='2022 Port'!$H$3,VLOOKUP($L75,'2022 Port'!$D$6:$T$67,5,FALSE),IF($L$5='2022 Port'!$K$3,VLOOKUP($L75,'2022 Port'!$D$6:$T$67,8,FALSE),IF($L$5='2022 Port'!$N$3,VLOOKUP($L75,'2022 Port'!$D$6:$T$67,11,FALSE),IF($L$5='2022 Port'!$Q$3,VLOOKUP($L75,'2022 Port'!$D$6:$T$67,14,FALSE),IF($L$5='2022 Port'!T62,VLOOKUP($L75,'2022 Port'!$D$6:$T$67,17,FALSE),""))))),0)</f>
        <v>0</v>
      </c>
      <c r="N75" s="117" t="str">
        <f t="shared" si="6"/>
        <v/>
      </c>
      <c r="O75" s="97" t="str">
        <f>IFERROR(VLOOKUP(L75,'Schwab Positions'!$A$9:$J$10000,9,FALSE),"")</f>
        <v/>
      </c>
      <c r="P75" s="30" t="str">
        <f t="shared" si="4"/>
        <v/>
      </c>
    </row>
    <row r="76" spans="2:16">
      <c r="B76" t="str" cm="1">
        <f t="array" ref="B76">IFERROR(INDEX('Schwab Positions'!$A$8:$A$10000,SMALL(IF('Schwab Positions'!$E$8:$E$10000=$C$2,ROW('Schwab Positions'!$E$8:$E$10000)-7,""),ROWS($B$19:B76))),"")</f>
        <v/>
      </c>
      <c r="C76" t="str">
        <f>IFERROR(VLOOKUP(B76,'Schwab Positions'!$A$8:$B$10000,2,FALSE),"")</f>
        <v/>
      </c>
      <c r="D76" s="34" t="str">
        <f>IFERROR(VLOOKUP(B76,'Security Type'!$A$2:$C$1000,3,FALSE),"")</f>
        <v/>
      </c>
      <c r="E76" s="34" t="str">
        <f>IF(B76="","",IF(ISNUMBER(MATCH(B76,'2022 Port'!$D$6:$D$67,0)),VLOOKUP(B76,'Security Type'!$A$3:$D$1000,4,FALSE),"NOT IN PORT"))</f>
        <v/>
      </c>
      <c r="F76" t="str" cm="1">
        <f t="array" ref="F76">IFERROR(INDEX('Schwab Positions'!$D$8:$D$10000,SMALL(IF('Schwab Positions'!$E$8:$E$10000=$C$2,ROW('Schwab Positions'!$E$8:$E$10000)-7,""),ROWS($F$19:$F76))),"")</f>
        <v/>
      </c>
      <c r="G76" s="1" t="str" cm="1">
        <f t="array" ref="G76">IFERROR(INDEX('Schwab Positions'!$I$8:$I$10000,SMALL(IF('Schwab Positions'!$E$8:$E$10000=$C$2,ROW('Schwab Positions'!$E$8:$E$10000)-7,""),ROWS($G$19:$G76))),"")</f>
        <v/>
      </c>
      <c r="H76" s="100" t="str">
        <f t="shared" si="1"/>
        <v/>
      </c>
      <c r="I76" s="37" t="str" cm="1">
        <f t="array" ref="I76">IFERROR(IF($D76="Bond",IFERROR(INDEX('Schwab Positions'!$J$8:$J$10000,SMALL(IF('Schwab Positions'!$E$8:$E$10000=$C$2,ROW('Schwab Positions'!$E$8:$E$10000)-7,""),ROWS($I$19:$I76))),""),$F76*$G76),"")</f>
        <v/>
      </c>
      <c r="K76" s="117" t="str">
        <f t="shared" si="2"/>
        <v/>
      </c>
      <c r="L76" t="str">
        <f t="shared" si="3"/>
        <v/>
      </c>
      <c r="M76" s="35">
        <f>IFERROR(IF($L$5='2022 Port'!$H$3,VLOOKUP($L76,'2022 Port'!$D$6:$T$67,5,FALSE),IF($L$5='2022 Port'!$K$3,VLOOKUP($L76,'2022 Port'!$D$6:$T$67,8,FALSE),IF($L$5='2022 Port'!$N$3,VLOOKUP($L76,'2022 Port'!$D$6:$T$67,11,FALSE),IF($L$5='2022 Port'!$Q$3,VLOOKUP($L76,'2022 Port'!$D$6:$T$67,14,FALSE),IF($L$5='2022 Port'!T63,VLOOKUP($L76,'2022 Port'!$D$6:$T$67,17,FALSE),""))))),0)</f>
        <v>0</v>
      </c>
      <c r="N76" s="117" t="str">
        <f t="shared" si="6"/>
        <v/>
      </c>
      <c r="O76" s="97" t="str">
        <f>IFERROR(VLOOKUP(L76,'Schwab Positions'!$A$9:$J$10000,9,FALSE),"")</f>
        <v/>
      </c>
      <c r="P76" s="30" t="str">
        <f t="shared" si="4"/>
        <v/>
      </c>
    </row>
    <row r="77" spans="2:16">
      <c r="B77" t="str" cm="1">
        <f t="array" ref="B77">IFERROR(INDEX('Schwab Positions'!$A$8:$A$10000,SMALL(IF('Schwab Positions'!$E$8:$E$10000=$C$2,ROW('Schwab Positions'!$E$8:$E$10000)-7,""),ROWS($B$19:B77))),"")</f>
        <v/>
      </c>
      <c r="C77" t="str">
        <f>IFERROR(VLOOKUP(B77,'Schwab Positions'!$A$8:$B$10000,2,FALSE),"")</f>
        <v/>
      </c>
      <c r="D77" s="34" t="str">
        <f>IFERROR(VLOOKUP(B77,'Security Type'!$A$2:$C$1000,3,FALSE),"")</f>
        <v/>
      </c>
      <c r="E77" s="34" t="str">
        <f>IF(B77="","",IF(ISNUMBER(MATCH(B77,'2022 Port'!$D$6:$D$67,0)),VLOOKUP(B77,'Security Type'!$A$3:$D$1000,4,FALSE),"NOT IN PORT"))</f>
        <v/>
      </c>
      <c r="F77" t="str" cm="1">
        <f t="array" ref="F77">IFERROR(INDEX('Schwab Positions'!$D$8:$D$10000,SMALL(IF('Schwab Positions'!$E$8:$E$10000=$C$2,ROW('Schwab Positions'!$E$8:$E$10000)-7,""),ROWS($F$19:$F77))),"")</f>
        <v/>
      </c>
      <c r="G77" s="1" t="str" cm="1">
        <f t="array" ref="G77">IFERROR(INDEX('Schwab Positions'!$I$8:$I$10000,SMALL(IF('Schwab Positions'!$E$8:$E$10000=$C$2,ROW('Schwab Positions'!$E$8:$E$10000)-7,""),ROWS($G$19:$G77))),"")</f>
        <v/>
      </c>
      <c r="H77" s="100" t="str">
        <f t="shared" si="1"/>
        <v/>
      </c>
      <c r="I77" s="37" t="str" cm="1">
        <f t="array" ref="I77">IFERROR(IF($D77="Bond",IFERROR(INDEX('Schwab Positions'!$J$8:$J$10000,SMALL(IF('Schwab Positions'!$E$8:$E$10000=$C$2,ROW('Schwab Positions'!$E$8:$E$10000)-7,""),ROWS($I$19:$I77))),""),$F77*$G77),"")</f>
        <v/>
      </c>
      <c r="K77" s="117" t="str">
        <f t="shared" si="2"/>
        <v/>
      </c>
      <c r="L77" t="str">
        <f t="shared" si="3"/>
        <v/>
      </c>
      <c r="M77" s="35">
        <f>IFERROR(IF($L$5='2022 Port'!$H$3,VLOOKUP($L77,'2022 Port'!$D$6:$T$67,5,FALSE),IF($L$5='2022 Port'!$K$3,VLOOKUP($L77,'2022 Port'!$D$6:$T$67,8,FALSE),IF($L$5='2022 Port'!$N$3,VLOOKUP($L77,'2022 Port'!$D$6:$T$67,11,FALSE),IF($L$5='2022 Port'!$Q$3,VLOOKUP($L77,'2022 Port'!$D$6:$T$67,14,FALSE),IF($L$5='2022 Port'!T64,VLOOKUP($L77,'2022 Port'!$D$6:$T$67,17,FALSE),""))))),0)</f>
        <v>0</v>
      </c>
      <c r="N77" s="117" t="str">
        <f t="shared" si="6"/>
        <v/>
      </c>
      <c r="O77" s="97" t="str">
        <f>IFERROR(VLOOKUP(L77,'Schwab Positions'!$A$9:$J$10000,9,FALSE),"")</f>
        <v/>
      </c>
      <c r="P77" s="30" t="str">
        <f t="shared" si="4"/>
        <v/>
      </c>
    </row>
    <row r="78" spans="2:16">
      <c r="B78" t="str" cm="1">
        <f t="array" ref="B78">IFERROR(INDEX('Schwab Positions'!$A$8:$A$10000,SMALL(IF('Schwab Positions'!$E$8:$E$10000=$C$2,ROW('Schwab Positions'!$E$8:$E$10000)-7,""),ROWS($B$19:B78))),"")</f>
        <v/>
      </c>
      <c r="C78" t="str">
        <f>IFERROR(VLOOKUP(B78,'Schwab Positions'!$A$8:$B$10000,2,FALSE),"")</f>
        <v/>
      </c>
      <c r="D78" s="34" t="str">
        <f>IFERROR(VLOOKUP(B78,'Security Type'!$A$2:$C$1000,3,FALSE),"")</f>
        <v/>
      </c>
      <c r="E78" s="34" t="str">
        <f>IF(B78="","",IF(ISNUMBER(MATCH(B78,'2022 Port'!$D$6:$D$67,0)),VLOOKUP(B78,'Security Type'!$A$3:$D$1000,4,FALSE),"NOT IN PORT"))</f>
        <v/>
      </c>
      <c r="F78" t="str" cm="1">
        <f t="array" ref="F78">IFERROR(INDEX('Schwab Positions'!$D$8:$D$10000,SMALL(IF('Schwab Positions'!$E$8:$E$10000=$C$2,ROW('Schwab Positions'!$E$8:$E$10000)-7,""),ROWS($F$19:$F78))),"")</f>
        <v/>
      </c>
      <c r="G78" s="1" t="str" cm="1">
        <f t="array" ref="G78">IFERROR(INDEX('Schwab Positions'!$I$8:$I$10000,SMALL(IF('Schwab Positions'!$E$8:$E$10000=$C$2,ROW('Schwab Positions'!$E$8:$E$10000)-7,""),ROWS($G$19:$G78))),"")</f>
        <v/>
      </c>
      <c r="H78" s="100" t="str">
        <f t="shared" si="1"/>
        <v/>
      </c>
      <c r="I78" s="37" t="str" cm="1">
        <f t="array" ref="I78">IFERROR(IF($D78="Bond",IFERROR(INDEX('Schwab Positions'!$J$8:$J$10000,SMALL(IF('Schwab Positions'!$E$8:$E$10000=$C$2,ROW('Schwab Positions'!$E$8:$E$10000)-7,""),ROWS($I$19:$I78))),""),$F78*$G78),"")</f>
        <v/>
      </c>
      <c r="K78" s="117" t="str">
        <f t="shared" si="2"/>
        <v/>
      </c>
      <c r="L78" t="str">
        <f t="shared" si="3"/>
        <v/>
      </c>
      <c r="M78" s="35">
        <f>IFERROR(IF($L$5='2022 Port'!$H$3,VLOOKUP($L78,'2022 Port'!$D$6:$T$67,5,FALSE),IF($L$5='2022 Port'!$K$3,VLOOKUP($L78,'2022 Port'!$D$6:$T$67,8,FALSE),IF($L$5='2022 Port'!$N$3,VLOOKUP($L78,'2022 Port'!$D$6:$T$67,11,FALSE),IF($L$5='2022 Port'!$Q$3,VLOOKUP($L78,'2022 Port'!$D$6:$T$67,14,FALSE),IF($L$5='2022 Port'!T65,VLOOKUP($L78,'2022 Port'!$D$6:$T$67,17,FALSE),""))))),0)</f>
        <v>0</v>
      </c>
      <c r="N78" s="117" t="str">
        <f t="shared" si="6"/>
        <v/>
      </c>
      <c r="O78" s="97" t="str">
        <f>IFERROR(VLOOKUP(L78,'Schwab Positions'!$A$9:$J$10000,9,FALSE),"")</f>
        <v/>
      </c>
      <c r="P78" s="30" t="str">
        <f t="shared" si="4"/>
        <v/>
      </c>
    </row>
    <row r="79" spans="2:16">
      <c r="B79" t="str" cm="1">
        <f t="array" ref="B79">IFERROR(INDEX('Schwab Positions'!$A$8:$A$10000,SMALL(IF('Schwab Positions'!$E$8:$E$10000=$C$2,ROW('Schwab Positions'!$E$8:$E$10000)-7,""),ROWS($B$19:B79))),"")</f>
        <v/>
      </c>
      <c r="C79" t="str">
        <f>IFERROR(VLOOKUP(B79,'Schwab Positions'!$A$8:$B$10000,2,FALSE),"")</f>
        <v/>
      </c>
      <c r="D79" s="34" t="str">
        <f>IFERROR(VLOOKUP(B79,'Security Type'!$A$2:$C$1000,3,FALSE),"")</f>
        <v/>
      </c>
      <c r="E79" s="34" t="str">
        <f>IF(B79="","",IF(ISNUMBER(MATCH(B79,'2022 Port'!$D$6:$D$67,0)),VLOOKUP(B79,'Security Type'!$A$3:$D$1000,4,FALSE),"NOT IN PORT"))</f>
        <v/>
      </c>
      <c r="F79" t="str" cm="1">
        <f t="array" ref="F79">IFERROR(INDEX('Schwab Positions'!$D$8:$D$10000,SMALL(IF('Schwab Positions'!$E$8:$E$10000=$C$2,ROW('Schwab Positions'!$E$8:$E$10000)-7,""),ROWS($F$19:$F79))),"")</f>
        <v/>
      </c>
      <c r="G79" s="1" t="str" cm="1">
        <f t="array" ref="G79">IFERROR(INDEX('Schwab Positions'!$I$8:$I$10000,SMALL(IF('Schwab Positions'!$E$8:$E$10000=$C$2,ROW('Schwab Positions'!$E$8:$E$10000)-7,""),ROWS($G$19:$G79))),"")</f>
        <v/>
      </c>
      <c r="H79" s="100" t="str">
        <f t="shared" si="1"/>
        <v/>
      </c>
      <c r="I79" s="37" t="str" cm="1">
        <f t="array" ref="I79">IFERROR(IF($D79="Bond",IFERROR(INDEX('Schwab Positions'!$J$8:$J$10000,SMALL(IF('Schwab Positions'!$E$8:$E$10000=$C$2,ROW('Schwab Positions'!$E$8:$E$10000)-7,""),ROWS($I$19:$I79))),""),$F79*$G79),"")</f>
        <v/>
      </c>
      <c r="K79" s="117" t="str">
        <f t="shared" si="2"/>
        <v/>
      </c>
      <c r="L79" t="str">
        <f t="shared" si="3"/>
        <v/>
      </c>
      <c r="M79" s="35">
        <f>IFERROR(IF($L$5='2022 Port'!$H$3,VLOOKUP($L79,'2022 Port'!$D$6:$T$67,5,FALSE),IF($L$5='2022 Port'!$K$3,VLOOKUP($L79,'2022 Port'!$D$6:$T$67,8,FALSE),IF($L$5='2022 Port'!$N$3,VLOOKUP($L79,'2022 Port'!$D$6:$T$67,11,FALSE),IF($L$5='2022 Port'!$Q$3,VLOOKUP($L79,'2022 Port'!$D$6:$T$67,14,FALSE),IF($L$5='2022 Port'!T66,VLOOKUP($L79,'2022 Port'!$D$6:$T$67,17,FALSE),""))))),0)</f>
        <v>0</v>
      </c>
      <c r="N79" s="117" t="str">
        <f t="shared" si="6"/>
        <v/>
      </c>
      <c r="O79" s="97" t="str">
        <f>IFERROR(VLOOKUP(L79,'Schwab Positions'!$A$9:$J$10000,9,FALSE),"")</f>
        <v/>
      </c>
      <c r="P79" s="30" t="str">
        <f t="shared" si="4"/>
        <v/>
      </c>
    </row>
    <row r="80" spans="2:16">
      <c r="B80" t="str" cm="1">
        <f t="array" ref="B80">IFERROR(INDEX('Schwab Positions'!$A$8:$A$10000,SMALL(IF('Schwab Positions'!$E$8:$E$10000=$C$2,ROW('Schwab Positions'!$E$8:$E$10000)-7,""),ROWS($B$19:B80))),"")</f>
        <v/>
      </c>
      <c r="C80" t="str">
        <f>IFERROR(VLOOKUP(B80,'Schwab Positions'!$A$8:$B$10000,2,FALSE),"")</f>
        <v/>
      </c>
      <c r="D80" s="34" t="str">
        <f>IFERROR(VLOOKUP(B80,'Security Type'!$A$2:$C$1000,3,FALSE),"")</f>
        <v/>
      </c>
      <c r="E80" s="34" t="str">
        <f>IF(B80="","",IF(ISNUMBER(MATCH(B80,'2022 Port'!$D$6:$D$67,0)),VLOOKUP(B80,'Security Type'!$A$3:$D$1000,4,FALSE),"NOT IN PORT"))</f>
        <v/>
      </c>
      <c r="F80" t="str" cm="1">
        <f t="array" ref="F80">IFERROR(INDEX('Schwab Positions'!$D$8:$D$10000,SMALL(IF('Schwab Positions'!$E$8:$E$10000=$C$2,ROW('Schwab Positions'!$E$8:$E$10000)-7,""),ROWS($F$19:$F80))),"")</f>
        <v/>
      </c>
      <c r="G80" s="1" t="str" cm="1">
        <f t="array" ref="G80">IFERROR(INDEX('Schwab Positions'!$I$8:$I$10000,SMALL(IF('Schwab Positions'!$E$8:$E$10000=$C$2,ROW('Schwab Positions'!$E$8:$E$10000)-7,""),ROWS($G$19:$G80))),"")</f>
        <v/>
      </c>
      <c r="H80" s="100" t="str">
        <f t="shared" si="1"/>
        <v/>
      </c>
      <c r="I80" s="37" t="str" cm="1">
        <f t="array" ref="I80">IFERROR(IF($D80="Bond",IFERROR(INDEX('Schwab Positions'!$J$8:$J$10000,SMALL(IF('Schwab Positions'!$E$8:$E$10000=$C$2,ROW('Schwab Positions'!$E$8:$E$10000)-7,""),ROWS($I$19:$I80))),""),$F80*$G80),"")</f>
        <v/>
      </c>
      <c r="K80" s="117" t="str">
        <f t="shared" si="2"/>
        <v/>
      </c>
      <c r="L80" t="str">
        <f t="shared" si="3"/>
        <v/>
      </c>
      <c r="M80" s="35">
        <f>IFERROR(IF($L$5='2022 Port'!$H$3,VLOOKUP($L80,'2022 Port'!$D$6:$T$67,5,FALSE),IF($L$5='2022 Port'!$K$3,VLOOKUP($L80,'2022 Port'!$D$6:$T$67,8,FALSE),IF($L$5='2022 Port'!$N$3,VLOOKUP($L80,'2022 Port'!$D$6:$T$67,11,FALSE),IF($L$5='2022 Port'!$Q$3,VLOOKUP($L80,'2022 Port'!$D$6:$T$67,14,FALSE),IF($L$5='2022 Port'!T67,VLOOKUP($L80,'2022 Port'!$D$6:$T$67,17,FALSE),""))))),0)</f>
        <v>0</v>
      </c>
      <c r="N80" s="117" t="str">
        <f t="shared" si="6"/>
        <v/>
      </c>
      <c r="O80" s="97" t="str">
        <f>IFERROR(VLOOKUP(L80,'Schwab Positions'!$A$9:$J$10000,9,FALSE),"")</f>
        <v/>
      </c>
      <c r="P80" s="30" t="str">
        <f t="shared" si="4"/>
        <v/>
      </c>
    </row>
    <row r="81" spans="2:16">
      <c r="B81" t="str" cm="1">
        <f t="array" ref="B81">IFERROR(INDEX('Schwab Positions'!$A$8:$A$10000,SMALL(IF('Schwab Positions'!$E$8:$E$10000=$C$2,ROW('Schwab Positions'!$E$8:$E$10000)-7,""),ROWS($B$19:B81))),"")</f>
        <v/>
      </c>
      <c r="C81" t="str">
        <f>IFERROR(VLOOKUP(B81,'Schwab Positions'!$A$8:$B$10000,2,FALSE),"")</f>
        <v/>
      </c>
      <c r="D81" s="34" t="str">
        <f>IFERROR(VLOOKUP(B81,'Security Type'!$A$2:$C$1000,3,FALSE),"")</f>
        <v/>
      </c>
      <c r="E81" s="34" t="str">
        <f>IF(B81="","",IF(ISNUMBER(MATCH(B81,'2022 Port'!$D$6:$D$67,0)),VLOOKUP(B81,'Security Type'!$A$3:$D$1000,4,FALSE),"NOT IN PORT"))</f>
        <v/>
      </c>
      <c r="F81" t="str" cm="1">
        <f t="array" ref="F81">IFERROR(INDEX('Schwab Positions'!$D$8:$D$10000,SMALL(IF('Schwab Positions'!$E$8:$E$10000=$C$2,ROW('Schwab Positions'!$E$8:$E$10000)-7,""),ROWS($F$19:$F81))),"")</f>
        <v/>
      </c>
      <c r="G81" s="1" t="str" cm="1">
        <f t="array" ref="G81">IFERROR(INDEX('Schwab Positions'!$I$8:$I$10000,SMALL(IF('Schwab Positions'!$E$8:$E$10000=$C$2,ROW('Schwab Positions'!$E$8:$E$10000)-7,""),ROWS($G$19:$G81))),"")</f>
        <v/>
      </c>
      <c r="H81" s="100" t="str">
        <f t="shared" si="1"/>
        <v/>
      </c>
      <c r="I81" s="37" t="str" cm="1">
        <f t="array" ref="I81">IFERROR(IF($D81="Bond",IFERROR(INDEX('Schwab Positions'!$J$8:$J$10000,SMALL(IF('Schwab Positions'!$E$8:$E$10000=$C$2,ROW('Schwab Positions'!$E$8:$E$10000)-7,""),ROWS($I$19:$I81))),""),$F81*$G81),"")</f>
        <v/>
      </c>
      <c r="K81" s="117" t="str">
        <f t="shared" si="2"/>
        <v/>
      </c>
      <c r="L81" t="str">
        <f t="shared" si="3"/>
        <v/>
      </c>
      <c r="M81" s="35">
        <f>IFERROR(IF($L$5='2022 Port'!$H$3,VLOOKUP($L81,'2022 Port'!$D$6:$T$67,5,FALSE),IF($L$5='2022 Port'!$K$3,VLOOKUP($L81,'2022 Port'!$D$6:$T$67,8,FALSE),IF($L$5='2022 Port'!$N$3,VLOOKUP($L81,'2022 Port'!$D$6:$T$67,11,FALSE),IF($L$5='2022 Port'!$Q$3,VLOOKUP($L81,'2022 Port'!$D$6:$T$67,14,FALSE),IF($L$5='2022 Port'!T68,VLOOKUP($L81,'2022 Port'!$D$6:$T$67,17,FALSE),""))))),0)</f>
        <v>0</v>
      </c>
      <c r="N81" s="117" t="str">
        <f t="shared" si="6"/>
        <v/>
      </c>
      <c r="O81" s="97" t="str">
        <f>IFERROR(VLOOKUP(L81,'Schwab Positions'!$A$9:$J$10000,9,FALSE),"")</f>
        <v/>
      </c>
      <c r="P81" s="30" t="str">
        <f t="shared" si="4"/>
        <v/>
      </c>
    </row>
    <row r="82" spans="2:16">
      <c r="B82" t="str" cm="1">
        <f t="array" ref="B82">IFERROR(INDEX('Schwab Positions'!$A$8:$A$10000,SMALL(IF('Schwab Positions'!$E$8:$E$10000=$C$2,ROW('Schwab Positions'!$E$8:$E$10000)-7,""),ROWS($B$19:B82))),"")</f>
        <v/>
      </c>
      <c r="C82" t="str">
        <f>IFERROR(VLOOKUP(B82,'Schwab Positions'!$A$8:$B$10000,2,FALSE),"")</f>
        <v/>
      </c>
      <c r="D82" s="34" t="str">
        <f>IFERROR(VLOOKUP(B82,'Security Type'!$A$2:$C$1000,3,FALSE),"")</f>
        <v/>
      </c>
      <c r="E82" s="34" t="str">
        <f>IF(B82="","",IF(ISNUMBER(MATCH(B82,'2022 Port'!$D$6:$D$67,0)),VLOOKUP(B82,'Security Type'!$A$3:$D$1000,4,FALSE),"NOT IN PORT"))</f>
        <v/>
      </c>
      <c r="F82" t="str" cm="1">
        <f t="array" ref="F82">IFERROR(INDEX('Schwab Positions'!$D$8:$D$10000,SMALL(IF('Schwab Positions'!$E$8:$E$10000=$C$2,ROW('Schwab Positions'!$E$8:$E$10000)-7,""),ROWS($F$19:$F82))),"")</f>
        <v/>
      </c>
      <c r="G82" s="1" t="str" cm="1">
        <f t="array" ref="G82">IFERROR(INDEX('Schwab Positions'!$I$8:$I$10000,SMALL(IF('Schwab Positions'!$E$8:$E$10000=$C$2,ROW('Schwab Positions'!$E$8:$E$10000)-7,""),ROWS($G$19:$G82))),"")</f>
        <v/>
      </c>
      <c r="H82" s="100" t="str">
        <f t="shared" si="1"/>
        <v/>
      </c>
      <c r="I82" s="37" t="str" cm="1">
        <f t="array" ref="I82">IFERROR(IF($D82="Bond",IFERROR(INDEX('Schwab Positions'!$J$8:$J$10000,SMALL(IF('Schwab Positions'!$E$8:$E$10000=$C$2,ROW('Schwab Positions'!$E$8:$E$10000)-7,""),ROWS($I$19:$I82))),""),$F82*$G82),"")</f>
        <v/>
      </c>
      <c r="K82" s="117" t="str">
        <f t="shared" si="2"/>
        <v/>
      </c>
      <c r="L82" t="str">
        <f t="shared" si="3"/>
        <v/>
      </c>
      <c r="M82" s="35">
        <f>IFERROR(IF($L$5='2022 Port'!$H$3,VLOOKUP($L82,'2022 Port'!$D$6:$T$67,5,FALSE),IF($L$5='2022 Port'!$K$3,VLOOKUP($L82,'2022 Port'!$D$6:$T$67,8,FALSE),IF($L$5='2022 Port'!$N$3,VLOOKUP($L82,'2022 Port'!$D$6:$T$67,11,FALSE),IF($L$5='2022 Port'!$Q$3,VLOOKUP($L82,'2022 Port'!$D$6:$T$67,14,FALSE),IF($L$5='2022 Port'!T69,VLOOKUP($L82,'2022 Port'!$D$6:$T$67,17,FALSE),""))))),0)</f>
        <v>0</v>
      </c>
      <c r="N82" s="117" t="str">
        <f t="shared" si="6"/>
        <v/>
      </c>
      <c r="O82" s="97" t="str">
        <f>IFERROR(VLOOKUP(L82,'Schwab Positions'!$A$9:$J$10000,9,FALSE),"")</f>
        <v/>
      </c>
      <c r="P82" s="30" t="str">
        <f t="shared" si="4"/>
        <v/>
      </c>
    </row>
    <row r="83" spans="2:16">
      <c r="B83" t="str" cm="1">
        <f t="array" ref="B83">IFERROR(INDEX('Schwab Positions'!$A$8:$A$10000,SMALL(IF('Schwab Positions'!$E$8:$E$10000=$C$2,ROW('Schwab Positions'!$E$8:$E$10000)-7,""),ROWS($B$19:B83))),"")</f>
        <v/>
      </c>
      <c r="C83" t="str">
        <f>IFERROR(VLOOKUP(B83,'Schwab Positions'!$A$8:$B$10000,2,FALSE),"")</f>
        <v/>
      </c>
      <c r="D83" s="34" t="str">
        <f>IFERROR(VLOOKUP(B83,'Security Type'!$A$2:$C$1000,3,FALSE),"")</f>
        <v/>
      </c>
      <c r="E83" s="34" t="str">
        <f>IF(B83="","",IF(ISNUMBER(MATCH(B83,'2022 Port'!$D$6:$D$67,0)),VLOOKUP(B83,'Security Type'!$A$3:$D$1000,4,FALSE),"NOT IN PORT"))</f>
        <v/>
      </c>
      <c r="F83" t="str" cm="1">
        <f t="array" ref="F83">IFERROR(INDEX('Schwab Positions'!$D$8:$D$10000,SMALL(IF('Schwab Positions'!$E$8:$E$10000=$C$2,ROW('Schwab Positions'!$E$8:$E$10000)-7,""),ROWS($F$19:$F83))),"")</f>
        <v/>
      </c>
      <c r="G83" s="1" t="str" cm="1">
        <f t="array" ref="G83">IFERROR(INDEX('Schwab Positions'!$I$8:$I$10000,SMALL(IF('Schwab Positions'!$E$8:$E$10000=$C$2,ROW('Schwab Positions'!$E$8:$E$10000)-7,""),ROWS($G$19:$G83))),"")</f>
        <v/>
      </c>
      <c r="H83" s="100" t="str">
        <f t="shared" si="1"/>
        <v/>
      </c>
      <c r="I83" s="37" t="str" cm="1">
        <f t="array" ref="I83">IFERROR(IF($D83="Bond",IFERROR(INDEX('Schwab Positions'!$J$8:$J$10000,SMALL(IF('Schwab Positions'!$E$8:$E$10000=$C$2,ROW('Schwab Positions'!$E$8:$E$10000)-7,""),ROWS($I$19:$I83))),""),$F83*$G83),"")</f>
        <v/>
      </c>
      <c r="K83" s="117" t="str">
        <f t="shared" si="2"/>
        <v/>
      </c>
      <c r="L83" t="str">
        <f t="shared" si="3"/>
        <v/>
      </c>
      <c r="M83" s="35">
        <f>IFERROR(IF($L$5='2022 Port'!$H$3,VLOOKUP($L83,'2022 Port'!$D$6:$T$67,5,FALSE),IF($L$5='2022 Port'!$K$3,VLOOKUP($L83,'2022 Port'!$D$6:$T$67,8,FALSE),IF($L$5='2022 Port'!$N$3,VLOOKUP($L83,'2022 Port'!$D$6:$T$67,11,FALSE),IF($L$5='2022 Port'!$Q$3,VLOOKUP($L83,'2022 Port'!$D$6:$T$67,14,FALSE),IF($L$5='2022 Port'!T70,VLOOKUP($L83,'2022 Port'!$D$6:$T$67,17,FALSE),""))))),0)</f>
        <v>0</v>
      </c>
      <c r="N83" s="117" t="str">
        <f t="shared" si="6"/>
        <v/>
      </c>
      <c r="O83" s="97" t="str">
        <f>IFERROR(VLOOKUP(L83,'Schwab Positions'!$A$9:$J$10000,9,FALSE),"")</f>
        <v/>
      </c>
      <c r="P83" s="30" t="str">
        <f t="shared" si="4"/>
        <v/>
      </c>
    </row>
    <row r="84" spans="2:16">
      <c r="B84" t="str" cm="1">
        <f t="array" ref="B84">IFERROR(INDEX('Schwab Positions'!$A$8:$A$10000,SMALL(IF('Schwab Positions'!$E$8:$E$10000=$C$2,ROW('Schwab Positions'!$E$8:$E$10000)-7,""),ROWS($B$19:B84))),"")</f>
        <v/>
      </c>
      <c r="C84" t="str">
        <f>IFERROR(VLOOKUP(B84,'Schwab Positions'!$A$8:$B$10000,2,FALSE),"")</f>
        <v/>
      </c>
      <c r="D84" s="34" t="str">
        <f>IFERROR(VLOOKUP(B84,'Security Type'!$A$2:$C$1000,3,FALSE),"")</f>
        <v/>
      </c>
      <c r="E84" s="34" t="str">
        <f>IF(B84="","",IF(ISNUMBER(MATCH(B84,'2022 Port'!$D$6:$D$67,0)),VLOOKUP(B84,'Security Type'!$A$3:$D$1000,4,FALSE),"NOT IN PORT"))</f>
        <v/>
      </c>
      <c r="F84" t="str" cm="1">
        <f t="array" ref="F84">IFERROR(INDEX('Schwab Positions'!$D$8:$D$10000,SMALL(IF('Schwab Positions'!$E$8:$E$10000=$C$2,ROW('Schwab Positions'!$E$8:$E$10000)-7,""),ROWS($F$19:$F84))),"")</f>
        <v/>
      </c>
      <c r="G84" s="1" t="str" cm="1">
        <f t="array" ref="G84">IFERROR(INDEX('Schwab Positions'!$I$8:$I$10000,SMALL(IF('Schwab Positions'!$E$8:$E$10000=$C$2,ROW('Schwab Positions'!$E$8:$E$10000)-7,""),ROWS($G$19:$G84))),"")</f>
        <v/>
      </c>
      <c r="H84" s="100" t="str">
        <f t="shared" ref="H84:H147" si="7">IFERROR(I84/$C$15,"")</f>
        <v/>
      </c>
      <c r="I84" s="37" t="str" cm="1">
        <f t="array" ref="I84">IFERROR(IF($D84="Bond",IFERROR(INDEX('Schwab Positions'!$J$8:$J$10000,SMALL(IF('Schwab Positions'!$E$8:$E$10000=$C$2,ROW('Schwab Positions'!$E$8:$E$10000)-7,""),ROWS($I$19:$I84))),""),$F84*$G84),"")</f>
        <v/>
      </c>
      <c r="K84" s="117" t="str">
        <f t="shared" ref="K84:K142" si="8">IFERROR(IF(OR(M84*0.9&gt;VLOOKUP(L84,$B$19:$I$1000,7,FALSE),M84*1.1&lt;VLOOKUP(L84,$B$19:$I$1000,7,FALSE)),(N84-VLOOKUP(L84,$B$19:$I$1000,5,FALSE)),IF(OR(M84*0.9&lt;=VLOOKUP(L84,$B$19:$I$1000,7,FALSE),M84*1.1&gt;=VLOOKUP(L84,$B$19:$I$1000,7,FALSE)),"IN PORTFOLIO %",M84*$C$15/O84)),"")</f>
        <v/>
      </c>
      <c r="L84" t="str">
        <f t="shared" ref="L84:L142" si="9">B84</f>
        <v/>
      </c>
      <c r="M84" s="35">
        <f>IFERROR(IF($L$5='2022 Port'!$H$3,VLOOKUP($L84,'2022 Port'!$D$6:$T$67,5,FALSE),IF($L$5='2022 Port'!$K$3,VLOOKUP($L84,'2022 Port'!$D$6:$T$67,8,FALSE),IF($L$5='2022 Port'!$N$3,VLOOKUP($L84,'2022 Port'!$D$6:$T$67,11,FALSE),IF($L$5='2022 Port'!$Q$3,VLOOKUP($L84,'2022 Port'!$D$6:$T$67,14,FALSE),IF($L$5='2022 Port'!T71,VLOOKUP($L84,'2022 Port'!$D$6:$T$67,17,FALSE),""))))),0)</f>
        <v>0</v>
      </c>
      <c r="N84" s="117" t="str">
        <f t="shared" si="6"/>
        <v/>
      </c>
      <c r="O84" s="97" t="str">
        <f>IFERROR(VLOOKUP(L84,'Schwab Positions'!$A$9:$J$10000,9,FALSE),"")</f>
        <v/>
      </c>
      <c r="P84" s="30" t="str">
        <f t="shared" ref="P84:P142" si="10">IFERROR(O84*N84,"")</f>
        <v/>
      </c>
    </row>
    <row r="85" spans="2:16">
      <c r="B85" t="str" cm="1">
        <f t="array" ref="B85">IFERROR(INDEX('Schwab Positions'!$A$8:$A$10000,SMALL(IF('Schwab Positions'!$E$8:$E$10000=$C$2,ROW('Schwab Positions'!$E$8:$E$10000)-7,""),ROWS($B$19:B85))),"")</f>
        <v/>
      </c>
      <c r="C85" t="str">
        <f>IFERROR(VLOOKUP(B85,'Schwab Positions'!$A$8:$B$10000,2,FALSE),"")</f>
        <v/>
      </c>
      <c r="D85" s="34" t="str">
        <f>IFERROR(VLOOKUP(B85,'Security Type'!$A$2:$C$1000,3,FALSE),"")</f>
        <v/>
      </c>
      <c r="E85" s="34" t="str">
        <f>IF(B85="","",IF(ISNUMBER(MATCH(B85,'2022 Port'!$D$6:$D$67,0)),VLOOKUP(B85,'Security Type'!$A$3:$D$1000,4,FALSE),"NOT IN PORT"))</f>
        <v/>
      </c>
      <c r="F85" t="str" cm="1">
        <f t="array" ref="F85">IFERROR(INDEX('Schwab Positions'!$D$8:$D$10000,SMALL(IF('Schwab Positions'!$E$8:$E$10000=$C$2,ROW('Schwab Positions'!$E$8:$E$10000)-7,""),ROWS($F$19:$F85))),"")</f>
        <v/>
      </c>
      <c r="G85" s="1" t="str" cm="1">
        <f t="array" ref="G85">IFERROR(INDEX('Schwab Positions'!$I$8:$I$10000,SMALL(IF('Schwab Positions'!$E$8:$E$10000=$C$2,ROW('Schwab Positions'!$E$8:$E$10000)-7,""),ROWS($G$19:$G85))),"")</f>
        <v/>
      </c>
      <c r="H85" s="100" t="str">
        <f t="shared" si="7"/>
        <v/>
      </c>
      <c r="I85" s="37" t="str" cm="1">
        <f t="array" ref="I85">IFERROR(IF($D85="Bond",IFERROR(INDEX('Schwab Positions'!$J$8:$J$10000,SMALL(IF('Schwab Positions'!$E$8:$E$10000=$C$2,ROW('Schwab Positions'!$E$8:$E$10000)-7,""),ROWS($I$19:$I85))),""),$F85*$G85),"")</f>
        <v/>
      </c>
      <c r="K85" s="117" t="str">
        <f t="shared" si="8"/>
        <v/>
      </c>
      <c r="L85" t="str">
        <f t="shared" si="9"/>
        <v/>
      </c>
      <c r="M85" s="35">
        <f>IFERROR(IF($L$5='2022 Port'!$H$3,VLOOKUP($L85,'2022 Port'!$D$6:$T$67,5,FALSE),IF($L$5='2022 Port'!$K$3,VLOOKUP($L85,'2022 Port'!$D$6:$T$67,8,FALSE),IF($L$5='2022 Port'!$N$3,VLOOKUP($L85,'2022 Port'!$D$6:$T$67,11,FALSE),IF($L$5='2022 Port'!$Q$3,VLOOKUP($L85,'2022 Port'!$D$6:$T$67,14,FALSE),IF($L$5='2022 Port'!T72,VLOOKUP($L85,'2022 Port'!$D$6:$T$67,17,FALSE),""))))),0)</f>
        <v>0</v>
      </c>
      <c r="N85" s="117" t="str">
        <f t="shared" si="6"/>
        <v/>
      </c>
      <c r="O85" s="97" t="str">
        <f>IFERROR(VLOOKUP(L85,'Schwab Positions'!$A$9:$J$10000,9,FALSE),"")</f>
        <v/>
      </c>
      <c r="P85" s="30" t="str">
        <f t="shared" si="10"/>
        <v/>
      </c>
    </row>
    <row r="86" spans="2:16">
      <c r="B86" t="str" cm="1">
        <f t="array" ref="B86">IFERROR(INDEX('Schwab Positions'!$A$8:$A$10000,SMALL(IF('Schwab Positions'!$E$8:$E$10000=$C$2,ROW('Schwab Positions'!$E$8:$E$10000)-7,""),ROWS($B$19:B86))),"")</f>
        <v/>
      </c>
      <c r="C86" t="str">
        <f>IFERROR(VLOOKUP(B86,'Schwab Positions'!$A$8:$B$10000,2,FALSE),"")</f>
        <v/>
      </c>
      <c r="D86" s="34" t="str">
        <f>IFERROR(VLOOKUP(B86,'Security Type'!$A$2:$C$1000,3,FALSE),"")</f>
        <v/>
      </c>
      <c r="E86" s="34" t="str">
        <f>IF(B86="","",IF(ISNUMBER(MATCH(B86,'2022 Port'!$D$6:$D$67,0)),VLOOKUP(B86,'Security Type'!$A$3:$D$1000,4,FALSE),"NOT IN PORT"))</f>
        <v/>
      </c>
      <c r="F86" t="str" cm="1">
        <f t="array" ref="F86">IFERROR(INDEX('Schwab Positions'!$D$8:$D$10000,SMALL(IF('Schwab Positions'!$E$8:$E$10000=$C$2,ROW('Schwab Positions'!$E$8:$E$10000)-7,""),ROWS($F$19:$F86))),"")</f>
        <v/>
      </c>
      <c r="G86" s="1" t="str" cm="1">
        <f t="array" ref="G86">IFERROR(INDEX('Schwab Positions'!$I$8:$I$10000,SMALL(IF('Schwab Positions'!$E$8:$E$10000=$C$2,ROW('Schwab Positions'!$E$8:$E$10000)-7,""),ROWS($G$19:$G86))),"")</f>
        <v/>
      </c>
      <c r="H86" s="100" t="str">
        <f t="shared" si="7"/>
        <v/>
      </c>
      <c r="I86" s="37" t="str" cm="1">
        <f t="array" ref="I86">IFERROR(IF($D86="Bond",IFERROR(INDEX('Schwab Positions'!$J$8:$J$10000,SMALL(IF('Schwab Positions'!$E$8:$E$10000=$C$2,ROW('Schwab Positions'!$E$8:$E$10000)-7,""),ROWS($I$19:$I86))),""),$F86*$G86),"")</f>
        <v/>
      </c>
      <c r="K86" s="117" t="str">
        <f t="shared" si="8"/>
        <v/>
      </c>
      <c r="L86" t="str">
        <f t="shared" si="9"/>
        <v/>
      </c>
      <c r="M86" s="35">
        <f>IFERROR(IF($L$5='2022 Port'!$H$3,VLOOKUP($L86,'2022 Port'!$D$6:$T$67,5,FALSE),IF($L$5='2022 Port'!$K$3,VLOOKUP($L86,'2022 Port'!$D$6:$T$67,8,FALSE),IF($L$5='2022 Port'!$N$3,VLOOKUP($L86,'2022 Port'!$D$6:$T$67,11,FALSE),IF($L$5='2022 Port'!$Q$3,VLOOKUP($L86,'2022 Port'!$D$6:$T$67,14,FALSE),IF($L$5='2022 Port'!T73,VLOOKUP($L86,'2022 Port'!$D$6:$T$67,17,FALSE),""))))),0)</f>
        <v>0</v>
      </c>
      <c r="N86" s="117" t="str">
        <f t="shared" si="6"/>
        <v/>
      </c>
      <c r="O86" s="97" t="str">
        <f>IFERROR(VLOOKUP(L86,'Schwab Positions'!$A$9:$J$10000,9,FALSE),"")</f>
        <v/>
      </c>
      <c r="P86" s="30" t="str">
        <f t="shared" si="10"/>
        <v/>
      </c>
    </row>
    <row r="87" spans="2:16">
      <c r="B87" t="str" cm="1">
        <f t="array" ref="B87">IFERROR(INDEX('Schwab Positions'!$A$8:$A$10000,SMALL(IF('Schwab Positions'!$E$8:$E$10000=$C$2,ROW('Schwab Positions'!$E$8:$E$10000)-7,""),ROWS($B$19:B87))),"")</f>
        <v/>
      </c>
      <c r="C87" t="str">
        <f>IFERROR(VLOOKUP(B87,'Schwab Positions'!$A$8:$B$10000,2,FALSE),"")</f>
        <v/>
      </c>
      <c r="D87" s="34" t="str">
        <f>IFERROR(VLOOKUP(B87,'Security Type'!$A$2:$C$1000,3,FALSE),"")</f>
        <v/>
      </c>
      <c r="E87" s="34" t="str">
        <f>IF(B87="","",IF(ISNUMBER(MATCH(B87,'2022 Port'!$D$6:$D$67,0)),VLOOKUP(B87,'Security Type'!$A$3:$D$1000,4,FALSE),"NOT IN PORT"))</f>
        <v/>
      </c>
      <c r="F87" t="str" cm="1">
        <f t="array" ref="F87">IFERROR(INDEX('Schwab Positions'!$D$8:$D$10000,SMALL(IF('Schwab Positions'!$E$8:$E$10000=$C$2,ROW('Schwab Positions'!$E$8:$E$10000)-7,""),ROWS($F$19:$F87))),"")</f>
        <v/>
      </c>
      <c r="G87" s="1" t="str" cm="1">
        <f t="array" ref="G87">IFERROR(INDEX('Schwab Positions'!$I$8:$I$10000,SMALL(IF('Schwab Positions'!$E$8:$E$10000=$C$2,ROW('Schwab Positions'!$E$8:$E$10000)-7,""),ROWS($G$19:$G87))),"")</f>
        <v/>
      </c>
      <c r="H87" s="100" t="str">
        <f t="shared" si="7"/>
        <v/>
      </c>
      <c r="I87" s="37" t="str" cm="1">
        <f t="array" ref="I87">IFERROR(IF($D87="Bond",IFERROR(INDEX('Schwab Positions'!$J$8:$J$10000,SMALL(IF('Schwab Positions'!$E$8:$E$10000=$C$2,ROW('Schwab Positions'!$E$8:$E$10000)-7,""),ROWS($I$19:$I87))),""),$F87*$G87),"")</f>
        <v/>
      </c>
      <c r="K87" s="117" t="str">
        <f t="shared" si="8"/>
        <v/>
      </c>
      <c r="L87" t="str">
        <f t="shared" si="9"/>
        <v/>
      </c>
      <c r="M87" s="35">
        <f>IFERROR(IF($L$5='2022 Port'!$H$3,VLOOKUP($L87,'2022 Port'!$D$6:$T$67,5,FALSE),IF($L$5='2022 Port'!$K$3,VLOOKUP($L87,'2022 Port'!$D$6:$T$67,8,FALSE),IF($L$5='2022 Port'!$N$3,VLOOKUP($L87,'2022 Port'!$D$6:$T$67,11,FALSE),IF($L$5='2022 Port'!$Q$3,VLOOKUP($L87,'2022 Port'!$D$6:$T$67,14,FALSE),IF($L$5='2022 Port'!T74,VLOOKUP($L87,'2022 Port'!$D$6:$T$67,17,FALSE),""))))),0)</f>
        <v>0</v>
      </c>
      <c r="N87" s="117" t="str">
        <f t="shared" si="6"/>
        <v/>
      </c>
      <c r="O87" s="97" t="str">
        <f>IFERROR(VLOOKUP(L87,'Schwab Positions'!$A$9:$J$10000,9,FALSE),"")</f>
        <v/>
      </c>
      <c r="P87" s="30" t="str">
        <f t="shared" si="10"/>
        <v/>
      </c>
    </row>
    <row r="88" spans="2:16">
      <c r="B88" t="str" cm="1">
        <f t="array" ref="B88">IFERROR(INDEX('Schwab Positions'!$A$8:$A$10000,SMALL(IF('Schwab Positions'!$E$8:$E$10000=$C$2,ROW('Schwab Positions'!$E$8:$E$10000)-7,""),ROWS($B$19:B88))),"")</f>
        <v/>
      </c>
      <c r="C88" t="str">
        <f>IFERROR(VLOOKUP(B88,'Schwab Positions'!$A$8:$B$10000,2,FALSE),"")</f>
        <v/>
      </c>
      <c r="D88" s="34" t="str">
        <f>IFERROR(VLOOKUP(B88,'Security Type'!$A$2:$C$1000,3,FALSE),"")</f>
        <v/>
      </c>
      <c r="E88" s="34" t="str">
        <f>IF(B88="","",IF(ISNUMBER(MATCH(B88,'2022 Port'!$D$6:$D$67,0)),VLOOKUP(B88,'Security Type'!$A$3:$D$1000,4,FALSE),"NOT IN PORT"))</f>
        <v/>
      </c>
      <c r="F88" t="str" cm="1">
        <f t="array" ref="F88">IFERROR(INDEX('Schwab Positions'!$D$8:$D$10000,SMALL(IF('Schwab Positions'!$E$8:$E$10000=$C$2,ROW('Schwab Positions'!$E$8:$E$10000)-7,""),ROWS($F$19:$F88))),"")</f>
        <v/>
      </c>
      <c r="G88" s="1" t="str" cm="1">
        <f t="array" ref="G88">IFERROR(INDEX('Schwab Positions'!$I$8:$I$10000,SMALL(IF('Schwab Positions'!$E$8:$E$10000=$C$2,ROW('Schwab Positions'!$E$8:$E$10000)-7,""),ROWS($G$19:$G88))),"")</f>
        <v/>
      </c>
      <c r="H88" s="100" t="str">
        <f t="shared" si="7"/>
        <v/>
      </c>
      <c r="I88" s="37" t="str" cm="1">
        <f t="array" ref="I88">IFERROR(IF($D88="Bond",IFERROR(INDEX('Schwab Positions'!$J$8:$J$10000,SMALL(IF('Schwab Positions'!$E$8:$E$10000=$C$2,ROW('Schwab Positions'!$E$8:$E$10000)-7,""),ROWS($I$19:$I88))),""),$F88*$G88),"")</f>
        <v/>
      </c>
      <c r="K88" s="117" t="str">
        <f t="shared" si="8"/>
        <v/>
      </c>
      <c r="L88" t="str">
        <f t="shared" si="9"/>
        <v/>
      </c>
      <c r="M88" s="35">
        <f>IFERROR(IF($L$5='2022 Port'!$H$3,VLOOKUP($L88,'2022 Port'!$D$6:$T$67,5,FALSE),IF($L$5='2022 Port'!$K$3,VLOOKUP($L88,'2022 Port'!$D$6:$T$67,8,FALSE),IF($L$5='2022 Port'!$N$3,VLOOKUP($L88,'2022 Port'!$D$6:$T$67,11,FALSE),IF($L$5='2022 Port'!$Q$3,VLOOKUP($L88,'2022 Port'!$D$6:$T$67,14,FALSE),IF($L$5='2022 Port'!T75,VLOOKUP($L88,'2022 Port'!$D$6:$T$67,17,FALSE),""))))),0)</f>
        <v>0</v>
      </c>
      <c r="N88" s="117" t="str">
        <f t="shared" si="6"/>
        <v/>
      </c>
      <c r="O88" s="97" t="str">
        <f>IFERROR(VLOOKUP(L88,'Schwab Positions'!$A$9:$J$10000,9,FALSE),"")</f>
        <v/>
      </c>
      <c r="P88" s="30" t="str">
        <f t="shared" si="10"/>
        <v/>
      </c>
    </row>
    <row r="89" spans="2:16">
      <c r="B89" t="str" cm="1">
        <f t="array" ref="B89">IFERROR(INDEX('Schwab Positions'!$A$8:$A$10000,SMALL(IF('Schwab Positions'!$E$8:$E$10000=$C$2,ROW('Schwab Positions'!$E$8:$E$10000)-7,""),ROWS($B$19:B89))),"")</f>
        <v/>
      </c>
      <c r="C89" t="str">
        <f>IFERROR(VLOOKUP(B89,'Schwab Positions'!$A$8:$B$10000,2,FALSE),"")</f>
        <v/>
      </c>
      <c r="D89" s="34" t="str">
        <f>IFERROR(VLOOKUP(B89,'Security Type'!$A$2:$C$1000,3,FALSE),"")</f>
        <v/>
      </c>
      <c r="E89" s="34" t="str">
        <f>IF(B89="","",IF(ISNUMBER(MATCH(B89,'2022 Port'!$D$6:$D$67,0)),VLOOKUP(B89,'Security Type'!$A$3:$D$1000,4,FALSE),"NOT IN PORT"))</f>
        <v/>
      </c>
      <c r="F89" t="str" cm="1">
        <f t="array" ref="F89">IFERROR(INDEX('Schwab Positions'!$D$8:$D$10000,SMALL(IF('Schwab Positions'!$E$8:$E$10000=$C$2,ROW('Schwab Positions'!$E$8:$E$10000)-7,""),ROWS($F$19:$F89))),"")</f>
        <v/>
      </c>
      <c r="G89" s="1" t="str" cm="1">
        <f t="array" ref="G89">IFERROR(INDEX('Schwab Positions'!$I$8:$I$10000,SMALL(IF('Schwab Positions'!$E$8:$E$10000=$C$2,ROW('Schwab Positions'!$E$8:$E$10000)-7,""),ROWS($G$19:$G89))),"")</f>
        <v/>
      </c>
      <c r="H89" s="100" t="str">
        <f t="shared" si="7"/>
        <v/>
      </c>
      <c r="I89" s="37" t="str" cm="1">
        <f t="array" ref="I89">IFERROR(IF($D89="Bond",IFERROR(INDEX('Schwab Positions'!$J$8:$J$10000,SMALL(IF('Schwab Positions'!$E$8:$E$10000=$C$2,ROW('Schwab Positions'!$E$8:$E$10000)-7,""),ROWS($I$19:$I89))),""),$F89*$G89),"")</f>
        <v/>
      </c>
      <c r="K89" s="117" t="str">
        <f t="shared" si="8"/>
        <v/>
      </c>
      <c r="L89" t="str">
        <f t="shared" si="9"/>
        <v/>
      </c>
      <c r="M89" s="35">
        <f>IFERROR(IF($L$5='2022 Port'!$H$3,VLOOKUP($L89,'2022 Port'!$D$6:$T$67,5,FALSE),IF($L$5='2022 Port'!$K$3,VLOOKUP($L89,'2022 Port'!$D$6:$T$67,8,FALSE),IF($L$5='2022 Port'!$N$3,VLOOKUP($L89,'2022 Port'!$D$6:$T$67,11,FALSE),IF($L$5='2022 Port'!$Q$3,VLOOKUP($L89,'2022 Port'!$D$6:$T$67,14,FALSE),IF($L$5='2022 Port'!T76,VLOOKUP($L89,'2022 Port'!$D$6:$T$67,17,FALSE),""))))),0)</f>
        <v>0</v>
      </c>
      <c r="N89" s="117" t="str">
        <f t="shared" si="6"/>
        <v/>
      </c>
      <c r="O89" s="97" t="str">
        <f>IFERROR(VLOOKUP(L89,'Schwab Positions'!$A$9:$J$10000,9,FALSE),"")</f>
        <v/>
      </c>
      <c r="P89" s="30" t="str">
        <f t="shared" si="10"/>
        <v/>
      </c>
    </row>
    <row r="90" spans="2:16">
      <c r="B90" t="str" cm="1">
        <f t="array" ref="B90">IFERROR(INDEX('Schwab Positions'!$A$8:$A$10000,SMALL(IF('Schwab Positions'!$E$8:$E$10000=$C$2,ROW('Schwab Positions'!$E$8:$E$10000)-7,""),ROWS($B$19:B90))),"")</f>
        <v/>
      </c>
      <c r="C90" t="str">
        <f>IFERROR(VLOOKUP(B90,'Schwab Positions'!$A$8:$B$10000,2,FALSE),"")</f>
        <v/>
      </c>
      <c r="D90" s="34" t="str">
        <f>IFERROR(VLOOKUP(B90,'Security Type'!$A$2:$C$1000,3,FALSE),"")</f>
        <v/>
      </c>
      <c r="E90" s="34" t="str">
        <f>IF(B90="","",IF(ISNUMBER(MATCH(B90,'2022 Port'!$D$6:$D$67,0)),VLOOKUP(B90,'Security Type'!$A$3:$D$1000,4,FALSE),"NOT IN PORT"))</f>
        <v/>
      </c>
      <c r="F90" t="str" cm="1">
        <f t="array" ref="F90">IFERROR(INDEX('Schwab Positions'!$D$8:$D$10000,SMALL(IF('Schwab Positions'!$E$8:$E$10000=$C$2,ROW('Schwab Positions'!$E$8:$E$10000)-7,""),ROWS($F$19:$F90))),"")</f>
        <v/>
      </c>
      <c r="G90" s="1" t="str" cm="1">
        <f t="array" ref="G90">IFERROR(INDEX('Schwab Positions'!$I$8:$I$10000,SMALL(IF('Schwab Positions'!$E$8:$E$10000=$C$2,ROW('Schwab Positions'!$E$8:$E$10000)-7,""),ROWS($G$19:$G90))),"")</f>
        <v/>
      </c>
      <c r="H90" s="100" t="str">
        <f t="shared" si="7"/>
        <v/>
      </c>
      <c r="I90" s="37" t="str" cm="1">
        <f t="array" ref="I90">IFERROR(IF($D90="Bond",IFERROR(INDEX('Schwab Positions'!$J$8:$J$10000,SMALL(IF('Schwab Positions'!$E$8:$E$10000=$C$2,ROW('Schwab Positions'!$E$8:$E$10000)-7,""),ROWS($I$19:$I90))),""),$F90*$G90),"")</f>
        <v/>
      </c>
      <c r="K90" s="117" t="str">
        <f t="shared" si="8"/>
        <v/>
      </c>
      <c r="L90" t="str">
        <f t="shared" si="9"/>
        <v/>
      </c>
      <c r="M90" s="35">
        <f>IFERROR(IF($L$5='2022 Port'!$H$3,VLOOKUP($L90,'2022 Port'!$D$6:$T$67,5,FALSE),IF($L$5='2022 Port'!$K$3,VLOOKUP($L90,'2022 Port'!$D$6:$T$67,8,FALSE),IF($L$5='2022 Port'!$N$3,VLOOKUP($L90,'2022 Port'!$D$6:$T$67,11,FALSE),IF($L$5='2022 Port'!$Q$3,VLOOKUP($L90,'2022 Port'!$D$6:$T$67,14,FALSE),IF($L$5='2022 Port'!T77,VLOOKUP($L90,'2022 Port'!$D$6:$T$67,17,FALSE),""))))),0)</f>
        <v>0</v>
      </c>
      <c r="N90" s="117" t="str">
        <f t="shared" si="6"/>
        <v/>
      </c>
      <c r="O90" s="97" t="str">
        <f>IFERROR(VLOOKUP(L90,'Schwab Positions'!$A$9:$J$10000,9,FALSE),"")</f>
        <v/>
      </c>
      <c r="P90" s="30" t="str">
        <f t="shared" si="10"/>
        <v/>
      </c>
    </row>
    <row r="91" spans="2:16">
      <c r="B91" t="str" cm="1">
        <f t="array" ref="B91">IFERROR(INDEX('Schwab Positions'!$A$8:$A$10000,SMALL(IF('Schwab Positions'!$E$8:$E$10000=$C$2,ROW('Schwab Positions'!$E$8:$E$10000)-7,""),ROWS($B$19:B91))),"")</f>
        <v/>
      </c>
      <c r="C91" t="str">
        <f>IFERROR(VLOOKUP(B91,'Schwab Positions'!$A$8:$B$10000,2,FALSE),"")</f>
        <v/>
      </c>
      <c r="D91" s="34" t="str">
        <f>IFERROR(VLOOKUP(B91,'Security Type'!$A$2:$C$1000,3,FALSE),"")</f>
        <v/>
      </c>
      <c r="E91" s="34" t="str">
        <f>IF(B91="","",IF(ISNUMBER(MATCH(B91,'2022 Port'!$D$6:$D$67,0)),VLOOKUP(B91,'Security Type'!$A$3:$D$1000,4,FALSE),"NOT IN PORT"))</f>
        <v/>
      </c>
      <c r="F91" t="str" cm="1">
        <f t="array" ref="F91">IFERROR(INDEX('Schwab Positions'!$D$8:$D$10000,SMALL(IF('Schwab Positions'!$E$8:$E$10000=$C$2,ROW('Schwab Positions'!$E$8:$E$10000)-7,""),ROWS($F$19:$F91))),"")</f>
        <v/>
      </c>
      <c r="G91" s="1" t="str" cm="1">
        <f t="array" ref="G91">IFERROR(INDEX('Schwab Positions'!$I$8:$I$10000,SMALL(IF('Schwab Positions'!$E$8:$E$10000=$C$2,ROW('Schwab Positions'!$E$8:$E$10000)-7,""),ROWS($G$19:$G91))),"")</f>
        <v/>
      </c>
      <c r="H91" s="100" t="str">
        <f t="shared" si="7"/>
        <v/>
      </c>
      <c r="I91" s="37" t="str" cm="1">
        <f t="array" ref="I91">IFERROR(IF($D91="Bond",IFERROR(INDEX('Schwab Positions'!$J$8:$J$10000,SMALL(IF('Schwab Positions'!$E$8:$E$10000=$C$2,ROW('Schwab Positions'!$E$8:$E$10000)-7,""),ROWS($I$19:$I91))),""),$F91*$G91),"")</f>
        <v/>
      </c>
      <c r="K91" s="117" t="str">
        <f t="shared" si="8"/>
        <v/>
      </c>
      <c r="L91" t="str">
        <f t="shared" si="9"/>
        <v/>
      </c>
      <c r="M91" s="35">
        <f>IFERROR(IF($L$5='2022 Port'!$H$3,VLOOKUP($L91,'2022 Port'!$D$6:$T$67,5,FALSE),IF($L$5='2022 Port'!$K$3,VLOOKUP($L91,'2022 Port'!$D$6:$T$67,8,FALSE),IF($L$5='2022 Port'!$N$3,VLOOKUP($L91,'2022 Port'!$D$6:$T$67,11,FALSE),IF($L$5='2022 Port'!$Q$3,VLOOKUP($L91,'2022 Port'!$D$6:$T$67,14,FALSE),IF($L$5='2022 Port'!T78,VLOOKUP($L91,'2022 Port'!$D$6:$T$67,17,FALSE),""))))),0)</f>
        <v>0</v>
      </c>
      <c r="N91" s="117" t="str">
        <f t="shared" si="6"/>
        <v/>
      </c>
      <c r="O91" s="97" t="str">
        <f>IFERROR(VLOOKUP(L91,'Schwab Positions'!$A$9:$J$10000,9,FALSE),"")</f>
        <v/>
      </c>
      <c r="P91" s="30" t="str">
        <f t="shared" si="10"/>
        <v/>
      </c>
    </row>
    <row r="92" spans="2:16">
      <c r="B92" t="str" cm="1">
        <f t="array" ref="B92">IFERROR(INDEX('Schwab Positions'!$A$8:$A$10000,SMALL(IF('Schwab Positions'!$E$8:$E$10000=$C$2,ROW('Schwab Positions'!$E$8:$E$10000)-7,""),ROWS($B$19:B92))),"")</f>
        <v/>
      </c>
      <c r="C92" t="str">
        <f>IFERROR(VLOOKUP(B92,'Schwab Positions'!$A$8:$B$10000,2,FALSE),"")</f>
        <v/>
      </c>
      <c r="D92" s="34" t="str">
        <f>IFERROR(VLOOKUP(B92,'Security Type'!$A$2:$C$1000,3,FALSE),"")</f>
        <v/>
      </c>
      <c r="E92" s="34" t="str">
        <f>IF(B92="","",IF(ISNUMBER(MATCH(B92,'2022 Port'!$D$6:$D$67,0)),VLOOKUP(B92,'Security Type'!$A$3:$D$1000,4,FALSE),"NOT IN PORT"))</f>
        <v/>
      </c>
      <c r="F92" t="str" cm="1">
        <f t="array" ref="F92">IFERROR(INDEX('Schwab Positions'!$D$8:$D$10000,SMALL(IF('Schwab Positions'!$E$8:$E$10000=$C$2,ROW('Schwab Positions'!$E$8:$E$10000)-7,""),ROWS($F$19:$F92))),"")</f>
        <v/>
      </c>
      <c r="G92" s="1" t="str" cm="1">
        <f t="array" ref="G92">IFERROR(INDEX('Schwab Positions'!$I$8:$I$10000,SMALL(IF('Schwab Positions'!$E$8:$E$10000=$C$2,ROW('Schwab Positions'!$E$8:$E$10000)-7,""),ROWS($G$19:$G92))),"")</f>
        <v/>
      </c>
      <c r="H92" s="100" t="str">
        <f t="shared" si="7"/>
        <v/>
      </c>
      <c r="I92" s="37" t="str" cm="1">
        <f t="array" ref="I92">IFERROR(IF($D92="Bond",IFERROR(INDEX('Schwab Positions'!$J$8:$J$10000,SMALL(IF('Schwab Positions'!$E$8:$E$10000=$C$2,ROW('Schwab Positions'!$E$8:$E$10000)-7,""),ROWS($I$19:$I92))),""),$F92*$G92),"")</f>
        <v/>
      </c>
      <c r="K92" s="117" t="str">
        <f t="shared" si="8"/>
        <v/>
      </c>
      <c r="L92" t="str">
        <f t="shared" si="9"/>
        <v/>
      </c>
      <c r="M92" s="35">
        <f>IFERROR(IF($L$5='2022 Port'!$H$3,VLOOKUP($L92,'2022 Port'!$D$6:$T$67,5,FALSE),IF($L$5='2022 Port'!$K$3,VLOOKUP($L92,'2022 Port'!$D$6:$T$67,8,FALSE),IF($L$5='2022 Port'!$N$3,VLOOKUP($L92,'2022 Port'!$D$6:$T$67,11,FALSE),IF($L$5='2022 Port'!$Q$3,VLOOKUP($L92,'2022 Port'!$D$6:$T$67,14,FALSE),IF($L$5='2022 Port'!T79,VLOOKUP($L92,'2022 Port'!$D$6:$T$67,17,FALSE),""))))),0)</f>
        <v>0</v>
      </c>
      <c r="N92" s="117" t="str">
        <f t="shared" si="6"/>
        <v/>
      </c>
      <c r="O92" s="97" t="str">
        <f>IFERROR(VLOOKUP(L92,'Schwab Positions'!$A$9:$J$10000,9,FALSE),"")</f>
        <v/>
      </c>
      <c r="P92" s="30" t="str">
        <f t="shared" si="10"/>
        <v/>
      </c>
    </row>
    <row r="93" spans="2:16">
      <c r="B93" t="str" cm="1">
        <f t="array" ref="B93">IFERROR(INDEX('Schwab Positions'!$A$8:$A$10000,SMALL(IF('Schwab Positions'!$E$8:$E$10000=$C$2,ROW('Schwab Positions'!$E$8:$E$10000)-7,""),ROWS($B$19:B93))),"")</f>
        <v/>
      </c>
      <c r="C93" t="str">
        <f>IFERROR(VLOOKUP(B93,'Schwab Positions'!$A$8:$B$10000,2,FALSE),"")</f>
        <v/>
      </c>
      <c r="D93" s="34" t="str">
        <f>IFERROR(VLOOKUP(B93,'Security Type'!$A$2:$C$1000,3,FALSE),"")</f>
        <v/>
      </c>
      <c r="E93" s="34" t="str">
        <f>IF(B93="","",IF(ISNUMBER(MATCH(B93,'2022 Port'!$D$6:$D$67,0)),VLOOKUP(B93,'Security Type'!$A$3:$D$1000,4,FALSE),"NOT IN PORT"))</f>
        <v/>
      </c>
      <c r="F93" t="str" cm="1">
        <f t="array" ref="F93">IFERROR(INDEX('Schwab Positions'!$D$8:$D$10000,SMALL(IF('Schwab Positions'!$E$8:$E$10000=$C$2,ROW('Schwab Positions'!$E$8:$E$10000)-7,""),ROWS($F$19:$F93))),"")</f>
        <v/>
      </c>
      <c r="G93" s="1" t="str" cm="1">
        <f t="array" ref="G93">IFERROR(INDEX('Schwab Positions'!$I$8:$I$10000,SMALL(IF('Schwab Positions'!$E$8:$E$10000=$C$2,ROW('Schwab Positions'!$E$8:$E$10000)-7,""),ROWS($G$19:$G93))),"")</f>
        <v/>
      </c>
      <c r="H93" s="100" t="str">
        <f t="shared" si="7"/>
        <v/>
      </c>
      <c r="I93" s="37" t="str" cm="1">
        <f t="array" ref="I93">IFERROR(IF($D93="Bond",IFERROR(INDEX('Schwab Positions'!$J$8:$J$10000,SMALL(IF('Schwab Positions'!$E$8:$E$10000=$C$2,ROW('Schwab Positions'!$E$8:$E$10000)-7,""),ROWS($I$19:$I93))),""),$F93*$G93),"")</f>
        <v/>
      </c>
      <c r="K93" s="117" t="str">
        <f t="shared" si="8"/>
        <v/>
      </c>
      <c r="L93" t="str">
        <f t="shared" si="9"/>
        <v/>
      </c>
      <c r="M93" s="35">
        <f>IFERROR(IF($L$5='2022 Port'!$H$3,VLOOKUP($L93,'2022 Port'!$D$6:$T$67,5,FALSE),IF($L$5='2022 Port'!$K$3,VLOOKUP($L93,'2022 Port'!$D$6:$T$67,8,FALSE),IF($L$5='2022 Port'!$N$3,VLOOKUP($L93,'2022 Port'!$D$6:$T$67,11,FALSE),IF($L$5='2022 Port'!$Q$3,VLOOKUP($L93,'2022 Port'!$D$6:$T$67,14,FALSE),IF($L$5='2022 Port'!T80,VLOOKUP($L93,'2022 Port'!$D$6:$T$67,17,FALSE),""))))),0)</f>
        <v>0</v>
      </c>
      <c r="N93" s="117" t="str">
        <f t="shared" si="6"/>
        <v/>
      </c>
      <c r="O93" s="97" t="str">
        <f>IFERROR(VLOOKUP(L93,'Schwab Positions'!$A$9:$J$10000,9,FALSE),"")</f>
        <v/>
      </c>
      <c r="P93" s="30" t="str">
        <f t="shared" si="10"/>
        <v/>
      </c>
    </row>
    <row r="94" spans="2:16">
      <c r="B94" t="str" cm="1">
        <f t="array" ref="B94">IFERROR(INDEX('Schwab Positions'!$A$8:$A$10000,SMALL(IF('Schwab Positions'!$E$8:$E$10000=$C$2,ROW('Schwab Positions'!$E$8:$E$10000)-7,""),ROWS($B$19:B94))),"")</f>
        <v/>
      </c>
      <c r="C94" t="str">
        <f>IFERROR(VLOOKUP(B94,'Schwab Positions'!$A$8:$B$10000,2,FALSE),"")</f>
        <v/>
      </c>
      <c r="D94" s="34" t="str">
        <f>IFERROR(VLOOKUP(B94,'Security Type'!$A$2:$C$1000,3,FALSE),"")</f>
        <v/>
      </c>
      <c r="E94" s="34" t="str">
        <f>IF(B94="","",IF(ISNUMBER(MATCH(B94,'2022 Port'!$D$6:$D$67,0)),VLOOKUP(B94,'Security Type'!$A$3:$D$1000,4,FALSE),"NOT IN PORT"))</f>
        <v/>
      </c>
      <c r="F94" t="str" cm="1">
        <f t="array" ref="F94">IFERROR(INDEX('Schwab Positions'!$D$8:$D$10000,SMALL(IF('Schwab Positions'!$E$8:$E$10000=$C$2,ROW('Schwab Positions'!$E$8:$E$10000)-7,""),ROWS($F$19:$F94))),"")</f>
        <v/>
      </c>
      <c r="G94" s="1" t="str" cm="1">
        <f t="array" ref="G94">IFERROR(INDEX('Schwab Positions'!$I$8:$I$10000,SMALL(IF('Schwab Positions'!$E$8:$E$10000=$C$2,ROW('Schwab Positions'!$E$8:$E$10000)-7,""),ROWS($G$19:$G94))),"")</f>
        <v/>
      </c>
      <c r="H94" s="100" t="str">
        <f t="shared" si="7"/>
        <v/>
      </c>
      <c r="I94" s="37" t="str" cm="1">
        <f t="array" ref="I94">IFERROR(IF($D94="Bond",IFERROR(INDEX('Schwab Positions'!$J$8:$J$10000,SMALL(IF('Schwab Positions'!$E$8:$E$10000=$C$2,ROW('Schwab Positions'!$E$8:$E$10000)-7,""),ROWS($I$19:$I94))),""),$F94*$G94),"")</f>
        <v/>
      </c>
      <c r="K94" s="117" t="str">
        <f t="shared" si="8"/>
        <v/>
      </c>
      <c r="L94" t="str">
        <f t="shared" si="9"/>
        <v/>
      </c>
      <c r="M94" s="35">
        <f>IFERROR(IF($L$5='2022 Port'!$H$3,VLOOKUP($L94,'2022 Port'!$D$6:$T$67,5,FALSE),IF($L$5='2022 Port'!$K$3,VLOOKUP($L94,'2022 Port'!$D$6:$T$67,8,FALSE),IF($L$5='2022 Port'!$N$3,VLOOKUP($L94,'2022 Port'!$D$6:$T$67,11,FALSE),IF($L$5='2022 Port'!$Q$3,VLOOKUP($L94,'2022 Port'!$D$6:$T$67,14,FALSE),IF($L$5='2022 Port'!T81,VLOOKUP($L94,'2022 Port'!$D$6:$T$67,17,FALSE),""))))),0)</f>
        <v>0</v>
      </c>
      <c r="N94" s="117" t="str">
        <f t="shared" si="6"/>
        <v/>
      </c>
      <c r="O94" s="97" t="str">
        <f>IFERROR(VLOOKUP(L94,'Schwab Positions'!$A$9:$J$10000,9,FALSE),"")</f>
        <v/>
      </c>
      <c r="P94" s="30" t="str">
        <f t="shared" si="10"/>
        <v/>
      </c>
    </row>
    <row r="95" spans="2:16">
      <c r="B95" t="str" cm="1">
        <f t="array" ref="B95">IFERROR(INDEX('Schwab Positions'!$A$8:$A$10000,SMALL(IF('Schwab Positions'!$E$8:$E$10000=$C$2,ROW('Schwab Positions'!$E$8:$E$10000)-7,""),ROWS($B$19:B95))),"")</f>
        <v/>
      </c>
      <c r="C95" t="str">
        <f>IFERROR(VLOOKUP(B95,'Schwab Positions'!$A$8:$B$10000,2,FALSE),"")</f>
        <v/>
      </c>
      <c r="D95" s="34" t="str">
        <f>IFERROR(VLOOKUP(B95,'Security Type'!$A$2:$C$1000,3,FALSE),"")</f>
        <v/>
      </c>
      <c r="E95" s="34" t="str">
        <f>IF(B95="","",IF(ISNUMBER(MATCH(B95,'2022 Port'!$D$6:$D$67,0)),VLOOKUP(B95,'Security Type'!$A$3:$D$1000,4,FALSE),"NOT IN PORT"))</f>
        <v/>
      </c>
      <c r="F95" t="str" cm="1">
        <f t="array" ref="F95">IFERROR(INDEX('Schwab Positions'!$D$8:$D$10000,SMALL(IF('Schwab Positions'!$E$8:$E$10000=$C$2,ROW('Schwab Positions'!$E$8:$E$10000)-7,""),ROWS($F$19:$F95))),"")</f>
        <v/>
      </c>
      <c r="G95" s="1" t="str" cm="1">
        <f t="array" ref="G95">IFERROR(INDEX('Schwab Positions'!$I$8:$I$10000,SMALL(IF('Schwab Positions'!$E$8:$E$10000=$C$2,ROW('Schwab Positions'!$E$8:$E$10000)-7,""),ROWS($G$19:$G95))),"")</f>
        <v/>
      </c>
      <c r="H95" s="100" t="str">
        <f t="shared" si="7"/>
        <v/>
      </c>
      <c r="I95" s="37" t="str" cm="1">
        <f t="array" ref="I95">IFERROR(IF($D95="Bond",IFERROR(INDEX('Schwab Positions'!$J$8:$J$10000,SMALL(IF('Schwab Positions'!$E$8:$E$10000=$C$2,ROW('Schwab Positions'!$E$8:$E$10000)-7,""),ROWS($I$19:$I95))),""),$F95*$G95),"")</f>
        <v/>
      </c>
      <c r="K95" s="117" t="str">
        <f t="shared" si="8"/>
        <v/>
      </c>
      <c r="L95" t="str">
        <f t="shared" si="9"/>
        <v/>
      </c>
      <c r="M95" s="35">
        <f>IFERROR(IF($L$5='2022 Port'!$H$3,VLOOKUP($L95,'2022 Port'!$D$6:$T$67,5,FALSE),IF($L$5='2022 Port'!$K$3,VLOOKUP($L95,'2022 Port'!$D$6:$T$67,8,FALSE),IF($L$5='2022 Port'!$N$3,VLOOKUP($L95,'2022 Port'!$D$6:$T$67,11,FALSE),IF($L$5='2022 Port'!$Q$3,VLOOKUP($L95,'2022 Port'!$D$6:$T$67,14,FALSE),IF($L$5='2022 Port'!T82,VLOOKUP($L95,'2022 Port'!$D$6:$T$67,17,FALSE),""))))),0)</f>
        <v>0</v>
      </c>
      <c r="N95" s="117" t="str">
        <f t="shared" si="6"/>
        <v/>
      </c>
      <c r="O95" s="97" t="str">
        <f>IFERROR(VLOOKUP(L95,'Schwab Positions'!$A$9:$J$10000,9,FALSE),"")</f>
        <v/>
      </c>
      <c r="P95" s="30" t="str">
        <f t="shared" si="10"/>
        <v/>
      </c>
    </row>
    <row r="96" spans="2:16">
      <c r="B96" t="str" cm="1">
        <f t="array" ref="B96">IFERROR(INDEX('Schwab Positions'!$A$8:$A$10000,SMALL(IF('Schwab Positions'!$E$8:$E$10000=$C$2,ROW('Schwab Positions'!$E$8:$E$10000)-7,""),ROWS($B$19:B96))),"")</f>
        <v/>
      </c>
      <c r="C96" t="str">
        <f>IFERROR(VLOOKUP(B96,'Schwab Positions'!$A$8:$B$10000,2,FALSE),"")</f>
        <v/>
      </c>
      <c r="D96" s="34" t="str">
        <f>IFERROR(VLOOKUP(B96,'Security Type'!$A$2:$C$1000,3,FALSE),"")</f>
        <v/>
      </c>
      <c r="E96" s="34" t="str">
        <f>IF(B96="","",IF(ISNUMBER(MATCH(B96,'2022 Port'!$D$6:$D$67,0)),VLOOKUP(B96,'Security Type'!$A$3:$D$1000,4,FALSE),"NOT IN PORT"))</f>
        <v/>
      </c>
      <c r="F96" t="str" cm="1">
        <f t="array" ref="F96">IFERROR(INDEX('Schwab Positions'!$D$8:$D$10000,SMALL(IF('Schwab Positions'!$E$8:$E$10000=$C$2,ROW('Schwab Positions'!$E$8:$E$10000)-7,""),ROWS($F$19:$F96))),"")</f>
        <v/>
      </c>
      <c r="G96" s="1" t="str" cm="1">
        <f t="array" ref="G96">IFERROR(INDEX('Schwab Positions'!$I$8:$I$10000,SMALL(IF('Schwab Positions'!$E$8:$E$10000=$C$2,ROW('Schwab Positions'!$E$8:$E$10000)-7,""),ROWS($G$19:$G96))),"")</f>
        <v/>
      </c>
      <c r="H96" s="100" t="str">
        <f t="shared" si="7"/>
        <v/>
      </c>
      <c r="I96" s="37" t="str" cm="1">
        <f t="array" ref="I96">IFERROR(IF($D96="Bond",IFERROR(INDEX('Schwab Positions'!$J$8:$J$10000,SMALL(IF('Schwab Positions'!$E$8:$E$10000=$C$2,ROW('Schwab Positions'!$E$8:$E$10000)-7,""),ROWS($I$19:$I96))),""),$F96*$G96),"")</f>
        <v/>
      </c>
      <c r="K96" s="117" t="str">
        <f t="shared" si="8"/>
        <v/>
      </c>
      <c r="L96" t="str">
        <f t="shared" si="9"/>
        <v/>
      </c>
      <c r="M96" s="35">
        <f>IFERROR(IF($L$5='2022 Port'!$H$3,VLOOKUP($L96,'2022 Port'!$D$6:$T$67,5,FALSE),IF($L$5='2022 Port'!$K$3,VLOOKUP($L96,'2022 Port'!$D$6:$T$67,8,FALSE),IF($L$5='2022 Port'!$N$3,VLOOKUP($L96,'2022 Port'!$D$6:$T$67,11,FALSE),IF($L$5='2022 Port'!$Q$3,VLOOKUP($L96,'2022 Port'!$D$6:$T$67,14,FALSE),IF($L$5='2022 Port'!T83,VLOOKUP($L96,'2022 Port'!$D$6:$T$67,17,FALSE),""))))),0)</f>
        <v>0</v>
      </c>
      <c r="N96" s="117" t="str">
        <f t="shared" si="6"/>
        <v/>
      </c>
      <c r="O96" s="97" t="str">
        <f>IFERROR(VLOOKUP(L96,'Schwab Positions'!$A$9:$J$10000,9,FALSE),"")</f>
        <v/>
      </c>
      <c r="P96" s="30" t="str">
        <f t="shared" si="10"/>
        <v/>
      </c>
    </row>
    <row r="97" spans="2:16">
      <c r="B97" t="str" cm="1">
        <f t="array" ref="B97">IFERROR(INDEX('Schwab Positions'!$A$8:$A$10000,SMALL(IF('Schwab Positions'!$E$8:$E$10000=$C$2,ROW('Schwab Positions'!$E$8:$E$10000)-7,""),ROWS($B$19:B97))),"")</f>
        <v/>
      </c>
      <c r="C97" t="str">
        <f>IFERROR(VLOOKUP(B97,'Schwab Positions'!$A$8:$B$10000,2,FALSE),"")</f>
        <v/>
      </c>
      <c r="D97" s="34" t="str">
        <f>IFERROR(VLOOKUP(B97,'Security Type'!$A$2:$C$1000,3,FALSE),"")</f>
        <v/>
      </c>
      <c r="E97" s="34" t="str">
        <f>IF(B97="","",IF(ISNUMBER(MATCH(B97,'2022 Port'!$D$6:$D$67,0)),VLOOKUP(B97,'Security Type'!$A$3:$D$1000,4,FALSE),"NOT IN PORT"))</f>
        <v/>
      </c>
      <c r="F97" t="str" cm="1">
        <f t="array" ref="F97">IFERROR(INDEX('Schwab Positions'!$D$8:$D$10000,SMALL(IF('Schwab Positions'!$E$8:$E$10000=$C$2,ROW('Schwab Positions'!$E$8:$E$10000)-7,""),ROWS($F$19:$F97))),"")</f>
        <v/>
      </c>
      <c r="G97" s="1" t="str" cm="1">
        <f t="array" ref="G97">IFERROR(INDEX('Schwab Positions'!$I$8:$I$10000,SMALL(IF('Schwab Positions'!$E$8:$E$10000=$C$2,ROW('Schwab Positions'!$E$8:$E$10000)-7,""),ROWS($G$19:$G97))),"")</f>
        <v/>
      </c>
      <c r="H97" s="100" t="str">
        <f t="shared" si="7"/>
        <v/>
      </c>
      <c r="I97" s="37" t="str" cm="1">
        <f t="array" ref="I97">IFERROR(IF($D97="Bond",IFERROR(INDEX('Schwab Positions'!$J$8:$J$10000,SMALL(IF('Schwab Positions'!$E$8:$E$10000=$C$2,ROW('Schwab Positions'!$E$8:$E$10000)-7,""),ROWS($I$19:$I97))),""),$F97*$G97),"")</f>
        <v/>
      </c>
      <c r="K97" s="117" t="str">
        <f t="shared" si="8"/>
        <v/>
      </c>
      <c r="L97" t="str">
        <f t="shared" si="9"/>
        <v/>
      </c>
      <c r="M97" s="35">
        <f>IFERROR(IF($L$5='2022 Port'!$H$3,VLOOKUP($L97,'2022 Port'!$D$6:$T$67,5,FALSE),IF($L$5='2022 Port'!$K$3,VLOOKUP($L97,'2022 Port'!$D$6:$T$67,8,FALSE),IF($L$5='2022 Port'!$N$3,VLOOKUP($L97,'2022 Port'!$D$6:$T$67,11,FALSE),IF($L$5='2022 Port'!$Q$3,VLOOKUP($L97,'2022 Port'!$D$6:$T$67,14,FALSE),IF($L$5='2022 Port'!T84,VLOOKUP($L97,'2022 Port'!$D$6:$T$67,17,FALSE),""))))),0)</f>
        <v>0</v>
      </c>
      <c r="N97" s="117" t="str">
        <f t="shared" si="6"/>
        <v/>
      </c>
      <c r="O97" s="97" t="str">
        <f>IFERROR(VLOOKUP(L97,'Schwab Positions'!$A$9:$J$10000,9,FALSE),"")</f>
        <v/>
      </c>
      <c r="P97" s="30" t="str">
        <f t="shared" si="10"/>
        <v/>
      </c>
    </row>
    <row r="98" spans="2:16">
      <c r="B98" t="str" cm="1">
        <f t="array" ref="B98">IFERROR(INDEX('Schwab Positions'!$A$8:$A$10000,SMALL(IF('Schwab Positions'!$E$8:$E$10000=$C$2,ROW('Schwab Positions'!$E$8:$E$10000)-7,""),ROWS($B$19:B98))),"")</f>
        <v/>
      </c>
      <c r="C98" t="str">
        <f>IFERROR(VLOOKUP(B98,'Schwab Positions'!$A$8:$B$10000,2,FALSE),"")</f>
        <v/>
      </c>
      <c r="D98" s="34" t="str">
        <f>IFERROR(VLOOKUP(B98,'Security Type'!$A$2:$C$1000,3,FALSE),"")</f>
        <v/>
      </c>
      <c r="E98" s="34" t="str">
        <f>IF(B98="","",IF(ISNUMBER(MATCH(B98,'2022 Port'!$D$6:$D$67,0)),VLOOKUP(B98,'Security Type'!$A$3:$D$1000,4,FALSE),"NOT IN PORT"))</f>
        <v/>
      </c>
      <c r="F98" t="str" cm="1">
        <f t="array" ref="F98">IFERROR(INDEX('Schwab Positions'!$D$8:$D$10000,SMALL(IF('Schwab Positions'!$E$8:$E$10000=$C$2,ROW('Schwab Positions'!$E$8:$E$10000)-7,""),ROWS($F$19:$F98))),"")</f>
        <v/>
      </c>
      <c r="G98" s="1" t="str" cm="1">
        <f t="array" ref="G98">IFERROR(INDEX('Schwab Positions'!$I$8:$I$10000,SMALL(IF('Schwab Positions'!$E$8:$E$10000=$C$2,ROW('Schwab Positions'!$E$8:$E$10000)-7,""),ROWS($G$19:$G98))),"")</f>
        <v/>
      </c>
      <c r="H98" s="100" t="str">
        <f t="shared" si="7"/>
        <v/>
      </c>
      <c r="I98" s="37" t="str" cm="1">
        <f t="array" ref="I98">IFERROR(IF($D98="Bond",IFERROR(INDEX('Schwab Positions'!$J$8:$J$10000,SMALL(IF('Schwab Positions'!$E$8:$E$10000=$C$2,ROW('Schwab Positions'!$E$8:$E$10000)-7,""),ROWS($I$19:$I98))),""),$F98*$G98),"")</f>
        <v/>
      </c>
      <c r="K98" s="117" t="str">
        <f t="shared" si="8"/>
        <v/>
      </c>
      <c r="L98" t="str">
        <f t="shared" si="9"/>
        <v/>
      </c>
      <c r="M98" s="35">
        <f>IFERROR(IF($L$5='2022 Port'!$H$3,VLOOKUP($L98,'2022 Port'!$D$6:$T$67,5,FALSE),IF($L$5='2022 Port'!$K$3,VLOOKUP($L98,'2022 Port'!$D$6:$T$67,8,FALSE),IF($L$5='2022 Port'!$N$3,VLOOKUP($L98,'2022 Port'!$D$6:$T$67,11,FALSE),IF($L$5='2022 Port'!$Q$3,VLOOKUP($L98,'2022 Port'!$D$6:$T$67,14,FALSE),IF($L$5='2022 Port'!T85,VLOOKUP($L98,'2022 Port'!$D$6:$T$67,17,FALSE),""))))),0)</f>
        <v>0</v>
      </c>
      <c r="N98" s="117" t="str">
        <f t="shared" si="6"/>
        <v/>
      </c>
      <c r="O98" s="97" t="str">
        <f>IFERROR(VLOOKUP(L98,'Schwab Positions'!$A$9:$J$10000,9,FALSE),"")</f>
        <v/>
      </c>
      <c r="P98" s="30" t="str">
        <f t="shared" si="10"/>
        <v/>
      </c>
    </row>
    <row r="99" spans="2:16">
      <c r="B99" t="str" cm="1">
        <f t="array" ref="B99">IFERROR(INDEX('Schwab Positions'!$A$8:$A$10000,SMALL(IF('Schwab Positions'!$E$8:$E$10000=$C$2,ROW('Schwab Positions'!$E$8:$E$10000)-7,""),ROWS($B$19:B99))),"")</f>
        <v/>
      </c>
      <c r="C99" t="str">
        <f>IFERROR(VLOOKUP(B99,'Schwab Positions'!$A$8:$B$10000,2,FALSE),"")</f>
        <v/>
      </c>
      <c r="D99" s="34" t="str">
        <f>IFERROR(VLOOKUP(B99,'Security Type'!$A$2:$C$1000,3,FALSE),"")</f>
        <v/>
      </c>
      <c r="E99" s="34" t="str">
        <f>IF(B99="","",IF(ISNUMBER(MATCH(B99,'2022 Port'!$D$6:$D$67,0)),VLOOKUP(B99,'Security Type'!$A$3:$D$1000,4,FALSE),"NOT IN PORT"))</f>
        <v/>
      </c>
      <c r="F99" t="str" cm="1">
        <f t="array" ref="F99">IFERROR(INDEX('Schwab Positions'!$D$8:$D$10000,SMALL(IF('Schwab Positions'!$E$8:$E$10000=$C$2,ROW('Schwab Positions'!$E$8:$E$10000)-7,""),ROWS($F$19:$F99))),"")</f>
        <v/>
      </c>
      <c r="G99" s="1" t="str" cm="1">
        <f t="array" ref="G99">IFERROR(INDEX('Schwab Positions'!$I$8:$I$10000,SMALL(IF('Schwab Positions'!$E$8:$E$10000=$C$2,ROW('Schwab Positions'!$E$8:$E$10000)-7,""),ROWS($G$19:$G99))),"")</f>
        <v/>
      </c>
      <c r="H99" s="100" t="str">
        <f t="shared" si="7"/>
        <v/>
      </c>
      <c r="I99" s="37" t="str" cm="1">
        <f t="array" ref="I99">IFERROR(IF($D99="Bond",IFERROR(INDEX('Schwab Positions'!$J$8:$J$10000,SMALL(IF('Schwab Positions'!$E$8:$E$10000=$C$2,ROW('Schwab Positions'!$E$8:$E$10000)-7,""),ROWS($I$19:$I99))),""),$F99*$G99),"")</f>
        <v/>
      </c>
      <c r="K99" s="117" t="str">
        <f t="shared" si="8"/>
        <v/>
      </c>
      <c r="L99" t="str">
        <f t="shared" si="9"/>
        <v/>
      </c>
      <c r="M99" s="35">
        <f>IFERROR(IF($L$5='2022 Port'!$H$3,VLOOKUP($L99,'2022 Port'!$D$6:$T$67,5,FALSE),IF($L$5='2022 Port'!$K$3,VLOOKUP($L99,'2022 Port'!$D$6:$T$67,8,FALSE),IF($L$5='2022 Port'!$N$3,VLOOKUP($L99,'2022 Port'!$D$6:$T$67,11,FALSE),IF($L$5='2022 Port'!$Q$3,VLOOKUP($L99,'2022 Port'!$D$6:$T$67,14,FALSE),IF($L$5='2022 Port'!T86,VLOOKUP($L99,'2022 Port'!$D$6:$T$67,17,FALSE),""))))),0)</f>
        <v>0</v>
      </c>
      <c r="N99" s="117" t="str">
        <f t="shared" si="6"/>
        <v/>
      </c>
      <c r="O99" s="97" t="str">
        <f>IFERROR(VLOOKUP(L99,'Schwab Positions'!$A$9:$J$10000,9,FALSE),"")</f>
        <v/>
      </c>
      <c r="P99" s="30" t="str">
        <f t="shared" si="10"/>
        <v/>
      </c>
    </row>
    <row r="100" spans="2:16">
      <c r="B100" t="str" cm="1">
        <f t="array" ref="B100">IFERROR(INDEX('Schwab Positions'!$A$8:$A$10000,SMALL(IF('Schwab Positions'!$E$8:$E$10000=$C$2,ROW('Schwab Positions'!$E$8:$E$10000)-7,""),ROWS($B$19:B100))),"")</f>
        <v/>
      </c>
      <c r="C100" t="str">
        <f>IFERROR(VLOOKUP(B100,'Schwab Positions'!$A$8:$B$10000,2,FALSE),"")</f>
        <v/>
      </c>
      <c r="D100" s="34" t="str">
        <f>IFERROR(VLOOKUP(B100,'Security Type'!$A$2:$C$1000,3,FALSE),"")</f>
        <v/>
      </c>
      <c r="E100" s="34" t="str">
        <f>IF(B100="","",IF(ISNUMBER(MATCH(B100,'2022 Port'!$D$6:$D$67,0)),VLOOKUP(B100,'Security Type'!$A$3:$D$1000,4,FALSE),"NOT IN PORT"))</f>
        <v/>
      </c>
      <c r="F100" t="str" cm="1">
        <f t="array" ref="F100">IFERROR(INDEX('Schwab Positions'!$D$8:$D$10000,SMALL(IF('Schwab Positions'!$E$8:$E$10000=$C$2,ROW('Schwab Positions'!$E$8:$E$10000)-7,""),ROWS($F$19:$F100))),"")</f>
        <v/>
      </c>
      <c r="G100" s="1" t="str" cm="1">
        <f t="array" ref="G100">IFERROR(INDEX('Schwab Positions'!$I$8:$I$10000,SMALL(IF('Schwab Positions'!$E$8:$E$10000=$C$2,ROW('Schwab Positions'!$E$8:$E$10000)-7,""),ROWS($G$19:$G100))),"")</f>
        <v/>
      </c>
      <c r="H100" s="100" t="str">
        <f t="shared" si="7"/>
        <v/>
      </c>
      <c r="I100" s="37" t="str" cm="1">
        <f t="array" ref="I100">IFERROR(IF($D100="Bond",IFERROR(INDEX('Schwab Positions'!$J$8:$J$10000,SMALL(IF('Schwab Positions'!$E$8:$E$10000=$C$2,ROW('Schwab Positions'!$E$8:$E$10000)-7,""),ROWS($I$19:$I100))),""),$F100*$G100),"")</f>
        <v/>
      </c>
      <c r="K100" s="117" t="str">
        <f t="shared" si="8"/>
        <v/>
      </c>
      <c r="L100" t="str">
        <f t="shared" si="9"/>
        <v/>
      </c>
      <c r="M100" s="35">
        <f>IFERROR(IF($L$5='2022 Port'!$H$3,VLOOKUP($L100,'2022 Port'!$D$6:$T$67,5,FALSE),IF($L$5='2022 Port'!$K$3,VLOOKUP($L100,'2022 Port'!$D$6:$T$67,8,FALSE),IF($L$5='2022 Port'!$N$3,VLOOKUP($L100,'2022 Port'!$D$6:$T$67,11,FALSE),IF($L$5='2022 Port'!$Q$3,VLOOKUP($L100,'2022 Port'!$D$6:$T$67,14,FALSE),IF($L$5='2022 Port'!T87,VLOOKUP($L100,'2022 Port'!$D$6:$T$67,17,FALSE),""))))),0)</f>
        <v>0</v>
      </c>
      <c r="N100" s="117" t="str">
        <f t="shared" si="6"/>
        <v/>
      </c>
      <c r="O100" s="97" t="str">
        <f>IFERROR(VLOOKUP(L100,'Schwab Positions'!$A$9:$J$10000,9,FALSE),"")</f>
        <v/>
      </c>
      <c r="P100" s="30" t="str">
        <f t="shared" si="10"/>
        <v/>
      </c>
    </row>
    <row r="101" spans="2:16">
      <c r="B101" t="str" cm="1">
        <f t="array" ref="B101">IFERROR(INDEX('Schwab Positions'!$A$8:$A$10000,SMALL(IF('Schwab Positions'!$E$8:$E$10000=$C$2,ROW('Schwab Positions'!$E$8:$E$10000)-7,""),ROWS($B$19:B101))),"")</f>
        <v/>
      </c>
      <c r="C101" t="str">
        <f>IFERROR(VLOOKUP(B101,'Schwab Positions'!$A$8:$B$10000,2,FALSE),"")</f>
        <v/>
      </c>
      <c r="D101" s="34" t="str">
        <f>IFERROR(VLOOKUP(B101,'Security Type'!$A$2:$C$1000,3,FALSE),"")</f>
        <v/>
      </c>
      <c r="E101" s="34" t="str">
        <f>IF(B101="","",IF(ISNUMBER(MATCH(B101,'2022 Port'!$D$6:$D$67,0)),VLOOKUP(B101,'Security Type'!$A$3:$D$1000,4,FALSE),"NOT IN PORT"))</f>
        <v/>
      </c>
      <c r="F101" t="str" cm="1">
        <f t="array" ref="F101">IFERROR(INDEX('Schwab Positions'!$D$8:$D$10000,SMALL(IF('Schwab Positions'!$E$8:$E$10000=$C$2,ROW('Schwab Positions'!$E$8:$E$10000)-7,""),ROWS($F$19:$F101))),"")</f>
        <v/>
      </c>
      <c r="G101" s="1" t="str" cm="1">
        <f t="array" ref="G101">IFERROR(INDEX('Schwab Positions'!$I$8:$I$10000,SMALL(IF('Schwab Positions'!$E$8:$E$10000=$C$2,ROW('Schwab Positions'!$E$8:$E$10000)-7,""),ROWS($G$19:$G101))),"")</f>
        <v/>
      </c>
      <c r="H101" s="100" t="str">
        <f t="shared" si="7"/>
        <v/>
      </c>
      <c r="I101" s="37" t="str" cm="1">
        <f t="array" ref="I101">IFERROR(IF($D101="Bond",IFERROR(INDEX('Schwab Positions'!$J$8:$J$10000,SMALL(IF('Schwab Positions'!$E$8:$E$10000=$C$2,ROW('Schwab Positions'!$E$8:$E$10000)-7,""),ROWS($I$19:$I101))),""),$F101*$G101),"")</f>
        <v/>
      </c>
      <c r="K101" s="117" t="str">
        <f t="shared" si="8"/>
        <v/>
      </c>
      <c r="L101" t="str">
        <f t="shared" si="9"/>
        <v/>
      </c>
      <c r="M101" s="35">
        <f>IFERROR(IF($L$5='2022 Port'!$H$3,VLOOKUP($L101,'2022 Port'!$D$6:$T$67,5,FALSE),IF($L$5='2022 Port'!$K$3,VLOOKUP($L101,'2022 Port'!$D$6:$T$67,8,FALSE),IF($L$5='2022 Port'!$N$3,VLOOKUP($L101,'2022 Port'!$D$6:$T$67,11,FALSE),IF($L$5='2022 Port'!$Q$3,VLOOKUP($L101,'2022 Port'!$D$6:$T$67,14,FALSE),IF($L$5='2022 Port'!T88,VLOOKUP($L101,'2022 Port'!$D$6:$T$67,17,FALSE),""))))),0)</f>
        <v>0</v>
      </c>
      <c r="N101" s="117" t="str">
        <f t="shared" si="6"/>
        <v/>
      </c>
      <c r="O101" s="97" t="str">
        <f>IFERROR(VLOOKUP(L101,'Schwab Positions'!$A$9:$J$10000,9,FALSE),"")</f>
        <v/>
      </c>
      <c r="P101" s="30" t="str">
        <f t="shared" si="10"/>
        <v/>
      </c>
    </row>
    <row r="102" spans="2:16">
      <c r="B102" t="str" cm="1">
        <f t="array" ref="B102">IFERROR(INDEX('Schwab Positions'!$A$8:$A$10000,SMALL(IF('Schwab Positions'!$E$8:$E$10000=$C$2,ROW('Schwab Positions'!$E$8:$E$10000)-7,""),ROWS($B$19:B102))),"")</f>
        <v/>
      </c>
      <c r="C102" t="str">
        <f>IFERROR(VLOOKUP(B102,'Schwab Positions'!$A$8:$B$10000,2,FALSE),"")</f>
        <v/>
      </c>
      <c r="D102" s="34" t="str">
        <f>IFERROR(VLOOKUP(B102,'Security Type'!$A$2:$C$1000,3,FALSE),"")</f>
        <v/>
      </c>
      <c r="E102" s="34" t="str">
        <f>IF(B102="","",IF(ISNUMBER(MATCH(B102,'2022 Port'!$D$6:$D$67,0)),VLOOKUP(B102,'Security Type'!$A$3:$D$1000,4,FALSE),"NOT IN PORT"))</f>
        <v/>
      </c>
      <c r="F102" t="str" cm="1">
        <f t="array" ref="F102">IFERROR(INDEX('Schwab Positions'!$D$8:$D$10000,SMALL(IF('Schwab Positions'!$E$8:$E$10000=$C$2,ROW('Schwab Positions'!$E$8:$E$10000)-7,""),ROWS($F$19:$F102))),"")</f>
        <v/>
      </c>
      <c r="G102" s="1" t="str" cm="1">
        <f t="array" ref="G102">IFERROR(INDEX('Schwab Positions'!$I$8:$I$10000,SMALL(IF('Schwab Positions'!$E$8:$E$10000=$C$2,ROW('Schwab Positions'!$E$8:$E$10000)-7,""),ROWS($G$19:$G102))),"")</f>
        <v/>
      </c>
      <c r="H102" s="100" t="str">
        <f t="shared" si="7"/>
        <v/>
      </c>
      <c r="I102" s="37" t="str" cm="1">
        <f t="array" ref="I102">IFERROR(IF($D102="Bond",IFERROR(INDEX('Schwab Positions'!$J$8:$J$10000,SMALL(IF('Schwab Positions'!$E$8:$E$10000=$C$2,ROW('Schwab Positions'!$E$8:$E$10000)-7,""),ROWS($I$19:$I102))),""),$F102*$G102),"")</f>
        <v/>
      </c>
      <c r="K102" s="117" t="str">
        <f t="shared" si="8"/>
        <v/>
      </c>
      <c r="L102" t="str">
        <f t="shared" si="9"/>
        <v/>
      </c>
      <c r="M102" s="35">
        <f>IFERROR(IF($L$5='2022 Port'!$H$3,VLOOKUP($L102,'2022 Port'!$D$6:$T$67,5,FALSE),IF($L$5='2022 Port'!$K$3,VLOOKUP($L102,'2022 Port'!$D$6:$T$67,8,FALSE),IF($L$5='2022 Port'!$N$3,VLOOKUP($L102,'2022 Port'!$D$6:$T$67,11,FALSE),IF($L$5='2022 Port'!$Q$3,VLOOKUP($L102,'2022 Port'!$D$6:$T$67,14,FALSE),IF($L$5='2022 Port'!T89,VLOOKUP($L102,'2022 Port'!$D$6:$T$67,17,FALSE),""))))),0)</f>
        <v>0</v>
      </c>
      <c r="N102" s="117" t="str">
        <f t="shared" si="6"/>
        <v/>
      </c>
      <c r="O102" s="97" t="str">
        <f>IFERROR(VLOOKUP(L102,'Schwab Positions'!$A$9:$J$10000,9,FALSE),"")</f>
        <v/>
      </c>
      <c r="P102" s="30" t="str">
        <f t="shared" si="10"/>
        <v/>
      </c>
    </row>
    <row r="103" spans="2:16">
      <c r="B103" t="str" cm="1">
        <f t="array" ref="B103">IFERROR(INDEX('Schwab Positions'!$A$8:$A$10000,SMALL(IF('Schwab Positions'!$E$8:$E$10000=$C$2,ROW('Schwab Positions'!$E$8:$E$10000)-7,""),ROWS($B$19:B103))),"")</f>
        <v/>
      </c>
      <c r="C103" t="str">
        <f>IFERROR(VLOOKUP(B103,'Schwab Positions'!$A$8:$B$10000,2,FALSE),"")</f>
        <v/>
      </c>
      <c r="D103" s="34" t="str">
        <f>IFERROR(VLOOKUP(B103,'Security Type'!$A$2:$C$1000,3,FALSE),"")</f>
        <v/>
      </c>
      <c r="E103" s="34" t="str">
        <f>IF(B103="","",IF(ISNUMBER(MATCH(B103,'2022 Port'!$D$6:$D$67,0)),VLOOKUP(B103,'Security Type'!$A$3:$D$1000,4,FALSE),"NOT IN PORT"))</f>
        <v/>
      </c>
      <c r="F103" t="str" cm="1">
        <f t="array" ref="F103">IFERROR(INDEX('Schwab Positions'!$D$8:$D$10000,SMALL(IF('Schwab Positions'!$E$8:$E$10000=$C$2,ROW('Schwab Positions'!$E$8:$E$10000)-7,""),ROWS($F$19:$F103))),"")</f>
        <v/>
      </c>
      <c r="G103" s="1" t="str" cm="1">
        <f t="array" ref="G103">IFERROR(INDEX('Schwab Positions'!$I$8:$I$10000,SMALL(IF('Schwab Positions'!$E$8:$E$10000=$C$2,ROW('Schwab Positions'!$E$8:$E$10000)-7,""),ROWS($G$19:$G103))),"")</f>
        <v/>
      </c>
      <c r="H103" s="100" t="str">
        <f t="shared" si="7"/>
        <v/>
      </c>
      <c r="I103" s="37" t="str" cm="1">
        <f t="array" ref="I103">IFERROR(IF($D103="Bond",IFERROR(INDEX('Schwab Positions'!$J$8:$J$10000,SMALL(IF('Schwab Positions'!$E$8:$E$10000=$C$2,ROW('Schwab Positions'!$E$8:$E$10000)-7,""),ROWS($I$19:$I103))),""),$F103*$G103),"")</f>
        <v/>
      </c>
      <c r="K103" s="117" t="str">
        <f t="shared" si="8"/>
        <v/>
      </c>
      <c r="L103" t="str">
        <f t="shared" si="9"/>
        <v/>
      </c>
      <c r="M103" s="35">
        <f>IFERROR(IF($L$5='2022 Port'!$H$3,VLOOKUP($L103,'2022 Port'!$D$6:$T$67,5,FALSE),IF($L$5='2022 Port'!$K$3,VLOOKUP($L103,'2022 Port'!$D$6:$T$67,8,FALSE),IF($L$5='2022 Port'!$N$3,VLOOKUP($L103,'2022 Port'!$D$6:$T$67,11,FALSE),IF($L$5='2022 Port'!$Q$3,VLOOKUP($L103,'2022 Port'!$D$6:$T$67,14,FALSE),IF($L$5='2022 Port'!T90,VLOOKUP($L103,'2022 Port'!$D$6:$T$67,17,FALSE),""))))),0)</f>
        <v>0</v>
      </c>
      <c r="N103" s="117" t="str">
        <f t="shared" si="6"/>
        <v/>
      </c>
      <c r="O103" s="97" t="str">
        <f>IFERROR(VLOOKUP(L103,'Schwab Positions'!$A$9:$J$10000,9,FALSE),"")</f>
        <v/>
      </c>
      <c r="P103" s="30" t="str">
        <f t="shared" si="10"/>
        <v/>
      </c>
    </row>
    <row r="104" spans="2:16">
      <c r="B104" t="str" cm="1">
        <f t="array" ref="B104">IFERROR(INDEX('Schwab Positions'!$A$8:$A$10000,SMALL(IF('Schwab Positions'!$E$8:$E$10000=$C$2,ROW('Schwab Positions'!$E$8:$E$10000)-7,""),ROWS($B$19:B104))),"")</f>
        <v/>
      </c>
      <c r="C104" t="str">
        <f>IFERROR(VLOOKUP(B104,'Schwab Positions'!$A$8:$B$10000,2,FALSE),"")</f>
        <v/>
      </c>
      <c r="D104" s="34" t="str">
        <f>IFERROR(VLOOKUP(B104,'Security Type'!$A$2:$C$1000,3,FALSE),"")</f>
        <v/>
      </c>
      <c r="E104" s="34" t="str">
        <f>IF(B104="","",IF(ISNUMBER(MATCH(B104,'2022 Port'!$D$6:$D$67,0)),VLOOKUP(B104,'Security Type'!$A$3:$D$1000,4,FALSE),"NOT IN PORT"))</f>
        <v/>
      </c>
      <c r="F104" t="str" cm="1">
        <f t="array" ref="F104">IFERROR(INDEX('Schwab Positions'!$D$8:$D$10000,SMALL(IF('Schwab Positions'!$E$8:$E$10000=$C$2,ROW('Schwab Positions'!$E$8:$E$10000)-7,""),ROWS($F$19:$F104))),"")</f>
        <v/>
      </c>
      <c r="G104" s="1" t="str" cm="1">
        <f t="array" ref="G104">IFERROR(INDEX('Schwab Positions'!$I$8:$I$10000,SMALL(IF('Schwab Positions'!$E$8:$E$10000=$C$2,ROW('Schwab Positions'!$E$8:$E$10000)-7,""),ROWS($G$19:$G104))),"")</f>
        <v/>
      </c>
      <c r="H104" s="100" t="str">
        <f t="shared" si="7"/>
        <v/>
      </c>
      <c r="I104" s="37" t="str" cm="1">
        <f t="array" ref="I104">IFERROR(IF($D104="Bond",IFERROR(INDEX('Schwab Positions'!$J$8:$J$10000,SMALL(IF('Schwab Positions'!$E$8:$E$10000=$C$2,ROW('Schwab Positions'!$E$8:$E$10000)-7,""),ROWS($I$19:$I104))),""),$F104*$G104),"")</f>
        <v/>
      </c>
      <c r="K104" s="117" t="str">
        <f t="shared" si="8"/>
        <v/>
      </c>
      <c r="L104" t="str">
        <f t="shared" si="9"/>
        <v/>
      </c>
      <c r="M104" s="35">
        <f>IFERROR(IF($L$5='2022 Port'!$H$3,VLOOKUP($L104,'2022 Port'!$D$6:$T$67,5,FALSE),IF($L$5='2022 Port'!$K$3,VLOOKUP($L104,'2022 Port'!$D$6:$T$67,8,FALSE),IF($L$5='2022 Port'!$N$3,VLOOKUP($L104,'2022 Port'!$D$6:$T$67,11,FALSE),IF($L$5='2022 Port'!$Q$3,VLOOKUP($L104,'2022 Port'!$D$6:$T$67,14,FALSE),IF($L$5='2022 Port'!T91,VLOOKUP($L104,'2022 Port'!$D$6:$T$67,17,FALSE),""))))),0)</f>
        <v>0</v>
      </c>
      <c r="N104" s="117" t="str">
        <f t="shared" si="6"/>
        <v/>
      </c>
      <c r="O104" s="97" t="str">
        <f>IFERROR(VLOOKUP(L104,'Schwab Positions'!$A$9:$J$10000,9,FALSE),"")</f>
        <v/>
      </c>
      <c r="P104" s="30" t="str">
        <f t="shared" si="10"/>
        <v/>
      </c>
    </row>
    <row r="105" spans="2:16">
      <c r="B105" t="str" cm="1">
        <f t="array" ref="B105">IFERROR(INDEX('Schwab Positions'!$A$8:$A$10000,SMALL(IF('Schwab Positions'!$E$8:$E$10000=$C$2,ROW('Schwab Positions'!$E$8:$E$10000)-7,""),ROWS($B$19:B105))),"")</f>
        <v/>
      </c>
      <c r="C105" t="str">
        <f>IFERROR(VLOOKUP(B105,'Schwab Positions'!$A$8:$B$10000,2,FALSE),"")</f>
        <v/>
      </c>
      <c r="D105" s="34" t="str">
        <f>IFERROR(VLOOKUP(B105,'Security Type'!$A$2:$C$1000,3,FALSE),"")</f>
        <v/>
      </c>
      <c r="E105" s="34" t="str">
        <f>IF(B105="","",IF(ISNUMBER(MATCH(B105,'2022 Port'!$D$6:$D$67,0)),VLOOKUP(B105,'Security Type'!$A$3:$D$1000,4,FALSE),"NOT IN PORT"))</f>
        <v/>
      </c>
      <c r="F105" t="str" cm="1">
        <f t="array" ref="F105">IFERROR(INDEX('Schwab Positions'!$D$8:$D$10000,SMALL(IF('Schwab Positions'!$E$8:$E$10000=$C$2,ROW('Schwab Positions'!$E$8:$E$10000)-7,""),ROWS($F$19:$F105))),"")</f>
        <v/>
      </c>
      <c r="G105" s="1" t="str" cm="1">
        <f t="array" ref="G105">IFERROR(INDEX('Schwab Positions'!$I$8:$I$10000,SMALL(IF('Schwab Positions'!$E$8:$E$10000=$C$2,ROW('Schwab Positions'!$E$8:$E$10000)-7,""),ROWS($G$19:$G105))),"")</f>
        <v/>
      </c>
      <c r="H105" s="100" t="str">
        <f t="shared" si="7"/>
        <v/>
      </c>
      <c r="I105" s="37" t="str" cm="1">
        <f t="array" ref="I105">IFERROR(IF($D105="Bond",IFERROR(INDEX('Schwab Positions'!$J$8:$J$10000,SMALL(IF('Schwab Positions'!$E$8:$E$10000=$C$2,ROW('Schwab Positions'!$E$8:$E$10000)-7,""),ROWS($I$19:$I105))),""),$F105*$G105),"")</f>
        <v/>
      </c>
      <c r="K105" s="117" t="str">
        <f t="shared" si="8"/>
        <v/>
      </c>
      <c r="L105" t="str">
        <f t="shared" si="9"/>
        <v/>
      </c>
      <c r="M105" s="35">
        <f>IFERROR(IF($L$5='2022 Port'!$H$3,VLOOKUP($L105,'2022 Port'!$D$6:$T$67,5,FALSE),IF($L$5='2022 Port'!$K$3,VLOOKUP($L105,'2022 Port'!$D$6:$T$67,8,FALSE),IF($L$5='2022 Port'!$N$3,VLOOKUP($L105,'2022 Port'!$D$6:$T$67,11,FALSE),IF($L$5='2022 Port'!$Q$3,VLOOKUP($L105,'2022 Port'!$D$6:$T$67,14,FALSE),IF($L$5='2022 Port'!T92,VLOOKUP($L105,'2022 Port'!$D$6:$T$67,17,FALSE),""))))),0)</f>
        <v>0</v>
      </c>
      <c r="N105" s="117" t="str">
        <f t="shared" si="6"/>
        <v/>
      </c>
      <c r="O105" s="97" t="str">
        <f>IFERROR(VLOOKUP(L105,'Schwab Positions'!$A$9:$J$10000,9,FALSE),"")</f>
        <v/>
      </c>
      <c r="P105" s="30" t="str">
        <f t="shared" si="10"/>
        <v/>
      </c>
    </row>
    <row r="106" spans="2:16">
      <c r="B106" t="str" cm="1">
        <f t="array" ref="B106">IFERROR(INDEX('Schwab Positions'!$A$8:$A$10000,SMALL(IF('Schwab Positions'!$E$8:$E$10000=$C$2,ROW('Schwab Positions'!$E$8:$E$10000)-7,""),ROWS($B$19:B106))),"")</f>
        <v/>
      </c>
      <c r="C106" t="str">
        <f>IFERROR(VLOOKUP(B106,'Schwab Positions'!$A$8:$B$10000,2,FALSE),"")</f>
        <v/>
      </c>
      <c r="D106" s="34" t="str">
        <f>IFERROR(VLOOKUP(B106,'Security Type'!$A$2:$C$1000,3,FALSE),"")</f>
        <v/>
      </c>
      <c r="E106" s="34" t="str">
        <f>IF(B106="","",IF(ISNUMBER(MATCH(B106,'2022 Port'!$D$6:$D$67,0)),VLOOKUP(B106,'Security Type'!$A$3:$D$1000,4,FALSE),"NOT IN PORT"))</f>
        <v/>
      </c>
      <c r="F106" t="str" cm="1">
        <f t="array" ref="F106">IFERROR(INDEX('Schwab Positions'!$D$8:$D$10000,SMALL(IF('Schwab Positions'!$E$8:$E$10000=$C$2,ROW('Schwab Positions'!$E$8:$E$10000)-7,""),ROWS($F$19:$F106))),"")</f>
        <v/>
      </c>
      <c r="G106" s="1" t="str" cm="1">
        <f t="array" ref="G106">IFERROR(INDEX('Schwab Positions'!$I$8:$I$10000,SMALL(IF('Schwab Positions'!$E$8:$E$10000=$C$2,ROW('Schwab Positions'!$E$8:$E$10000)-7,""),ROWS($G$19:$G106))),"")</f>
        <v/>
      </c>
      <c r="H106" s="100" t="str">
        <f t="shared" si="7"/>
        <v/>
      </c>
      <c r="I106" s="37" t="str" cm="1">
        <f t="array" ref="I106">IFERROR(IF($D106="Bond",IFERROR(INDEX('Schwab Positions'!$J$8:$J$10000,SMALL(IF('Schwab Positions'!$E$8:$E$10000=$C$2,ROW('Schwab Positions'!$E$8:$E$10000)-7,""),ROWS($I$19:$I106))),""),$F106*$G106),"")</f>
        <v/>
      </c>
      <c r="K106" s="117" t="str">
        <f t="shared" si="8"/>
        <v/>
      </c>
      <c r="L106" t="str">
        <f t="shared" si="9"/>
        <v/>
      </c>
      <c r="M106" s="35">
        <f>IFERROR(IF($L$5='2022 Port'!$H$3,VLOOKUP($L106,'2022 Port'!$D$6:$T$67,5,FALSE),IF($L$5='2022 Port'!$K$3,VLOOKUP($L106,'2022 Port'!$D$6:$T$67,8,FALSE),IF($L$5='2022 Port'!$N$3,VLOOKUP($L106,'2022 Port'!$D$6:$T$67,11,FALSE),IF($L$5='2022 Port'!$Q$3,VLOOKUP($L106,'2022 Port'!$D$6:$T$67,14,FALSE),IF($L$5='2022 Port'!T93,VLOOKUP($L106,'2022 Port'!$D$6:$T$67,17,FALSE),""))))),0)</f>
        <v>0</v>
      </c>
      <c r="N106" s="117" t="str">
        <f t="shared" si="6"/>
        <v/>
      </c>
      <c r="O106" s="97" t="str">
        <f>IFERROR(VLOOKUP(L106,'Schwab Positions'!$A$9:$J$10000,9,FALSE),"")</f>
        <v/>
      </c>
      <c r="P106" s="30" t="str">
        <f t="shared" si="10"/>
        <v/>
      </c>
    </row>
    <row r="107" spans="2:16">
      <c r="B107" t="str" cm="1">
        <f t="array" ref="B107">IFERROR(INDEX('Schwab Positions'!$A$8:$A$10000,SMALL(IF('Schwab Positions'!$E$8:$E$10000=$C$2,ROW('Schwab Positions'!$E$8:$E$10000)-7,""),ROWS($B$19:B107))),"")</f>
        <v/>
      </c>
      <c r="C107" t="str">
        <f>IFERROR(VLOOKUP(B107,'Schwab Positions'!$A$8:$B$10000,2,FALSE),"")</f>
        <v/>
      </c>
      <c r="D107" s="34" t="str">
        <f>IFERROR(VLOOKUP(B107,'Security Type'!$A$2:$C$1000,3,FALSE),"")</f>
        <v/>
      </c>
      <c r="E107" s="34" t="str">
        <f>IF(B107="","",IF(ISNUMBER(MATCH(B107,'2022 Port'!$D$6:$D$67,0)),VLOOKUP(B107,'Security Type'!$A$3:$D$1000,4,FALSE),"NOT IN PORT"))</f>
        <v/>
      </c>
      <c r="F107" t="str" cm="1">
        <f t="array" ref="F107">IFERROR(INDEX('Schwab Positions'!$D$8:$D$10000,SMALL(IF('Schwab Positions'!$E$8:$E$10000=$C$2,ROW('Schwab Positions'!$E$8:$E$10000)-7,""),ROWS($F$19:$F107))),"")</f>
        <v/>
      </c>
      <c r="G107" s="1" t="str" cm="1">
        <f t="array" ref="G107">IFERROR(INDEX('Schwab Positions'!$I$8:$I$10000,SMALL(IF('Schwab Positions'!$E$8:$E$10000=$C$2,ROW('Schwab Positions'!$E$8:$E$10000)-7,""),ROWS($G$19:$G107))),"")</f>
        <v/>
      </c>
      <c r="H107" s="100" t="str">
        <f t="shared" si="7"/>
        <v/>
      </c>
      <c r="I107" s="37" t="str" cm="1">
        <f t="array" ref="I107">IFERROR(IF($D107="Bond",IFERROR(INDEX('Schwab Positions'!$J$8:$J$10000,SMALL(IF('Schwab Positions'!$E$8:$E$10000=$C$2,ROW('Schwab Positions'!$E$8:$E$10000)-7,""),ROWS($I$19:$I107))),""),$F107*$G107),"")</f>
        <v/>
      </c>
      <c r="K107" s="117" t="str">
        <f t="shared" si="8"/>
        <v/>
      </c>
      <c r="L107" t="str">
        <f t="shared" si="9"/>
        <v/>
      </c>
      <c r="M107" s="35">
        <f>IFERROR(IF($L$5='2022 Port'!$H$3,VLOOKUP($L107,'2022 Port'!$D$6:$T$67,5,FALSE),IF($L$5='2022 Port'!$K$3,VLOOKUP($L107,'2022 Port'!$D$6:$T$67,8,FALSE),IF($L$5='2022 Port'!$N$3,VLOOKUP($L107,'2022 Port'!$D$6:$T$67,11,FALSE),IF($L$5='2022 Port'!$Q$3,VLOOKUP($L107,'2022 Port'!$D$6:$T$67,14,FALSE),IF($L$5='2022 Port'!T94,VLOOKUP($L107,'2022 Port'!$D$6:$T$67,17,FALSE),""))))),0)</f>
        <v>0</v>
      </c>
      <c r="N107" s="117" t="str">
        <f t="shared" si="6"/>
        <v/>
      </c>
      <c r="O107" s="97" t="str">
        <f>IFERROR(VLOOKUP(L107,'Schwab Positions'!$A$9:$J$10000,9,FALSE),"")</f>
        <v/>
      </c>
      <c r="P107" s="30" t="str">
        <f t="shared" si="10"/>
        <v/>
      </c>
    </row>
    <row r="108" spans="2:16">
      <c r="B108" t="str" cm="1">
        <f t="array" ref="B108">IFERROR(INDEX('Schwab Positions'!$A$8:$A$10000,SMALL(IF('Schwab Positions'!$E$8:$E$10000=$C$2,ROW('Schwab Positions'!$E$8:$E$10000)-7,""),ROWS($B$19:B108))),"")</f>
        <v/>
      </c>
      <c r="C108" t="str">
        <f>IFERROR(VLOOKUP(B108,'Schwab Positions'!$A$8:$B$10000,2,FALSE),"")</f>
        <v/>
      </c>
      <c r="D108" s="34" t="str">
        <f>IFERROR(VLOOKUP(B108,'Security Type'!$A$2:$C$1000,3,FALSE),"")</f>
        <v/>
      </c>
      <c r="E108" s="34" t="str">
        <f>IF(B108="","",IF(ISNUMBER(MATCH(B108,'2022 Port'!$D$6:$D$67,0)),VLOOKUP(B108,'Security Type'!$A$3:$D$1000,4,FALSE),"NOT IN PORT"))</f>
        <v/>
      </c>
      <c r="F108" t="str" cm="1">
        <f t="array" ref="F108">IFERROR(INDEX('Schwab Positions'!$D$8:$D$10000,SMALL(IF('Schwab Positions'!$E$8:$E$10000=$C$2,ROW('Schwab Positions'!$E$8:$E$10000)-7,""),ROWS($F$19:$F108))),"")</f>
        <v/>
      </c>
      <c r="G108" s="1" t="str" cm="1">
        <f t="array" ref="G108">IFERROR(INDEX('Schwab Positions'!$I$8:$I$10000,SMALL(IF('Schwab Positions'!$E$8:$E$10000=$C$2,ROW('Schwab Positions'!$E$8:$E$10000)-7,""),ROWS($G$19:$G108))),"")</f>
        <v/>
      </c>
      <c r="H108" s="100" t="str">
        <f t="shared" si="7"/>
        <v/>
      </c>
      <c r="I108" s="37" t="str" cm="1">
        <f t="array" ref="I108">IFERROR(IF($D108="Bond",IFERROR(INDEX('Schwab Positions'!$J$8:$J$10000,SMALL(IF('Schwab Positions'!$E$8:$E$10000=$C$2,ROW('Schwab Positions'!$E$8:$E$10000)-7,""),ROWS($I$19:$I108))),""),$F108*$G108),"")</f>
        <v/>
      </c>
      <c r="K108" s="117" t="str">
        <f t="shared" si="8"/>
        <v/>
      </c>
      <c r="L108" t="str">
        <f t="shared" si="9"/>
        <v/>
      </c>
      <c r="M108" s="35">
        <f>IFERROR(IF($L$5='2022 Port'!$H$3,VLOOKUP($L108,'2022 Port'!$D$6:$T$67,5,FALSE),IF($L$5='2022 Port'!$K$3,VLOOKUP($L108,'2022 Port'!$D$6:$T$67,8,FALSE),IF($L$5='2022 Port'!$N$3,VLOOKUP($L108,'2022 Port'!$D$6:$T$67,11,FALSE),IF($L$5='2022 Port'!$Q$3,VLOOKUP($L108,'2022 Port'!$D$6:$T$67,14,FALSE),IF($L$5='2022 Port'!T95,VLOOKUP($L108,'2022 Port'!$D$6:$T$67,17,FALSE),""))))),0)</f>
        <v>0</v>
      </c>
      <c r="N108" s="117" t="str">
        <f t="shared" si="6"/>
        <v/>
      </c>
      <c r="O108" s="97" t="str">
        <f>IFERROR(VLOOKUP(L108,'Schwab Positions'!$A$9:$J$10000,9,FALSE),"")</f>
        <v/>
      </c>
      <c r="P108" s="30" t="str">
        <f t="shared" si="10"/>
        <v/>
      </c>
    </row>
    <row r="109" spans="2:16">
      <c r="B109" t="str" cm="1">
        <f t="array" ref="B109">IFERROR(INDEX('Schwab Positions'!$A$8:$A$10000,SMALL(IF('Schwab Positions'!$E$8:$E$10000=$C$2,ROW('Schwab Positions'!$E$8:$E$10000)-7,""),ROWS($B$19:B109))),"")</f>
        <v/>
      </c>
      <c r="C109" t="str">
        <f>IFERROR(VLOOKUP(B109,'Schwab Positions'!$A$8:$B$10000,2,FALSE),"")</f>
        <v/>
      </c>
      <c r="D109" s="34" t="str">
        <f>IFERROR(VLOOKUP(B109,'Security Type'!$A$2:$C$1000,3,FALSE),"")</f>
        <v/>
      </c>
      <c r="E109" s="34" t="str">
        <f>IF(B109="","",IF(ISNUMBER(MATCH(B109,'2022 Port'!$D$6:$D$67,0)),VLOOKUP(B109,'Security Type'!$A$3:$D$1000,4,FALSE),"NOT IN PORT"))</f>
        <v/>
      </c>
      <c r="F109" t="str" cm="1">
        <f t="array" ref="F109">IFERROR(INDEX('Schwab Positions'!$D$8:$D$10000,SMALL(IF('Schwab Positions'!$E$8:$E$10000=$C$2,ROW('Schwab Positions'!$E$8:$E$10000)-7,""),ROWS($F$19:$F109))),"")</f>
        <v/>
      </c>
      <c r="G109" s="1" t="str" cm="1">
        <f t="array" ref="G109">IFERROR(INDEX('Schwab Positions'!$I$8:$I$10000,SMALL(IF('Schwab Positions'!$E$8:$E$10000=$C$2,ROW('Schwab Positions'!$E$8:$E$10000)-7,""),ROWS($G$19:$G109))),"")</f>
        <v/>
      </c>
      <c r="H109" s="100" t="str">
        <f t="shared" si="7"/>
        <v/>
      </c>
      <c r="I109" s="37" t="str" cm="1">
        <f t="array" ref="I109">IFERROR(IF($D109="Bond",IFERROR(INDEX('Schwab Positions'!$J$8:$J$10000,SMALL(IF('Schwab Positions'!$E$8:$E$10000=$C$2,ROW('Schwab Positions'!$E$8:$E$10000)-7,""),ROWS($I$19:$I109))),""),$F109*$G109),"")</f>
        <v/>
      </c>
      <c r="K109" s="117" t="str">
        <f t="shared" si="8"/>
        <v/>
      </c>
      <c r="L109" t="str">
        <f t="shared" si="9"/>
        <v/>
      </c>
      <c r="M109" s="35">
        <f>IFERROR(IF($L$5='2022 Port'!$H$3,VLOOKUP($L109,'2022 Port'!$D$6:$T$67,5,FALSE),IF($L$5='2022 Port'!$K$3,VLOOKUP($L109,'2022 Port'!$D$6:$T$67,8,FALSE),IF($L$5='2022 Port'!$N$3,VLOOKUP($L109,'2022 Port'!$D$6:$T$67,11,FALSE),IF($L$5='2022 Port'!$Q$3,VLOOKUP($L109,'2022 Port'!$D$6:$T$67,14,FALSE),IF($L$5='2022 Port'!T96,VLOOKUP($L109,'2022 Port'!$D$6:$T$67,17,FALSE),""))))),0)</f>
        <v>0</v>
      </c>
      <c r="N109" s="117" t="str">
        <f t="shared" si="6"/>
        <v/>
      </c>
      <c r="O109" s="97" t="str">
        <f>IFERROR(VLOOKUP(L109,'Schwab Positions'!$A$9:$J$10000,9,FALSE),"")</f>
        <v/>
      </c>
      <c r="P109" s="30" t="str">
        <f t="shared" si="10"/>
        <v/>
      </c>
    </row>
    <row r="110" spans="2:16">
      <c r="B110" t="str" cm="1">
        <f t="array" ref="B110">IFERROR(INDEX('Schwab Positions'!$A$8:$A$10000,SMALL(IF('Schwab Positions'!$E$8:$E$10000=$C$2,ROW('Schwab Positions'!$E$8:$E$10000)-7,""),ROWS($B$19:B110))),"")</f>
        <v/>
      </c>
      <c r="C110" t="str">
        <f>IFERROR(VLOOKUP(B110,'Schwab Positions'!$A$8:$B$10000,2,FALSE),"")</f>
        <v/>
      </c>
      <c r="D110" s="34" t="str">
        <f>IFERROR(VLOOKUP(B110,'Security Type'!$A$2:$C$1000,3,FALSE),"")</f>
        <v/>
      </c>
      <c r="E110" s="34" t="str">
        <f>IF(B110="","",IF(ISNUMBER(MATCH(B110,'2022 Port'!$D$6:$D$67,0)),VLOOKUP(B110,'Security Type'!$A$3:$D$1000,4,FALSE),"NOT IN PORT"))</f>
        <v/>
      </c>
      <c r="F110" t="str" cm="1">
        <f t="array" ref="F110">IFERROR(INDEX('Schwab Positions'!$D$8:$D$10000,SMALL(IF('Schwab Positions'!$E$8:$E$10000=$C$2,ROW('Schwab Positions'!$E$8:$E$10000)-7,""),ROWS($F$19:$F110))),"")</f>
        <v/>
      </c>
      <c r="G110" s="1" t="str" cm="1">
        <f t="array" ref="G110">IFERROR(INDEX('Schwab Positions'!$I$8:$I$10000,SMALL(IF('Schwab Positions'!$E$8:$E$10000=$C$2,ROW('Schwab Positions'!$E$8:$E$10000)-7,""),ROWS($G$19:$G110))),"")</f>
        <v/>
      </c>
      <c r="H110" s="100" t="str">
        <f t="shared" si="7"/>
        <v/>
      </c>
      <c r="I110" s="37" t="str" cm="1">
        <f t="array" ref="I110">IFERROR(IF($D110="Bond",IFERROR(INDEX('Schwab Positions'!$J$8:$J$10000,SMALL(IF('Schwab Positions'!$E$8:$E$10000=$C$2,ROW('Schwab Positions'!$E$8:$E$10000)-7,""),ROWS($I$19:$I110))),""),$F110*$G110),"")</f>
        <v/>
      </c>
      <c r="K110" s="117" t="str">
        <f t="shared" si="8"/>
        <v/>
      </c>
      <c r="L110" t="str">
        <f t="shared" si="9"/>
        <v/>
      </c>
      <c r="M110" s="35">
        <f>IFERROR(IF($L$5='2022 Port'!$H$3,VLOOKUP($L110,'2022 Port'!$D$6:$T$67,5,FALSE),IF($L$5='2022 Port'!$K$3,VLOOKUP($L110,'2022 Port'!$D$6:$T$67,8,FALSE),IF($L$5='2022 Port'!$N$3,VLOOKUP($L110,'2022 Port'!$D$6:$T$67,11,FALSE),IF($L$5='2022 Port'!$Q$3,VLOOKUP($L110,'2022 Port'!$D$6:$T$67,14,FALSE),IF($L$5='2022 Port'!T97,VLOOKUP($L110,'2022 Port'!$D$6:$T$67,17,FALSE),""))))),0)</f>
        <v>0</v>
      </c>
      <c r="N110" s="117" t="str">
        <f t="shared" si="6"/>
        <v/>
      </c>
      <c r="O110" s="97" t="str">
        <f>IFERROR(VLOOKUP(L110,'Schwab Positions'!$A$9:$J$10000,9,FALSE),"")</f>
        <v/>
      </c>
      <c r="P110" s="30" t="str">
        <f t="shared" si="10"/>
        <v/>
      </c>
    </row>
    <row r="111" spans="2:16">
      <c r="B111" t="str" cm="1">
        <f t="array" ref="B111">IFERROR(INDEX('Schwab Positions'!$A$8:$A$10000,SMALL(IF('Schwab Positions'!$E$8:$E$10000=$C$2,ROW('Schwab Positions'!$E$8:$E$10000)-7,""),ROWS($B$19:B111))),"")</f>
        <v/>
      </c>
      <c r="C111" t="str">
        <f>IFERROR(VLOOKUP(B111,'Schwab Positions'!$A$8:$B$10000,2,FALSE),"")</f>
        <v/>
      </c>
      <c r="D111" s="34" t="str">
        <f>IFERROR(VLOOKUP(B111,'Security Type'!$A$2:$C$1000,3,FALSE),"")</f>
        <v/>
      </c>
      <c r="E111" s="34" t="str">
        <f>IF(B111="","",IF(ISNUMBER(MATCH(B111,'2022 Port'!$D$6:$D$67,0)),VLOOKUP(B111,'Security Type'!$A$3:$D$1000,4,FALSE),"NOT IN PORT"))</f>
        <v/>
      </c>
      <c r="F111" t="str" cm="1">
        <f t="array" ref="F111">IFERROR(INDEX('Schwab Positions'!$D$8:$D$10000,SMALL(IF('Schwab Positions'!$E$8:$E$10000=$C$2,ROW('Schwab Positions'!$E$8:$E$10000)-7,""),ROWS($F$19:$F111))),"")</f>
        <v/>
      </c>
      <c r="G111" s="1" t="str" cm="1">
        <f t="array" ref="G111">IFERROR(INDEX('Schwab Positions'!$I$8:$I$10000,SMALL(IF('Schwab Positions'!$E$8:$E$10000=$C$2,ROW('Schwab Positions'!$E$8:$E$10000)-7,""),ROWS($G$19:$G111))),"")</f>
        <v/>
      </c>
      <c r="H111" s="100" t="str">
        <f t="shared" si="7"/>
        <v/>
      </c>
      <c r="I111" s="37" t="str" cm="1">
        <f t="array" ref="I111">IFERROR(IF($D111="Bond",IFERROR(INDEX('Schwab Positions'!$J$8:$J$10000,SMALL(IF('Schwab Positions'!$E$8:$E$10000=$C$2,ROW('Schwab Positions'!$E$8:$E$10000)-7,""),ROWS($I$19:$I111))),""),$F111*$G111),"")</f>
        <v/>
      </c>
      <c r="K111" s="117" t="str">
        <f t="shared" si="8"/>
        <v/>
      </c>
      <c r="L111" t="str">
        <f t="shared" si="9"/>
        <v/>
      </c>
      <c r="M111" s="35">
        <f>IFERROR(IF($L$5='2022 Port'!$H$3,VLOOKUP($L111,'2022 Port'!$D$6:$T$67,5,FALSE),IF($L$5='2022 Port'!$K$3,VLOOKUP($L111,'2022 Port'!$D$6:$T$67,8,FALSE),IF($L$5='2022 Port'!$N$3,VLOOKUP($L111,'2022 Port'!$D$6:$T$67,11,FALSE),IF($L$5='2022 Port'!$Q$3,VLOOKUP($L111,'2022 Port'!$D$6:$T$67,14,FALSE),IF($L$5='2022 Port'!T98,VLOOKUP($L111,'2022 Port'!$D$6:$T$67,17,FALSE),""))))),0)</f>
        <v>0</v>
      </c>
      <c r="N111" s="117" t="str">
        <f t="shared" si="6"/>
        <v/>
      </c>
      <c r="O111" s="97" t="str">
        <f>IFERROR(VLOOKUP(L111,'Schwab Positions'!$A$9:$J$10000,9,FALSE),"")</f>
        <v/>
      </c>
      <c r="P111" s="30" t="str">
        <f t="shared" si="10"/>
        <v/>
      </c>
    </row>
    <row r="112" spans="2:16">
      <c r="B112" t="str" cm="1">
        <f t="array" ref="B112">IFERROR(INDEX('Schwab Positions'!$A$8:$A$10000,SMALL(IF('Schwab Positions'!$E$8:$E$10000=$C$2,ROW('Schwab Positions'!$E$8:$E$10000)-7,""),ROWS($B$19:B112))),"")</f>
        <v/>
      </c>
      <c r="C112" t="str">
        <f>IFERROR(VLOOKUP(B112,'Schwab Positions'!$A$8:$B$10000,2,FALSE),"")</f>
        <v/>
      </c>
      <c r="D112" s="34" t="str">
        <f>IFERROR(VLOOKUP(B112,'Security Type'!$A$2:$C$1000,3,FALSE),"")</f>
        <v/>
      </c>
      <c r="E112" s="34" t="str">
        <f>IF(B112="","",IF(ISNUMBER(MATCH(B112,'2022 Port'!$D$6:$D$67,0)),VLOOKUP(B112,'Security Type'!$A$3:$D$1000,4,FALSE),"NOT IN PORT"))</f>
        <v/>
      </c>
      <c r="F112" t="str" cm="1">
        <f t="array" ref="F112">IFERROR(INDEX('Schwab Positions'!$D$8:$D$10000,SMALL(IF('Schwab Positions'!$E$8:$E$10000=$C$2,ROW('Schwab Positions'!$E$8:$E$10000)-7,""),ROWS($F$19:$F112))),"")</f>
        <v/>
      </c>
      <c r="G112" s="1" t="str" cm="1">
        <f t="array" ref="G112">IFERROR(INDEX('Schwab Positions'!$I$8:$I$10000,SMALL(IF('Schwab Positions'!$E$8:$E$10000=$C$2,ROW('Schwab Positions'!$E$8:$E$10000)-7,""),ROWS($G$19:$G112))),"")</f>
        <v/>
      </c>
      <c r="H112" s="100" t="str">
        <f t="shared" si="7"/>
        <v/>
      </c>
      <c r="I112" s="37" t="str" cm="1">
        <f t="array" ref="I112">IFERROR(IF($D112="Bond",IFERROR(INDEX('Schwab Positions'!$J$8:$J$10000,SMALL(IF('Schwab Positions'!$E$8:$E$10000=$C$2,ROW('Schwab Positions'!$E$8:$E$10000)-7,""),ROWS($I$19:$I112))),""),$F112*$G112),"")</f>
        <v/>
      </c>
      <c r="K112" s="117" t="str">
        <f t="shared" si="8"/>
        <v/>
      </c>
      <c r="L112" t="str">
        <f t="shared" si="9"/>
        <v/>
      </c>
      <c r="M112" s="35">
        <f>IFERROR(IF($L$5='2022 Port'!$H$3,VLOOKUP($L112,'2022 Port'!$D$6:$T$67,5,FALSE),IF($L$5='2022 Port'!$K$3,VLOOKUP($L112,'2022 Port'!$D$6:$T$67,8,FALSE),IF($L$5='2022 Port'!$N$3,VLOOKUP($L112,'2022 Port'!$D$6:$T$67,11,FALSE),IF($L$5='2022 Port'!$Q$3,VLOOKUP($L112,'2022 Port'!$D$6:$T$67,14,FALSE),IF($L$5='2022 Port'!T99,VLOOKUP($L112,'2022 Port'!$D$6:$T$67,17,FALSE),""))))),0)</f>
        <v>0</v>
      </c>
      <c r="N112" s="117" t="str">
        <f t="shared" si="6"/>
        <v/>
      </c>
      <c r="O112" s="97" t="str">
        <f>IFERROR(VLOOKUP(L112,'Schwab Positions'!$A$9:$J$10000,9,FALSE),"")</f>
        <v/>
      </c>
      <c r="P112" s="30" t="str">
        <f t="shared" si="10"/>
        <v/>
      </c>
    </row>
    <row r="113" spans="2:16">
      <c r="B113" t="str" cm="1">
        <f t="array" ref="B113">IFERROR(INDEX('Schwab Positions'!$A$8:$A$10000,SMALL(IF('Schwab Positions'!$E$8:$E$10000=$C$2,ROW('Schwab Positions'!$E$8:$E$10000)-7,""),ROWS($B$19:B113))),"")</f>
        <v/>
      </c>
      <c r="C113" t="str">
        <f>IFERROR(VLOOKUP(B113,'Schwab Positions'!$A$8:$B$10000,2,FALSE),"")</f>
        <v/>
      </c>
      <c r="D113" s="34" t="str">
        <f>IFERROR(VLOOKUP(B113,'Security Type'!$A$2:$C$1000,3,FALSE),"")</f>
        <v/>
      </c>
      <c r="E113" s="34" t="str">
        <f>IF(B113="","",IF(ISNUMBER(MATCH(B113,'2022 Port'!$D$6:$D$67,0)),VLOOKUP(B113,'Security Type'!$A$3:$D$1000,4,FALSE),"NOT IN PORT"))</f>
        <v/>
      </c>
      <c r="F113" t="str" cm="1">
        <f t="array" ref="F113">IFERROR(INDEX('Schwab Positions'!$D$8:$D$10000,SMALL(IF('Schwab Positions'!$E$8:$E$10000=$C$2,ROW('Schwab Positions'!$E$8:$E$10000)-7,""),ROWS($F$19:$F113))),"")</f>
        <v/>
      </c>
      <c r="G113" s="1" t="str" cm="1">
        <f t="array" ref="G113">IFERROR(INDEX('Schwab Positions'!$I$8:$I$10000,SMALL(IF('Schwab Positions'!$E$8:$E$10000=$C$2,ROW('Schwab Positions'!$E$8:$E$10000)-7,""),ROWS($G$19:$G113))),"")</f>
        <v/>
      </c>
      <c r="H113" s="100" t="str">
        <f t="shared" si="7"/>
        <v/>
      </c>
      <c r="I113" s="37" t="str" cm="1">
        <f t="array" ref="I113">IFERROR(IF($D113="Bond",IFERROR(INDEX('Schwab Positions'!$J$8:$J$10000,SMALL(IF('Schwab Positions'!$E$8:$E$10000=$C$2,ROW('Schwab Positions'!$E$8:$E$10000)-7,""),ROWS($I$19:$I113))),""),$F113*$G113),"")</f>
        <v/>
      </c>
      <c r="K113" s="117" t="str">
        <f t="shared" si="8"/>
        <v/>
      </c>
      <c r="L113" t="str">
        <f t="shared" si="9"/>
        <v/>
      </c>
      <c r="M113" s="35">
        <f>IFERROR(IF($L$5='2022 Port'!$H$3,VLOOKUP($L113,'2022 Port'!$D$6:$T$67,5,FALSE),IF($L$5='2022 Port'!$K$3,VLOOKUP($L113,'2022 Port'!$D$6:$T$67,8,FALSE),IF($L$5='2022 Port'!$N$3,VLOOKUP($L113,'2022 Port'!$D$6:$T$67,11,FALSE),IF($L$5='2022 Port'!$Q$3,VLOOKUP($L113,'2022 Port'!$D$6:$T$67,14,FALSE),IF($L$5='2022 Port'!T100,VLOOKUP($L113,'2022 Port'!$D$6:$T$67,17,FALSE),""))))),0)</f>
        <v>0</v>
      </c>
      <c r="N113" s="117" t="str">
        <f t="shared" si="6"/>
        <v/>
      </c>
      <c r="O113" s="97" t="str">
        <f>IFERROR(VLOOKUP(L113,'Schwab Positions'!$A$9:$J$10000,9,FALSE),"")</f>
        <v/>
      </c>
      <c r="P113" s="30" t="str">
        <f t="shared" si="10"/>
        <v/>
      </c>
    </row>
    <row r="114" spans="2:16">
      <c r="B114" t="str" cm="1">
        <f t="array" ref="B114">IFERROR(INDEX('Schwab Positions'!$A$8:$A$10000,SMALL(IF('Schwab Positions'!$E$8:$E$10000=$C$2,ROW('Schwab Positions'!$E$8:$E$10000)-7,""),ROWS($B$19:B114))),"")</f>
        <v/>
      </c>
      <c r="C114" t="str">
        <f>IFERROR(VLOOKUP(B114,'Schwab Positions'!$A$8:$B$10000,2,FALSE),"")</f>
        <v/>
      </c>
      <c r="D114" s="34" t="str">
        <f>IFERROR(VLOOKUP(B114,'Security Type'!$A$2:$C$1000,3,FALSE),"")</f>
        <v/>
      </c>
      <c r="E114" s="34" t="str">
        <f>IF(B114="","",IF(ISNUMBER(MATCH(B114,'2022 Port'!$D$6:$D$67,0)),VLOOKUP(B114,'Security Type'!$A$3:$D$1000,4,FALSE),"NOT IN PORT"))</f>
        <v/>
      </c>
      <c r="F114" t="str" cm="1">
        <f t="array" ref="F114">IFERROR(INDEX('Schwab Positions'!$D$8:$D$10000,SMALL(IF('Schwab Positions'!$E$8:$E$10000=$C$2,ROW('Schwab Positions'!$E$8:$E$10000)-7,""),ROWS($F$19:$F114))),"")</f>
        <v/>
      </c>
      <c r="G114" s="1" t="str" cm="1">
        <f t="array" ref="G114">IFERROR(INDEX('Schwab Positions'!$I$8:$I$10000,SMALL(IF('Schwab Positions'!$E$8:$E$10000=$C$2,ROW('Schwab Positions'!$E$8:$E$10000)-7,""),ROWS($G$19:$G114))),"")</f>
        <v/>
      </c>
      <c r="H114" s="100" t="str">
        <f t="shared" si="7"/>
        <v/>
      </c>
      <c r="I114" s="37" t="str" cm="1">
        <f t="array" ref="I114">IFERROR(IF($D114="Bond",IFERROR(INDEX('Schwab Positions'!$J$8:$J$10000,SMALL(IF('Schwab Positions'!$E$8:$E$10000=$C$2,ROW('Schwab Positions'!$E$8:$E$10000)-7,""),ROWS($I$19:$I114))),""),$F114*$G114),"")</f>
        <v/>
      </c>
      <c r="K114" s="117" t="str">
        <f t="shared" si="8"/>
        <v/>
      </c>
      <c r="L114" t="str">
        <f t="shared" si="9"/>
        <v/>
      </c>
      <c r="M114" s="35">
        <f>IFERROR(IF($L$5='2022 Port'!$H$3,VLOOKUP($L114,'2022 Port'!$D$6:$T$67,5,FALSE),IF($L$5='2022 Port'!$K$3,VLOOKUP($L114,'2022 Port'!$D$6:$T$67,8,FALSE),IF($L$5='2022 Port'!$N$3,VLOOKUP($L114,'2022 Port'!$D$6:$T$67,11,FALSE),IF($L$5='2022 Port'!$Q$3,VLOOKUP($L114,'2022 Port'!$D$6:$T$67,14,FALSE),IF($L$5='2022 Port'!T101,VLOOKUP($L114,'2022 Port'!$D$6:$T$67,17,FALSE),""))))),0)</f>
        <v>0</v>
      </c>
      <c r="N114" s="117" t="str">
        <f t="shared" si="6"/>
        <v/>
      </c>
      <c r="O114" s="97" t="str">
        <f>IFERROR(VLOOKUP(L114,'Schwab Positions'!$A$9:$J$10000,9,FALSE),"")</f>
        <v/>
      </c>
      <c r="P114" s="30" t="str">
        <f t="shared" si="10"/>
        <v/>
      </c>
    </row>
    <row r="115" spans="2:16">
      <c r="B115" t="str" cm="1">
        <f t="array" ref="B115">IFERROR(INDEX('Schwab Positions'!$A$8:$A$10000,SMALL(IF('Schwab Positions'!$E$8:$E$10000=$C$2,ROW('Schwab Positions'!$E$8:$E$10000)-7,""),ROWS($B$19:B115))),"")</f>
        <v/>
      </c>
      <c r="C115" t="str">
        <f>IFERROR(VLOOKUP(B115,'Schwab Positions'!$A$8:$B$10000,2,FALSE),"")</f>
        <v/>
      </c>
      <c r="D115" s="34" t="str">
        <f>IFERROR(VLOOKUP(B115,'Security Type'!$A$2:$C$1000,3,FALSE),"")</f>
        <v/>
      </c>
      <c r="E115" s="34" t="str">
        <f>IF(B115="","",IF(ISNUMBER(MATCH(B115,'2022 Port'!$D$6:$D$67,0)),VLOOKUP(B115,'Security Type'!$A$3:$D$1000,4,FALSE),"NOT IN PORT"))</f>
        <v/>
      </c>
      <c r="F115" t="str" cm="1">
        <f t="array" ref="F115">IFERROR(INDEX('Schwab Positions'!$D$8:$D$10000,SMALL(IF('Schwab Positions'!$E$8:$E$10000=$C$2,ROW('Schwab Positions'!$E$8:$E$10000)-7,""),ROWS($F$19:$F115))),"")</f>
        <v/>
      </c>
      <c r="G115" s="1" t="str" cm="1">
        <f t="array" ref="G115">IFERROR(INDEX('Schwab Positions'!$I$8:$I$10000,SMALL(IF('Schwab Positions'!$E$8:$E$10000=$C$2,ROW('Schwab Positions'!$E$8:$E$10000)-7,""),ROWS($G$19:$G115))),"")</f>
        <v/>
      </c>
      <c r="H115" s="100" t="str">
        <f t="shared" si="7"/>
        <v/>
      </c>
      <c r="I115" s="37" t="str" cm="1">
        <f t="array" ref="I115">IFERROR(IF($D115="Bond",IFERROR(INDEX('Schwab Positions'!$J$8:$J$10000,SMALL(IF('Schwab Positions'!$E$8:$E$10000=$C$2,ROW('Schwab Positions'!$E$8:$E$10000)-7,""),ROWS($I$19:$I115))),""),$F115*$G115),"")</f>
        <v/>
      </c>
      <c r="K115" s="117" t="str">
        <f t="shared" si="8"/>
        <v/>
      </c>
      <c r="L115" t="str">
        <f t="shared" si="9"/>
        <v/>
      </c>
      <c r="M115" s="35">
        <f>IFERROR(IF($L$5='2022 Port'!$H$3,VLOOKUP($L115,'2022 Port'!$D$6:$T$67,5,FALSE),IF($L$5='2022 Port'!$K$3,VLOOKUP($L115,'2022 Port'!$D$6:$T$67,8,FALSE),IF($L$5='2022 Port'!$N$3,VLOOKUP($L115,'2022 Port'!$D$6:$T$67,11,FALSE),IF($L$5='2022 Port'!$Q$3,VLOOKUP($L115,'2022 Port'!$D$6:$T$67,14,FALSE),IF($L$5='2022 Port'!T102,VLOOKUP($L115,'2022 Port'!$D$6:$T$67,17,FALSE),""))))),0)</f>
        <v>0</v>
      </c>
      <c r="N115" s="117" t="str">
        <f t="shared" si="6"/>
        <v/>
      </c>
      <c r="O115" s="97" t="str">
        <f>IFERROR(VLOOKUP(L115,'Schwab Positions'!$A$9:$J$10000,9,FALSE),"")</f>
        <v/>
      </c>
      <c r="P115" s="30" t="str">
        <f t="shared" si="10"/>
        <v/>
      </c>
    </row>
    <row r="116" spans="2:16">
      <c r="B116" t="str" cm="1">
        <f t="array" ref="B116">IFERROR(INDEX('Schwab Positions'!$A$8:$A$10000,SMALL(IF('Schwab Positions'!$E$8:$E$10000=$C$2,ROW('Schwab Positions'!$E$8:$E$10000)-7,""),ROWS($B$19:B116))),"")</f>
        <v/>
      </c>
      <c r="C116" t="str">
        <f>IFERROR(VLOOKUP(B116,'Schwab Positions'!$A$8:$B$10000,2,FALSE),"")</f>
        <v/>
      </c>
      <c r="D116" s="34" t="str">
        <f>IFERROR(VLOOKUP(B116,'Security Type'!$A$2:$C$1000,3,FALSE),"")</f>
        <v/>
      </c>
      <c r="E116" s="34" t="str">
        <f>IF(B116="","",IF(ISNUMBER(MATCH(B116,'2022 Port'!$D$6:$D$67,0)),VLOOKUP(B116,'Security Type'!$A$3:$D$1000,4,FALSE),"NOT IN PORT"))</f>
        <v/>
      </c>
      <c r="F116" t="str" cm="1">
        <f t="array" ref="F116">IFERROR(INDEX('Schwab Positions'!$D$8:$D$10000,SMALL(IF('Schwab Positions'!$E$8:$E$10000=$C$2,ROW('Schwab Positions'!$E$8:$E$10000)-7,""),ROWS($F$19:$F116))),"")</f>
        <v/>
      </c>
      <c r="G116" s="1" t="str" cm="1">
        <f t="array" ref="G116">IFERROR(INDEX('Schwab Positions'!$I$8:$I$10000,SMALL(IF('Schwab Positions'!$E$8:$E$10000=$C$2,ROW('Schwab Positions'!$E$8:$E$10000)-7,""),ROWS($G$19:$G116))),"")</f>
        <v/>
      </c>
      <c r="H116" s="100" t="str">
        <f t="shared" si="7"/>
        <v/>
      </c>
      <c r="I116" s="37" t="str" cm="1">
        <f t="array" ref="I116">IFERROR(IF($D116="Bond",IFERROR(INDEX('Schwab Positions'!$J$8:$J$10000,SMALL(IF('Schwab Positions'!$E$8:$E$10000=$C$2,ROW('Schwab Positions'!$E$8:$E$10000)-7,""),ROWS($I$19:$I116))),""),$F116*$G116),"")</f>
        <v/>
      </c>
      <c r="K116" s="117" t="str">
        <f t="shared" si="8"/>
        <v/>
      </c>
      <c r="L116" t="str">
        <f t="shared" si="9"/>
        <v/>
      </c>
      <c r="M116" s="35">
        <f>IFERROR(IF($L$5='2022 Port'!$H$3,VLOOKUP($L116,'2022 Port'!$D$6:$T$67,5,FALSE),IF($L$5='2022 Port'!$K$3,VLOOKUP($L116,'2022 Port'!$D$6:$T$67,8,FALSE),IF($L$5='2022 Port'!$N$3,VLOOKUP($L116,'2022 Port'!$D$6:$T$67,11,FALSE),IF($L$5='2022 Port'!$Q$3,VLOOKUP($L116,'2022 Port'!$D$6:$T$67,14,FALSE),IF($L$5='2022 Port'!T103,VLOOKUP($L116,'2022 Port'!$D$6:$T$67,17,FALSE),""))))),0)</f>
        <v>0</v>
      </c>
      <c r="N116" s="117" t="str">
        <f t="shared" si="6"/>
        <v/>
      </c>
      <c r="O116" s="97" t="str">
        <f>IFERROR(VLOOKUP(L116,'Schwab Positions'!$A$9:$J$10000,9,FALSE),"")</f>
        <v/>
      </c>
      <c r="P116" s="30" t="str">
        <f t="shared" si="10"/>
        <v/>
      </c>
    </row>
    <row r="117" spans="2:16">
      <c r="B117" t="str" cm="1">
        <f t="array" ref="B117">IFERROR(INDEX('Schwab Positions'!$A$8:$A$10000,SMALL(IF('Schwab Positions'!$E$8:$E$10000=$C$2,ROW('Schwab Positions'!$E$8:$E$10000)-7,""),ROWS($B$19:B117))),"")</f>
        <v/>
      </c>
      <c r="C117" t="str">
        <f>IFERROR(VLOOKUP(B117,'Schwab Positions'!$A$8:$B$10000,2,FALSE),"")</f>
        <v/>
      </c>
      <c r="D117" s="34" t="str">
        <f>IFERROR(VLOOKUP(B117,'Security Type'!$A$2:$C$1000,3,FALSE),"")</f>
        <v/>
      </c>
      <c r="E117" s="34" t="str">
        <f>IF(B117="","",IF(ISNUMBER(MATCH(B117,'2022 Port'!$D$6:$D$67,0)),VLOOKUP(B117,'Security Type'!$A$3:$D$1000,4,FALSE),"NOT IN PORT"))</f>
        <v/>
      </c>
      <c r="F117" t="str" cm="1">
        <f t="array" ref="F117">IFERROR(INDEX('Schwab Positions'!$D$8:$D$10000,SMALL(IF('Schwab Positions'!$E$8:$E$10000=$C$2,ROW('Schwab Positions'!$E$8:$E$10000)-7,""),ROWS($F$19:$F117))),"")</f>
        <v/>
      </c>
      <c r="G117" s="1" t="str" cm="1">
        <f t="array" ref="G117">IFERROR(INDEX('Schwab Positions'!$I$8:$I$10000,SMALL(IF('Schwab Positions'!$E$8:$E$10000=$C$2,ROW('Schwab Positions'!$E$8:$E$10000)-7,""),ROWS($G$19:$G117))),"")</f>
        <v/>
      </c>
      <c r="H117" s="100" t="str">
        <f t="shared" si="7"/>
        <v/>
      </c>
      <c r="I117" s="37" t="str" cm="1">
        <f t="array" ref="I117">IFERROR(IF($D117="Bond",IFERROR(INDEX('Schwab Positions'!$J$8:$J$10000,SMALL(IF('Schwab Positions'!$E$8:$E$10000=$C$2,ROW('Schwab Positions'!$E$8:$E$10000)-7,""),ROWS($I$19:$I117))),""),$F117*$G117),"")</f>
        <v/>
      </c>
      <c r="K117" s="117" t="str">
        <f t="shared" si="8"/>
        <v/>
      </c>
      <c r="L117" t="str">
        <f t="shared" si="9"/>
        <v/>
      </c>
      <c r="M117" s="35">
        <f>IFERROR(IF($L$5='2022 Port'!$H$3,VLOOKUP($L117,'2022 Port'!$D$6:$T$67,5,FALSE),IF($L$5='2022 Port'!$K$3,VLOOKUP($L117,'2022 Port'!$D$6:$T$67,8,FALSE),IF($L$5='2022 Port'!$N$3,VLOOKUP($L117,'2022 Port'!$D$6:$T$67,11,FALSE),IF($L$5='2022 Port'!$Q$3,VLOOKUP($L117,'2022 Port'!$D$6:$T$67,14,FALSE),IF($L$5='2022 Port'!T104,VLOOKUP($L117,'2022 Port'!$D$6:$T$67,17,FALSE),""))))),0)</f>
        <v>0</v>
      </c>
      <c r="N117" s="117" t="str">
        <f t="shared" si="6"/>
        <v/>
      </c>
      <c r="O117" s="97" t="str">
        <f>IFERROR(VLOOKUP(L117,'Schwab Positions'!$A$9:$J$10000,9,FALSE),"")</f>
        <v/>
      </c>
      <c r="P117" s="30" t="str">
        <f t="shared" si="10"/>
        <v/>
      </c>
    </row>
    <row r="118" spans="2:16">
      <c r="B118" t="str" cm="1">
        <f t="array" ref="B118">IFERROR(INDEX('Schwab Positions'!$A$8:$A$10000,SMALL(IF('Schwab Positions'!$E$8:$E$10000=$C$2,ROW('Schwab Positions'!$E$8:$E$10000)-7,""),ROWS($B$19:B118))),"")</f>
        <v/>
      </c>
      <c r="C118" t="str">
        <f>IFERROR(VLOOKUP(B118,'Schwab Positions'!$A$8:$B$10000,2,FALSE),"")</f>
        <v/>
      </c>
      <c r="D118" s="34" t="str">
        <f>IFERROR(VLOOKUP(B118,'Security Type'!$A$2:$C$1000,3,FALSE),"")</f>
        <v/>
      </c>
      <c r="E118" s="34" t="str">
        <f>IF(B118="","",IF(ISNUMBER(MATCH(B118,'2022 Port'!$D$6:$D$67,0)),VLOOKUP(B118,'Security Type'!$A$3:$D$1000,4,FALSE),"NOT IN PORT"))</f>
        <v/>
      </c>
      <c r="F118" t="str" cm="1">
        <f t="array" ref="F118">IFERROR(INDEX('Schwab Positions'!$D$8:$D$10000,SMALL(IF('Schwab Positions'!$E$8:$E$10000=$C$2,ROW('Schwab Positions'!$E$8:$E$10000)-7,""),ROWS($F$19:$F118))),"")</f>
        <v/>
      </c>
      <c r="G118" s="1" t="str" cm="1">
        <f t="array" ref="G118">IFERROR(INDEX('Schwab Positions'!$I$8:$I$10000,SMALL(IF('Schwab Positions'!$E$8:$E$10000=$C$2,ROW('Schwab Positions'!$E$8:$E$10000)-7,""),ROWS($G$19:$G118))),"")</f>
        <v/>
      </c>
      <c r="H118" s="100" t="str">
        <f t="shared" si="7"/>
        <v/>
      </c>
      <c r="I118" s="37" t="str" cm="1">
        <f t="array" ref="I118">IFERROR(IF($D118="Bond",IFERROR(INDEX('Schwab Positions'!$J$8:$J$10000,SMALL(IF('Schwab Positions'!$E$8:$E$10000=$C$2,ROW('Schwab Positions'!$E$8:$E$10000)-7,""),ROWS($I$19:$I118))),""),$F118*$G118),"")</f>
        <v/>
      </c>
      <c r="K118" s="117" t="str">
        <f t="shared" si="8"/>
        <v/>
      </c>
      <c r="L118" t="str">
        <f t="shared" si="9"/>
        <v/>
      </c>
      <c r="M118" s="35">
        <f>IFERROR(IF($L$5='2022 Port'!$H$3,VLOOKUP($L118,'2022 Port'!$D$6:$T$67,5,FALSE),IF($L$5='2022 Port'!$K$3,VLOOKUP($L118,'2022 Port'!$D$6:$T$67,8,FALSE),IF($L$5='2022 Port'!$N$3,VLOOKUP($L118,'2022 Port'!$D$6:$T$67,11,FALSE),IF($L$5='2022 Port'!$Q$3,VLOOKUP($L118,'2022 Port'!$D$6:$T$67,14,FALSE),IF($L$5='2022 Port'!T105,VLOOKUP($L118,'2022 Port'!$D$6:$T$67,17,FALSE),""))))),0)</f>
        <v>0</v>
      </c>
      <c r="N118" s="117" t="str">
        <f t="shared" si="6"/>
        <v/>
      </c>
      <c r="O118" s="97" t="str">
        <f>IFERROR(VLOOKUP(L118,'Schwab Positions'!$A$9:$J$10000,9,FALSE),"")</f>
        <v/>
      </c>
      <c r="P118" s="30" t="str">
        <f t="shared" si="10"/>
        <v/>
      </c>
    </row>
    <row r="119" spans="2:16">
      <c r="B119" t="str" cm="1">
        <f t="array" ref="B119">IFERROR(INDEX('Schwab Positions'!$A$8:$A$10000,SMALL(IF('Schwab Positions'!$E$8:$E$10000=$C$2,ROW('Schwab Positions'!$E$8:$E$10000)-7,""),ROWS($B$19:B119))),"")</f>
        <v/>
      </c>
      <c r="C119" t="str">
        <f>IFERROR(VLOOKUP(B119,'Schwab Positions'!$A$8:$B$10000,2,FALSE),"")</f>
        <v/>
      </c>
      <c r="D119" s="34" t="str">
        <f>IFERROR(VLOOKUP(B119,'Security Type'!$A$2:$C$1000,3,FALSE),"")</f>
        <v/>
      </c>
      <c r="E119" s="34" t="str">
        <f>IF(B119="","",IF(ISNUMBER(MATCH(B119,'2022 Port'!$D$6:$D$67,0)),VLOOKUP(B119,'Security Type'!$A$3:$D$1000,4,FALSE),"NOT IN PORT"))</f>
        <v/>
      </c>
      <c r="F119" t="str" cm="1">
        <f t="array" ref="F119">IFERROR(INDEX('Schwab Positions'!$D$8:$D$10000,SMALL(IF('Schwab Positions'!$E$8:$E$10000=$C$2,ROW('Schwab Positions'!$E$8:$E$10000)-7,""),ROWS($F$19:$F119))),"")</f>
        <v/>
      </c>
      <c r="G119" s="1" t="str" cm="1">
        <f t="array" ref="G119">IFERROR(INDEX('Schwab Positions'!$I$8:$I$10000,SMALL(IF('Schwab Positions'!$E$8:$E$10000=$C$2,ROW('Schwab Positions'!$E$8:$E$10000)-7,""),ROWS($G$19:$G119))),"")</f>
        <v/>
      </c>
      <c r="H119" s="100" t="str">
        <f t="shared" si="7"/>
        <v/>
      </c>
      <c r="I119" s="37" t="str" cm="1">
        <f t="array" ref="I119">IFERROR(IF($D119="Bond",IFERROR(INDEX('Schwab Positions'!$J$8:$J$10000,SMALL(IF('Schwab Positions'!$E$8:$E$10000=$C$2,ROW('Schwab Positions'!$E$8:$E$10000)-7,""),ROWS($I$19:$I119))),""),$F119*$G119),"")</f>
        <v/>
      </c>
      <c r="K119" s="117" t="str">
        <f t="shared" si="8"/>
        <v/>
      </c>
      <c r="L119" t="str">
        <f t="shared" si="9"/>
        <v/>
      </c>
      <c r="M119" s="35">
        <f>IFERROR(IF($L$5='2022 Port'!$H$3,VLOOKUP($L119,'2022 Port'!$D$6:$T$67,5,FALSE),IF($L$5='2022 Port'!$K$3,VLOOKUP($L119,'2022 Port'!$D$6:$T$67,8,FALSE),IF($L$5='2022 Port'!$N$3,VLOOKUP($L119,'2022 Port'!$D$6:$T$67,11,FALSE),IF($L$5='2022 Port'!$Q$3,VLOOKUP($L119,'2022 Port'!$D$6:$T$67,14,FALSE),IF($L$5='2022 Port'!T106,VLOOKUP($L119,'2022 Port'!$D$6:$T$67,17,FALSE),""))))),0)</f>
        <v>0</v>
      </c>
      <c r="N119" s="117" t="str">
        <f t="shared" si="6"/>
        <v/>
      </c>
      <c r="O119" s="97" t="str">
        <f>IFERROR(VLOOKUP(L119,'Schwab Positions'!$A$9:$J$10000,9,FALSE),"")</f>
        <v/>
      </c>
      <c r="P119" s="30" t="str">
        <f t="shared" si="10"/>
        <v/>
      </c>
    </row>
    <row r="120" spans="2:16">
      <c r="B120" t="str" cm="1">
        <f t="array" ref="B120">IFERROR(INDEX('Schwab Positions'!$A$8:$A$10000,SMALL(IF('Schwab Positions'!$E$8:$E$10000=$C$2,ROW('Schwab Positions'!$E$8:$E$10000)-7,""),ROWS($B$19:B120))),"")</f>
        <v/>
      </c>
      <c r="C120" t="str">
        <f>IFERROR(VLOOKUP(B120,'Schwab Positions'!$A$8:$B$10000,2,FALSE),"")</f>
        <v/>
      </c>
      <c r="D120" s="34" t="str">
        <f>IFERROR(VLOOKUP(B120,'Security Type'!$A$2:$C$1000,3,FALSE),"")</f>
        <v/>
      </c>
      <c r="E120" s="34" t="str">
        <f>IF(B120="","",IF(ISNUMBER(MATCH(B120,'2022 Port'!$D$6:$D$67,0)),VLOOKUP(B120,'Security Type'!$A$3:$D$1000,4,FALSE),"NOT IN PORT"))</f>
        <v/>
      </c>
      <c r="F120" t="str" cm="1">
        <f t="array" ref="F120">IFERROR(INDEX('Schwab Positions'!$D$8:$D$10000,SMALL(IF('Schwab Positions'!$E$8:$E$10000=$C$2,ROW('Schwab Positions'!$E$8:$E$10000)-7,""),ROWS($F$19:$F120))),"")</f>
        <v/>
      </c>
      <c r="G120" s="1" t="str" cm="1">
        <f t="array" ref="G120">IFERROR(INDEX('Schwab Positions'!$I$8:$I$10000,SMALL(IF('Schwab Positions'!$E$8:$E$10000=$C$2,ROW('Schwab Positions'!$E$8:$E$10000)-7,""),ROWS($G$19:$G120))),"")</f>
        <v/>
      </c>
      <c r="H120" s="100" t="str">
        <f t="shared" si="7"/>
        <v/>
      </c>
      <c r="I120" s="37" t="str" cm="1">
        <f t="array" ref="I120">IFERROR(IF($D120="Bond",IFERROR(INDEX('Schwab Positions'!$J$8:$J$10000,SMALL(IF('Schwab Positions'!$E$8:$E$10000=$C$2,ROW('Schwab Positions'!$E$8:$E$10000)-7,""),ROWS($I$19:$I120))),""),$F120*$G120),"")</f>
        <v/>
      </c>
      <c r="K120" s="117" t="str">
        <f t="shared" si="8"/>
        <v/>
      </c>
      <c r="L120" t="str">
        <f t="shared" si="9"/>
        <v/>
      </c>
      <c r="M120" s="35">
        <f>IFERROR(IF($L$5='2022 Port'!$H$3,VLOOKUP($L120,'2022 Port'!$D$6:$T$67,5,FALSE),IF($L$5='2022 Port'!$K$3,VLOOKUP($L120,'2022 Port'!$D$6:$T$67,8,FALSE),IF($L$5='2022 Port'!$N$3,VLOOKUP($L120,'2022 Port'!$D$6:$T$67,11,FALSE),IF($L$5='2022 Port'!$Q$3,VLOOKUP($L120,'2022 Port'!$D$6:$T$67,14,FALSE),IF($L$5='2022 Port'!T107,VLOOKUP($L120,'2022 Port'!$D$6:$T$67,17,FALSE),""))))),0)</f>
        <v>0</v>
      </c>
      <c r="N120" s="117" t="str">
        <f t="shared" si="6"/>
        <v/>
      </c>
      <c r="O120" s="97" t="str">
        <f>IFERROR(VLOOKUP(L120,'Schwab Positions'!$A$9:$J$10000,9,FALSE),"")</f>
        <v/>
      </c>
      <c r="P120" s="30" t="str">
        <f t="shared" si="10"/>
        <v/>
      </c>
    </row>
    <row r="121" spans="2:16">
      <c r="B121" t="str" cm="1">
        <f t="array" ref="B121">IFERROR(INDEX('Schwab Positions'!$A$8:$A$10000,SMALL(IF('Schwab Positions'!$E$8:$E$10000=$C$2,ROW('Schwab Positions'!$E$8:$E$10000)-7,""),ROWS($B$19:B121))),"")</f>
        <v/>
      </c>
      <c r="C121" t="str">
        <f>IFERROR(VLOOKUP(B121,'Schwab Positions'!$A$8:$B$10000,2,FALSE),"")</f>
        <v/>
      </c>
      <c r="D121" s="34" t="str">
        <f>IFERROR(VLOOKUP(B121,'Security Type'!$A$2:$C$1000,3,FALSE),"")</f>
        <v/>
      </c>
      <c r="E121" s="34" t="str">
        <f>IF(B121="","",IF(ISNUMBER(MATCH(B121,'2022 Port'!$D$6:$D$67,0)),VLOOKUP(B121,'Security Type'!$A$3:$D$1000,4,FALSE),"NOT IN PORT"))</f>
        <v/>
      </c>
      <c r="F121" t="str" cm="1">
        <f t="array" ref="F121">IFERROR(INDEX('Schwab Positions'!$D$8:$D$10000,SMALL(IF('Schwab Positions'!$E$8:$E$10000=$C$2,ROW('Schwab Positions'!$E$8:$E$10000)-7,""),ROWS($F$19:$F121))),"")</f>
        <v/>
      </c>
      <c r="G121" s="1" t="str" cm="1">
        <f t="array" ref="G121">IFERROR(INDEX('Schwab Positions'!$I$8:$I$10000,SMALL(IF('Schwab Positions'!$E$8:$E$10000=$C$2,ROW('Schwab Positions'!$E$8:$E$10000)-7,""),ROWS($G$19:$G121))),"")</f>
        <v/>
      </c>
      <c r="H121" s="100" t="str">
        <f t="shared" si="7"/>
        <v/>
      </c>
      <c r="I121" s="37" t="str" cm="1">
        <f t="array" ref="I121">IFERROR(IF($D121="Bond",IFERROR(INDEX('Schwab Positions'!$J$8:$J$10000,SMALL(IF('Schwab Positions'!$E$8:$E$10000=$C$2,ROW('Schwab Positions'!$E$8:$E$10000)-7,""),ROWS($I$19:$I121))),""),$F121*$G121),"")</f>
        <v/>
      </c>
      <c r="K121" s="117" t="str">
        <f t="shared" si="8"/>
        <v/>
      </c>
      <c r="L121" t="str">
        <f t="shared" si="9"/>
        <v/>
      </c>
      <c r="M121" s="35">
        <f>IFERROR(IF($L$5='2022 Port'!$H$3,VLOOKUP($L121,'2022 Port'!$D$6:$T$67,5,FALSE),IF($L$5='2022 Port'!$K$3,VLOOKUP($L121,'2022 Port'!$D$6:$T$67,8,FALSE),IF($L$5='2022 Port'!$N$3,VLOOKUP($L121,'2022 Port'!$D$6:$T$67,11,FALSE),IF($L$5='2022 Port'!$Q$3,VLOOKUP($L121,'2022 Port'!$D$6:$T$67,14,FALSE),IF($L$5='2022 Port'!T108,VLOOKUP($L121,'2022 Port'!$D$6:$T$67,17,FALSE),""))))),0)</f>
        <v>0</v>
      </c>
      <c r="N121" s="117" t="str">
        <f t="shared" si="6"/>
        <v/>
      </c>
      <c r="O121" s="97" t="str">
        <f>IFERROR(VLOOKUP(L121,'Schwab Positions'!$A$9:$J$10000,9,FALSE),"")</f>
        <v/>
      </c>
      <c r="P121" s="30" t="str">
        <f t="shared" si="10"/>
        <v/>
      </c>
    </row>
    <row r="122" spans="2:16">
      <c r="B122" t="str" cm="1">
        <f t="array" ref="B122">IFERROR(INDEX('Schwab Positions'!$A$8:$A$10000,SMALL(IF('Schwab Positions'!$E$8:$E$10000=$C$2,ROW('Schwab Positions'!$E$8:$E$10000)-7,""),ROWS($B$19:B122))),"")</f>
        <v/>
      </c>
      <c r="C122" t="str">
        <f>IFERROR(VLOOKUP(B122,'Schwab Positions'!$A$8:$B$10000,2,FALSE),"")</f>
        <v/>
      </c>
      <c r="D122" s="34" t="str">
        <f>IFERROR(VLOOKUP(B122,'Security Type'!$A$2:$C$1000,3,FALSE),"")</f>
        <v/>
      </c>
      <c r="E122" s="34" t="str">
        <f>IF(B122="","",IF(ISNUMBER(MATCH(B122,'2022 Port'!$D$6:$D$67,0)),VLOOKUP(B122,'Security Type'!$A$3:$D$1000,4,FALSE),"NOT IN PORT"))</f>
        <v/>
      </c>
      <c r="F122" t="str" cm="1">
        <f t="array" ref="F122">IFERROR(INDEX('Schwab Positions'!$D$8:$D$10000,SMALL(IF('Schwab Positions'!$E$8:$E$10000=$C$2,ROW('Schwab Positions'!$E$8:$E$10000)-7,""),ROWS($F$19:$F122))),"")</f>
        <v/>
      </c>
      <c r="G122" s="1" t="str" cm="1">
        <f t="array" ref="G122">IFERROR(INDEX('Schwab Positions'!$I$8:$I$10000,SMALL(IF('Schwab Positions'!$E$8:$E$10000=$C$2,ROW('Schwab Positions'!$E$8:$E$10000)-7,""),ROWS($G$19:$G122))),"")</f>
        <v/>
      </c>
      <c r="H122" s="100" t="str">
        <f t="shared" si="7"/>
        <v/>
      </c>
      <c r="I122" s="37" t="str" cm="1">
        <f t="array" ref="I122">IFERROR(IF($D122="Bond",IFERROR(INDEX('Schwab Positions'!$J$8:$J$10000,SMALL(IF('Schwab Positions'!$E$8:$E$10000=$C$2,ROW('Schwab Positions'!$E$8:$E$10000)-7,""),ROWS($I$19:$I122))),""),$F122*$G122),"")</f>
        <v/>
      </c>
      <c r="K122" s="117" t="str">
        <f t="shared" si="8"/>
        <v/>
      </c>
      <c r="L122" t="str">
        <f t="shared" si="9"/>
        <v/>
      </c>
      <c r="M122" s="35">
        <f>IFERROR(IF($L$5='2022 Port'!$H$3,VLOOKUP($L122,'2022 Port'!$D$6:$T$67,5,FALSE),IF($L$5='2022 Port'!$K$3,VLOOKUP($L122,'2022 Port'!$D$6:$T$67,8,FALSE),IF($L$5='2022 Port'!$N$3,VLOOKUP($L122,'2022 Port'!$D$6:$T$67,11,FALSE),IF($L$5='2022 Port'!$Q$3,VLOOKUP($L122,'2022 Port'!$D$6:$T$67,14,FALSE),IF($L$5='2022 Port'!T109,VLOOKUP($L122,'2022 Port'!$D$6:$T$67,17,FALSE),""))))),0)</f>
        <v>0</v>
      </c>
      <c r="N122" s="117" t="str">
        <f t="shared" ref="N122:N142" si="11">IFERROR(M122*$C$15/O122,"")</f>
        <v/>
      </c>
      <c r="O122" s="97" t="str">
        <f>IFERROR(VLOOKUP(L122,'Schwab Positions'!$A$9:$J$10000,9,FALSE),"")</f>
        <v/>
      </c>
      <c r="P122" s="30" t="str">
        <f t="shared" si="10"/>
        <v/>
      </c>
    </row>
    <row r="123" spans="2:16">
      <c r="B123" t="str" cm="1">
        <f t="array" ref="B123">IFERROR(INDEX('Schwab Positions'!$A$8:$A$10000,SMALL(IF('Schwab Positions'!$E$8:$E$10000=$C$2,ROW('Schwab Positions'!$E$8:$E$10000)-7,""),ROWS($B$19:B123))),"")</f>
        <v/>
      </c>
      <c r="C123" t="str">
        <f>IFERROR(VLOOKUP(B123,'Schwab Positions'!$A$8:$B$10000,2,FALSE),"")</f>
        <v/>
      </c>
      <c r="D123" s="34" t="str">
        <f>IFERROR(VLOOKUP(B123,'Security Type'!$A$2:$C$1000,3,FALSE),"")</f>
        <v/>
      </c>
      <c r="E123" s="34" t="str">
        <f>IF(B123="","",IF(ISNUMBER(MATCH(B123,'2022 Port'!$D$6:$D$67,0)),VLOOKUP(B123,'Security Type'!$A$3:$D$1000,4,FALSE),"NOT IN PORT"))</f>
        <v/>
      </c>
      <c r="F123" t="str" cm="1">
        <f t="array" ref="F123">IFERROR(INDEX('Schwab Positions'!$D$8:$D$10000,SMALL(IF('Schwab Positions'!$E$8:$E$10000=$C$2,ROW('Schwab Positions'!$E$8:$E$10000)-7,""),ROWS($F$19:$F123))),"")</f>
        <v/>
      </c>
      <c r="G123" s="1" t="str" cm="1">
        <f t="array" ref="G123">IFERROR(INDEX('Schwab Positions'!$I$8:$I$10000,SMALL(IF('Schwab Positions'!$E$8:$E$10000=$C$2,ROW('Schwab Positions'!$E$8:$E$10000)-7,""),ROWS($G$19:$G123))),"")</f>
        <v/>
      </c>
      <c r="H123" s="100" t="str">
        <f t="shared" si="7"/>
        <v/>
      </c>
      <c r="I123" s="37" t="str" cm="1">
        <f t="array" ref="I123">IFERROR(IF($D123="Bond",IFERROR(INDEX('Schwab Positions'!$J$8:$J$10000,SMALL(IF('Schwab Positions'!$E$8:$E$10000=$C$2,ROW('Schwab Positions'!$E$8:$E$10000)-7,""),ROWS($I$19:$I123))),""),$F123*$G123),"")</f>
        <v/>
      </c>
      <c r="K123" s="117" t="str">
        <f t="shared" si="8"/>
        <v/>
      </c>
      <c r="L123" t="str">
        <f t="shared" si="9"/>
        <v/>
      </c>
      <c r="M123" s="35">
        <f>IFERROR(IF($L$5='2022 Port'!$H$3,VLOOKUP($L123,'2022 Port'!$D$6:$T$67,5,FALSE),IF($L$5='2022 Port'!$K$3,VLOOKUP($L123,'2022 Port'!$D$6:$T$67,8,FALSE),IF($L$5='2022 Port'!$N$3,VLOOKUP($L123,'2022 Port'!$D$6:$T$67,11,FALSE),IF($L$5='2022 Port'!$Q$3,VLOOKUP($L123,'2022 Port'!$D$6:$T$67,14,FALSE),IF($L$5='2022 Port'!T110,VLOOKUP($L123,'2022 Port'!$D$6:$T$67,17,FALSE),""))))),0)</f>
        <v>0</v>
      </c>
      <c r="N123" s="117" t="str">
        <f t="shared" si="11"/>
        <v/>
      </c>
      <c r="O123" s="97" t="str">
        <f>IFERROR(VLOOKUP(L123,'Schwab Positions'!$A$9:$J$10000,9,FALSE),"")</f>
        <v/>
      </c>
      <c r="P123" s="30" t="str">
        <f t="shared" si="10"/>
        <v/>
      </c>
    </row>
    <row r="124" spans="2:16">
      <c r="B124" t="str" cm="1">
        <f t="array" ref="B124">IFERROR(INDEX('Schwab Positions'!$A$8:$A$10000,SMALL(IF('Schwab Positions'!$E$8:$E$10000=$C$2,ROW('Schwab Positions'!$E$8:$E$10000)-7,""),ROWS($B$19:B124))),"")</f>
        <v/>
      </c>
      <c r="C124" t="str">
        <f>IFERROR(VLOOKUP(B124,'Schwab Positions'!$A$8:$B$10000,2,FALSE),"")</f>
        <v/>
      </c>
      <c r="D124" s="34" t="str">
        <f>IFERROR(VLOOKUP(B124,'Security Type'!$A$2:$C$1000,3,FALSE),"")</f>
        <v/>
      </c>
      <c r="E124" s="34" t="str">
        <f>IF(B124="","",IF(ISNUMBER(MATCH(B124,'2022 Port'!$D$6:$D$67,0)),VLOOKUP(B124,'Security Type'!$A$3:$D$1000,4,FALSE),"NOT IN PORT"))</f>
        <v/>
      </c>
      <c r="F124" t="str" cm="1">
        <f t="array" ref="F124">IFERROR(INDEX('Schwab Positions'!$D$8:$D$10000,SMALL(IF('Schwab Positions'!$E$8:$E$10000=$C$2,ROW('Schwab Positions'!$E$8:$E$10000)-7,""),ROWS($F$19:$F124))),"")</f>
        <v/>
      </c>
      <c r="G124" s="1" t="str" cm="1">
        <f t="array" ref="G124">IFERROR(INDEX('Schwab Positions'!$I$8:$I$10000,SMALL(IF('Schwab Positions'!$E$8:$E$10000=$C$2,ROW('Schwab Positions'!$E$8:$E$10000)-7,""),ROWS($G$19:$G124))),"")</f>
        <v/>
      </c>
      <c r="H124" s="100" t="str">
        <f t="shared" si="7"/>
        <v/>
      </c>
      <c r="I124" s="37" t="str" cm="1">
        <f t="array" ref="I124">IFERROR(IF($D124="Bond",IFERROR(INDEX('Schwab Positions'!$J$8:$J$10000,SMALL(IF('Schwab Positions'!$E$8:$E$10000=$C$2,ROW('Schwab Positions'!$E$8:$E$10000)-7,""),ROWS($I$19:$I124))),""),$F124*$G124),"")</f>
        <v/>
      </c>
      <c r="K124" s="117" t="str">
        <f t="shared" si="8"/>
        <v/>
      </c>
      <c r="L124" t="str">
        <f t="shared" si="9"/>
        <v/>
      </c>
      <c r="M124" s="35">
        <f>IFERROR(IF($L$5='2022 Port'!$H$3,VLOOKUP($L124,'2022 Port'!$D$6:$T$67,5,FALSE),IF($L$5='2022 Port'!$K$3,VLOOKUP($L124,'2022 Port'!$D$6:$T$67,8,FALSE),IF($L$5='2022 Port'!$N$3,VLOOKUP($L124,'2022 Port'!$D$6:$T$67,11,FALSE),IF($L$5='2022 Port'!$Q$3,VLOOKUP($L124,'2022 Port'!$D$6:$T$67,14,FALSE),IF($L$5='2022 Port'!T111,VLOOKUP($L124,'2022 Port'!$D$6:$T$67,17,FALSE),""))))),0)</f>
        <v>0</v>
      </c>
      <c r="N124" s="117" t="str">
        <f t="shared" si="11"/>
        <v/>
      </c>
      <c r="O124" s="97" t="str">
        <f>IFERROR(VLOOKUP(L124,'Schwab Positions'!$A$9:$J$10000,9,FALSE),"")</f>
        <v/>
      </c>
      <c r="P124" s="30" t="str">
        <f t="shared" si="10"/>
        <v/>
      </c>
    </row>
    <row r="125" spans="2:16">
      <c r="B125" t="str" cm="1">
        <f t="array" ref="B125">IFERROR(INDEX('Schwab Positions'!$A$8:$A$10000,SMALL(IF('Schwab Positions'!$E$8:$E$10000=$C$2,ROW('Schwab Positions'!$E$8:$E$10000)-7,""),ROWS($B$19:B125))),"")</f>
        <v/>
      </c>
      <c r="C125" t="str">
        <f>IFERROR(VLOOKUP(B125,'Schwab Positions'!$A$8:$B$10000,2,FALSE),"")</f>
        <v/>
      </c>
      <c r="D125" s="34" t="str">
        <f>IFERROR(VLOOKUP(B125,'Security Type'!$A$2:$C$1000,3,FALSE),"")</f>
        <v/>
      </c>
      <c r="E125" s="34" t="str">
        <f>IF(B125="","",IF(ISNUMBER(MATCH(B125,'2022 Port'!$D$6:$D$67,0)),VLOOKUP(B125,'Security Type'!$A$3:$D$1000,4,FALSE),"NOT IN PORT"))</f>
        <v/>
      </c>
      <c r="F125" t="str" cm="1">
        <f t="array" ref="F125">IFERROR(INDEX('Schwab Positions'!$D$8:$D$10000,SMALL(IF('Schwab Positions'!$E$8:$E$10000=$C$2,ROW('Schwab Positions'!$E$8:$E$10000)-7,""),ROWS($F$19:$F125))),"")</f>
        <v/>
      </c>
      <c r="G125" s="1" t="str" cm="1">
        <f t="array" ref="G125">IFERROR(INDEX('Schwab Positions'!$I$8:$I$10000,SMALL(IF('Schwab Positions'!$E$8:$E$10000=$C$2,ROW('Schwab Positions'!$E$8:$E$10000)-7,""),ROWS($G$19:$G125))),"")</f>
        <v/>
      </c>
      <c r="H125" s="100" t="str">
        <f t="shared" si="7"/>
        <v/>
      </c>
      <c r="I125" s="37" t="str" cm="1">
        <f t="array" ref="I125">IFERROR(IF($D125="Bond",IFERROR(INDEX('Schwab Positions'!$J$8:$J$10000,SMALL(IF('Schwab Positions'!$E$8:$E$10000=$C$2,ROW('Schwab Positions'!$E$8:$E$10000)-7,""),ROWS($I$19:$I125))),""),$F125*$G125),"")</f>
        <v/>
      </c>
      <c r="K125" s="117" t="str">
        <f t="shared" si="8"/>
        <v/>
      </c>
      <c r="L125" t="str">
        <f t="shared" si="9"/>
        <v/>
      </c>
      <c r="M125" s="35">
        <f>IFERROR(IF($L$5='2022 Port'!$H$3,VLOOKUP($L125,'2022 Port'!$D$6:$T$67,5,FALSE),IF($L$5='2022 Port'!$K$3,VLOOKUP($L125,'2022 Port'!$D$6:$T$67,8,FALSE),IF($L$5='2022 Port'!$N$3,VLOOKUP($L125,'2022 Port'!$D$6:$T$67,11,FALSE),IF($L$5='2022 Port'!$Q$3,VLOOKUP($L125,'2022 Port'!$D$6:$T$67,14,FALSE),IF($L$5='2022 Port'!T112,VLOOKUP($L125,'2022 Port'!$D$6:$T$67,17,FALSE),""))))),0)</f>
        <v>0</v>
      </c>
      <c r="N125" s="117" t="str">
        <f t="shared" si="11"/>
        <v/>
      </c>
      <c r="O125" s="97" t="str">
        <f>IFERROR(VLOOKUP(L125,'Schwab Positions'!$A$9:$J$10000,9,FALSE),"")</f>
        <v/>
      </c>
      <c r="P125" s="30" t="str">
        <f t="shared" si="10"/>
        <v/>
      </c>
    </row>
    <row r="126" spans="2:16">
      <c r="B126" t="str" cm="1">
        <f t="array" ref="B126">IFERROR(INDEX('Schwab Positions'!$A$8:$A$10000,SMALL(IF('Schwab Positions'!$E$8:$E$10000=$C$2,ROW('Schwab Positions'!$E$8:$E$10000)-7,""),ROWS($B$19:B126))),"")</f>
        <v/>
      </c>
      <c r="C126" t="str">
        <f>IFERROR(VLOOKUP(B126,'Schwab Positions'!$A$8:$B$10000,2,FALSE),"")</f>
        <v/>
      </c>
      <c r="D126" s="34" t="str">
        <f>IFERROR(VLOOKUP(B126,'Security Type'!$A$2:$C$1000,3,FALSE),"")</f>
        <v/>
      </c>
      <c r="E126" s="34" t="str">
        <f>IF(B126="","",IF(ISNUMBER(MATCH(B126,'2022 Port'!$D$6:$D$67,0)),VLOOKUP(B126,'Security Type'!$A$3:$D$1000,4,FALSE),"NOT IN PORT"))</f>
        <v/>
      </c>
      <c r="F126" t="str" cm="1">
        <f t="array" ref="F126">IFERROR(INDEX('Schwab Positions'!$D$8:$D$10000,SMALL(IF('Schwab Positions'!$E$8:$E$10000=$C$2,ROW('Schwab Positions'!$E$8:$E$10000)-7,""),ROWS($F$19:$F126))),"")</f>
        <v/>
      </c>
      <c r="G126" s="1" t="str" cm="1">
        <f t="array" ref="G126">IFERROR(INDEX('Schwab Positions'!$I$8:$I$10000,SMALL(IF('Schwab Positions'!$E$8:$E$10000=$C$2,ROW('Schwab Positions'!$E$8:$E$10000)-7,""),ROWS($G$19:$G126))),"")</f>
        <v/>
      </c>
      <c r="H126" s="100" t="str">
        <f t="shared" si="7"/>
        <v/>
      </c>
      <c r="I126" s="37" t="str" cm="1">
        <f t="array" ref="I126">IFERROR(IF($D126="Bond",IFERROR(INDEX('Schwab Positions'!$J$8:$J$10000,SMALL(IF('Schwab Positions'!$E$8:$E$10000=$C$2,ROW('Schwab Positions'!$E$8:$E$10000)-7,""),ROWS($I$19:$I126))),""),$F126*$G126),"")</f>
        <v/>
      </c>
      <c r="K126" s="117" t="str">
        <f t="shared" si="8"/>
        <v/>
      </c>
      <c r="L126" t="str">
        <f t="shared" si="9"/>
        <v/>
      </c>
      <c r="M126" s="35">
        <f>IFERROR(IF($L$5='2022 Port'!$H$3,VLOOKUP($L126,'2022 Port'!$D$6:$T$67,5,FALSE),IF($L$5='2022 Port'!$K$3,VLOOKUP($L126,'2022 Port'!$D$6:$T$67,8,FALSE),IF($L$5='2022 Port'!$N$3,VLOOKUP($L126,'2022 Port'!$D$6:$T$67,11,FALSE),IF($L$5='2022 Port'!$Q$3,VLOOKUP($L126,'2022 Port'!$D$6:$T$67,14,FALSE),IF($L$5='2022 Port'!T113,VLOOKUP($L126,'2022 Port'!$D$6:$T$67,17,FALSE),""))))),0)</f>
        <v>0</v>
      </c>
      <c r="N126" s="117" t="str">
        <f t="shared" si="11"/>
        <v/>
      </c>
      <c r="O126" s="97" t="str">
        <f>IFERROR(VLOOKUP(L126,'Schwab Positions'!$A$9:$J$10000,9,FALSE),"")</f>
        <v/>
      </c>
      <c r="P126" s="30" t="str">
        <f t="shared" si="10"/>
        <v/>
      </c>
    </row>
    <row r="127" spans="2:16">
      <c r="B127" t="str" cm="1">
        <f t="array" ref="B127">IFERROR(INDEX('Schwab Positions'!$A$8:$A$10000,SMALL(IF('Schwab Positions'!$E$8:$E$10000=$C$2,ROW('Schwab Positions'!$E$8:$E$10000)-7,""),ROWS($B$19:B127))),"")</f>
        <v/>
      </c>
      <c r="C127" t="str">
        <f>IFERROR(VLOOKUP(B127,'Schwab Positions'!$A$8:$B$10000,2,FALSE),"")</f>
        <v/>
      </c>
      <c r="D127" s="34" t="str">
        <f>IFERROR(VLOOKUP(B127,'Security Type'!$A$2:$C$1000,3,FALSE),"")</f>
        <v/>
      </c>
      <c r="E127" s="34" t="str">
        <f>IF(B127="","",IF(ISNUMBER(MATCH(B127,'2022 Port'!$D$6:$D$67,0)),VLOOKUP(B127,'Security Type'!$A$3:$D$1000,4,FALSE),"NOT IN PORT"))</f>
        <v/>
      </c>
      <c r="F127" t="str" cm="1">
        <f t="array" ref="F127">IFERROR(INDEX('Schwab Positions'!$D$8:$D$10000,SMALL(IF('Schwab Positions'!$E$8:$E$10000=$C$2,ROW('Schwab Positions'!$E$8:$E$10000)-7,""),ROWS($F$19:$F127))),"")</f>
        <v/>
      </c>
      <c r="G127" s="1" t="str" cm="1">
        <f t="array" ref="G127">IFERROR(INDEX('Schwab Positions'!$I$8:$I$10000,SMALL(IF('Schwab Positions'!$E$8:$E$10000=$C$2,ROW('Schwab Positions'!$E$8:$E$10000)-7,""),ROWS($G$19:$G127))),"")</f>
        <v/>
      </c>
      <c r="H127" s="100" t="str">
        <f t="shared" si="7"/>
        <v/>
      </c>
      <c r="I127" s="37" t="str" cm="1">
        <f t="array" ref="I127">IFERROR(IF($D127="Bond",IFERROR(INDEX('Schwab Positions'!$J$8:$J$10000,SMALL(IF('Schwab Positions'!$E$8:$E$10000=$C$2,ROW('Schwab Positions'!$E$8:$E$10000)-7,""),ROWS($I$19:$I127))),""),$F127*$G127),"")</f>
        <v/>
      </c>
      <c r="K127" s="117" t="str">
        <f t="shared" si="8"/>
        <v/>
      </c>
      <c r="L127" t="str">
        <f t="shared" si="9"/>
        <v/>
      </c>
      <c r="M127" s="35">
        <f>IFERROR(IF($L$5='2022 Port'!$H$3,VLOOKUP($L127,'2022 Port'!$D$6:$T$67,5,FALSE),IF($L$5='2022 Port'!$K$3,VLOOKUP($L127,'2022 Port'!$D$6:$T$67,8,FALSE),IF($L$5='2022 Port'!$N$3,VLOOKUP($L127,'2022 Port'!$D$6:$T$67,11,FALSE),IF($L$5='2022 Port'!$Q$3,VLOOKUP($L127,'2022 Port'!$D$6:$T$67,14,FALSE),IF($L$5='2022 Port'!T114,VLOOKUP($L127,'2022 Port'!$D$6:$T$67,17,FALSE),""))))),0)</f>
        <v>0</v>
      </c>
      <c r="N127" s="117" t="str">
        <f t="shared" si="11"/>
        <v/>
      </c>
      <c r="O127" s="97" t="str">
        <f>IFERROR(VLOOKUP(L127,'Schwab Positions'!$A$9:$J$10000,9,FALSE),"")</f>
        <v/>
      </c>
      <c r="P127" s="30" t="str">
        <f t="shared" si="10"/>
        <v/>
      </c>
    </row>
    <row r="128" spans="2:16">
      <c r="B128" t="str" cm="1">
        <f t="array" ref="B128">IFERROR(INDEX('Schwab Positions'!$A$8:$A$10000,SMALL(IF('Schwab Positions'!$E$8:$E$10000=$C$2,ROW('Schwab Positions'!$E$8:$E$10000)-7,""),ROWS($B$19:B128))),"")</f>
        <v/>
      </c>
      <c r="C128" t="str">
        <f>IFERROR(VLOOKUP(B128,'Schwab Positions'!$A$8:$B$10000,2,FALSE),"")</f>
        <v/>
      </c>
      <c r="D128" s="34" t="str">
        <f>IFERROR(VLOOKUP(B128,'Security Type'!$A$2:$C$1000,3,FALSE),"")</f>
        <v/>
      </c>
      <c r="E128" s="34" t="str">
        <f>IF(B128="","",IF(ISNUMBER(MATCH(B128,'2022 Port'!$D$6:$D$67,0)),VLOOKUP(B128,'Security Type'!$A$3:$D$1000,4,FALSE),"NOT IN PORT"))</f>
        <v/>
      </c>
      <c r="F128" t="str" cm="1">
        <f t="array" ref="F128">IFERROR(INDEX('Schwab Positions'!$D$8:$D$10000,SMALL(IF('Schwab Positions'!$E$8:$E$10000=$C$2,ROW('Schwab Positions'!$E$8:$E$10000)-7,""),ROWS($F$19:$F128))),"")</f>
        <v/>
      </c>
      <c r="G128" s="1" t="str" cm="1">
        <f t="array" ref="G128">IFERROR(INDEX('Schwab Positions'!$I$8:$I$10000,SMALL(IF('Schwab Positions'!$E$8:$E$10000=$C$2,ROW('Schwab Positions'!$E$8:$E$10000)-7,""),ROWS($G$19:$G128))),"")</f>
        <v/>
      </c>
      <c r="H128" s="100" t="str">
        <f t="shared" si="7"/>
        <v/>
      </c>
      <c r="I128" s="37" t="str" cm="1">
        <f t="array" ref="I128">IFERROR(IF($D128="Bond",IFERROR(INDEX('Schwab Positions'!$J$8:$J$10000,SMALL(IF('Schwab Positions'!$E$8:$E$10000=$C$2,ROW('Schwab Positions'!$E$8:$E$10000)-7,""),ROWS($I$19:$I128))),""),$F128*$G128),"")</f>
        <v/>
      </c>
      <c r="K128" s="117" t="str">
        <f t="shared" si="8"/>
        <v/>
      </c>
      <c r="L128" t="str">
        <f t="shared" si="9"/>
        <v/>
      </c>
      <c r="M128" s="35">
        <f>IFERROR(IF($L$5='2022 Port'!$H$3,VLOOKUP($L128,'2022 Port'!$D$6:$T$67,5,FALSE),IF($L$5='2022 Port'!$K$3,VLOOKUP($L128,'2022 Port'!$D$6:$T$67,8,FALSE),IF($L$5='2022 Port'!$N$3,VLOOKUP($L128,'2022 Port'!$D$6:$T$67,11,FALSE),IF($L$5='2022 Port'!$Q$3,VLOOKUP($L128,'2022 Port'!$D$6:$T$67,14,FALSE),IF($L$5='2022 Port'!T115,VLOOKUP($L128,'2022 Port'!$D$6:$T$67,17,FALSE),""))))),0)</f>
        <v>0</v>
      </c>
      <c r="N128" s="117" t="str">
        <f t="shared" si="11"/>
        <v/>
      </c>
      <c r="O128" s="97" t="str">
        <f>IFERROR(VLOOKUP(L128,'Schwab Positions'!$A$9:$J$10000,9,FALSE),"")</f>
        <v/>
      </c>
      <c r="P128" s="30" t="str">
        <f t="shared" si="10"/>
        <v/>
      </c>
    </row>
    <row r="129" spans="2:16">
      <c r="B129" t="str" cm="1">
        <f t="array" ref="B129">IFERROR(INDEX('Schwab Positions'!$A$8:$A$10000,SMALL(IF('Schwab Positions'!$E$8:$E$10000=$C$2,ROW('Schwab Positions'!$E$8:$E$10000)-7,""),ROWS($B$19:B129))),"")</f>
        <v/>
      </c>
      <c r="C129" t="str">
        <f>IFERROR(VLOOKUP(B129,'Schwab Positions'!$A$8:$B$10000,2,FALSE),"")</f>
        <v/>
      </c>
      <c r="D129" s="34" t="str">
        <f>IFERROR(VLOOKUP(B129,'Security Type'!$A$2:$C$1000,3,FALSE),"")</f>
        <v/>
      </c>
      <c r="E129" s="34" t="str">
        <f>IF(B129="","",IF(ISNUMBER(MATCH(B129,'2022 Port'!$D$6:$D$67,0)),VLOOKUP(B129,'Security Type'!$A$3:$D$1000,4,FALSE),"NOT IN PORT"))</f>
        <v/>
      </c>
      <c r="F129" t="str" cm="1">
        <f t="array" ref="F129">IFERROR(INDEX('Schwab Positions'!$D$8:$D$10000,SMALL(IF('Schwab Positions'!$E$8:$E$10000=$C$2,ROW('Schwab Positions'!$E$8:$E$10000)-7,""),ROWS($F$19:$F129))),"")</f>
        <v/>
      </c>
      <c r="G129" s="1" t="str" cm="1">
        <f t="array" ref="G129">IFERROR(INDEX('Schwab Positions'!$I$8:$I$10000,SMALL(IF('Schwab Positions'!$E$8:$E$10000=$C$2,ROW('Schwab Positions'!$E$8:$E$10000)-7,""),ROWS($G$19:$G129))),"")</f>
        <v/>
      </c>
      <c r="H129" s="100" t="str">
        <f t="shared" si="7"/>
        <v/>
      </c>
      <c r="I129" s="37" t="str" cm="1">
        <f t="array" ref="I129">IFERROR(IF($D129="Bond",IFERROR(INDEX('Schwab Positions'!$J$8:$J$10000,SMALL(IF('Schwab Positions'!$E$8:$E$10000=$C$2,ROW('Schwab Positions'!$E$8:$E$10000)-7,""),ROWS($I$19:$I129))),""),$F129*$G129),"")</f>
        <v/>
      </c>
      <c r="K129" s="117" t="str">
        <f t="shared" si="8"/>
        <v/>
      </c>
      <c r="L129" t="str">
        <f t="shared" si="9"/>
        <v/>
      </c>
      <c r="M129" s="35">
        <f>IFERROR(IF($L$5='2022 Port'!$H$3,VLOOKUP($L129,'2022 Port'!$D$6:$T$67,5,FALSE),IF($L$5='2022 Port'!$K$3,VLOOKUP($L129,'2022 Port'!$D$6:$T$67,8,FALSE),IF($L$5='2022 Port'!$N$3,VLOOKUP($L129,'2022 Port'!$D$6:$T$67,11,FALSE),IF($L$5='2022 Port'!$Q$3,VLOOKUP($L129,'2022 Port'!$D$6:$T$67,14,FALSE),IF($L$5='2022 Port'!T116,VLOOKUP($L129,'2022 Port'!$D$6:$T$67,17,FALSE),""))))),0)</f>
        <v>0</v>
      </c>
      <c r="N129" s="117" t="str">
        <f t="shared" si="11"/>
        <v/>
      </c>
      <c r="O129" s="97" t="str">
        <f>IFERROR(VLOOKUP(L129,'Schwab Positions'!$A$9:$J$10000,9,FALSE),"")</f>
        <v/>
      </c>
      <c r="P129" s="30" t="str">
        <f t="shared" si="10"/>
        <v/>
      </c>
    </row>
    <row r="130" spans="2:16">
      <c r="B130" t="str" cm="1">
        <f t="array" ref="B130">IFERROR(INDEX('Schwab Positions'!$A$8:$A$10000,SMALL(IF('Schwab Positions'!$E$8:$E$10000=$C$2,ROW('Schwab Positions'!$E$8:$E$10000)-7,""),ROWS($B$19:B130))),"")</f>
        <v/>
      </c>
      <c r="C130" t="str">
        <f>IFERROR(VLOOKUP(B130,'Schwab Positions'!$A$8:$B$10000,2,FALSE),"")</f>
        <v/>
      </c>
      <c r="D130" s="34" t="str">
        <f>IFERROR(VLOOKUP(B130,'Security Type'!$A$2:$C$1000,3,FALSE),"")</f>
        <v/>
      </c>
      <c r="E130" s="34" t="str">
        <f>IF(B130="","",IF(ISNUMBER(MATCH(B130,'2022 Port'!$D$6:$D$67,0)),VLOOKUP(B130,'Security Type'!$A$3:$D$1000,4,FALSE),"NOT IN PORT"))</f>
        <v/>
      </c>
      <c r="F130" t="str" cm="1">
        <f t="array" ref="F130">IFERROR(INDEX('Schwab Positions'!$D$8:$D$10000,SMALL(IF('Schwab Positions'!$E$8:$E$10000=$C$2,ROW('Schwab Positions'!$E$8:$E$10000)-7,""),ROWS($F$19:$F130))),"")</f>
        <v/>
      </c>
      <c r="G130" s="1" t="str" cm="1">
        <f t="array" ref="G130">IFERROR(INDEX('Schwab Positions'!$I$8:$I$10000,SMALL(IF('Schwab Positions'!$E$8:$E$10000=$C$2,ROW('Schwab Positions'!$E$8:$E$10000)-7,""),ROWS($G$19:$G130))),"")</f>
        <v/>
      </c>
      <c r="H130" s="100" t="str">
        <f t="shared" si="7"/>
        <v/>
      </c>
      <c r="I130" s="37" t="str" cm="1">
        <f t="array" ref="I130">IFERROR(IF($D130="Bond",IFERROR(INDEX('Schwab Positions'!$J$8:$J$10000,SMALL(IF('Schwab Positions'!$E$8:$E$10000=$C$2,ROW('Schwab Positions'!$E$8:$E$10000)-7,""),ROWS($I$19:$I130))),""),$F130*$G130),"")</f>
        <v/>
      </c>
      <c r="K130" s="117" t="str">
        <f t="shared" si="8"/>
        <v/>
      </c>
      <c r="L130" t="str">
        <f t="shared" si="9"/>
        <v/>
      </c>
      <c r="M130" s="35">
        <f>IFERROR(IF($L$5='2022 Port'!$H$3,VLOOKUP($L130,'2022 Port'!$D$6:$T$67,5,FALSE),IF($L$5='2022 Port'!$K$3,VLOOKUP($L130,'2022 Port'!$D$6:$T$67,8,FALSE),IF($L$5='2022 Port'!$N$3,VLOOKUP($L130,'2022 Port'!$D$6:$T$67,11,FALSE),IF($L$5='2022 Port'!$Q$3,VLOOKUP($L130,'2022 Port'!$D$6:$T$67,14,FALSE),IF($L$5='2022 Port'!T117,VLOOKUP($L130,'2022 Port'!$D$6:$T$67,17,FALSE),""))))),0)</f>
        <v>0</v>
      </c>
      <c r="N130" s="117" t="str">
        <f t="shared" si="11"/>
        <v/>
      </c>
      <c r="O130" s="97" t="str">
        <f>IFERROR(VLOOKUP(L130,'Schwab Positions'!$A$9:$J$10000,9,FALSE),"")</f>
        <v/>
      </c>
      <c r="P130" s="30" t="str">
        <f t="shared" si="10"/>
        <v/>
      </c>
    </row>
    <row r="131" spans="2:16">
      <c r="B131" t="str" cm="1">
        <f t="array" ref="B131">IFERROR(INDEX('Schwab Positions'!$A$8:$A$10000,SMALL(IF('Schwab Positions'!$E$8:$E$10000=$C$2,ROW('Schwab Positions'!$E$8:$E$10000)-7,""),ROWS($B$19:B131))),"")</f>
        <v/>
      </c>
      <c r="C131" t="str">
        <f>IFERROR(VLOOKUP(B131,'Schwab Positions'!$A$8:$B$10000,2,FALSE),"")</f>
        <v/>
      </c>
      <c r="D131" s="34" t="str">
        <f>IFERROR(VLOOKUP(B131,'Security Type'!$A$2:$C$1000,3,FALSE),"")</f>
        <v/>
      </c>
      <c r="E131" s="34" t="str">
        <f>IF(B131="","",IF(ISNUMBER(MATCH(B131,'2022 Port'!$D$6:$D$67,0)),VLOOKUP(B131,'Security Type'!$A$3:$D$1000,4,FALSE),"NOT IN PORT"))</f>
        <v/>
      </c>
      <c r="F131" t="str" cm="1">
        <f t="array" ref="F131">IFERROR(INDEX('Schwab Positions'!$D$8:$D$10000,SMALL(IF('Schwab Positions'!$E$8:$E$10000=$C$2,ROW('Schwab Positions'!$E$8:$E$10000)-7,""),ROWS($F$19:$F131))),"")</f>
        <v/>
      </c>
      <c r="G131" s="1" t="str" cm="1">
        <f t="array" ref="G131">IFERROR(INDEX('Schwab Positions'!$I$8:$I$10000,SMALL(IF('Schwab Positions'!$E$8:$E$10000=$C$2,ROW('Schwab Positions'!$E$8:$E$10000)-7,""),ROWS($G$19:$G131))),"")</f>
        <v/>
      </c>
      <c r="H131" s="100" t="str">
        <f t="shared" si="7"/>
        <v/>
      </c>
      <c r="I131" s="37" t="str" cm="1">
        <f t="array" ref="I131">IFERROR(IF($D131="Bond",IFERROR(INDEX('Schwab Positions'!$J$8:$J$10000,SMALL(IF('Schwab Positions'!$E$8:$E$10000=$C$2,ROW('Schwab Positions'!$E$8:$E$10000)-7,""),ROWS($I$19:$I131))),""),$F131*$G131),"")</f>
        <v/>
      </c>
      <c r="K131" s="117" t="str">
        <f t="shared" si="8"/>
        <v/>
      </c>
      <c r="L131" t="str">
        <f t="shared" si="9"/>
        <v/>
      </c>
      <c r="M131" s="35">
        <f>IFERROR(IF($L$5='2022 Port'!$H$3,VLOOKUP($L131,'2022 Port'!$D$6:$T$67,5,FALSE),IF($L$5='2022 Port'!$K$3,VLOOKUP($L131,'2022 Port'!$D$6:$T$67,8,FALSE),IF($L$5='2022 Port'!$N$3,VLOOKUP($L131,'2022 Port'!$D$6:$T$67,11,FALSE),IF($L$5='2022 Port'!$Q$3,VLOOKUP($L131,'2022 Port'!$D$6:$T$67,14,FALSE),IF($L$5='2022 Port'!T118,VLOOKUP($L131,'2022 Port'!$D$6:$T$67,17,FALSE),""))))),0)</f>
        <v>0</v>
      </c>
      <c r="N131" s="117" t="str">
        <f t="shared" si="11"/>
        <v/>
      </c>
      <c r="O131" s="97" t="str">
        <f>IFERROR(VLOOKUP(L131,'Schwab Positions'!$A$9:$J$10000,9,FALSE),"")</f>
        <v/>
      </c>
      <c r="P131" s="30" t="str">
        <f t="shared" si="10"/>
        <v/>
      </c>
    </row>
    <row r="132" spans="2:16">
      <c r="B132" t="str" cm="1">
        <f t="array" ref="B132">IFERROR(INDEX('Schwab Positions'!$A$8:$A$10000,SMALL(IF('Schwab Positions'!$E$8:$E$10000=$C$2,ROW('Schwab Positions'!$E$8:$E$10000)-7,""),ROWS($B$19:B132))),"")</f>
        <v/>
      </c>
      <c r="C132" t="str">
        <f>IFERROR(VLOOKUP(B132,'Schwab Positions'!$A$8:$B$10000,2,FALSE),"")</f>
        <v/>
      </c>
      <c r="D132" s="34" t="str">
        <f>IFERROR(VLOOKUP(B132,'Security Type'!$A$2:$C$1000,3,FALSE),"")</f>
        <v/>
      </c>
      <c r="E132" s="34" t="str">
        <f>IF(B132="","",IF(ISNUMBER(MATCH(B132,'2022 Port'!$D$6:$D$67,0)),VLOOKUP(B132,'Security Type'!$A$3:$D$1000,4,FALSE),"NOT IN PORT"))</f>
        <v/>
      </c>
      <c r="F132" t="str" cm="1">
        <f t="array" ref="F132">IFERROR(INDEX('Schwab Positions'!$D$8:$D$10000,SMALL(IF('Schwab Positions'!$E$8:$E$10000=$C$2,ROW('Schwab Positions'!$E$8:$E$10000)-7,""),ROWS($F$19:$F132))),"")</f>
        <v/>
      </c>
      <c r="G132" s="1" t="str" cm="1">
        <f t="array" ref="G132">IFERROR(INDEX('Schwab Positions'!$I$8:$I$10000,SMALL(IF('Schwab Positions'!$E$8:$E$10000=$C$2,ROW('Schwab Positions'!$E$8:$E$10000)-7,""),ROWS($G$19:$G132))),"")</f>
        <v/>
      </c>
      <c r="H132" s="100" t="str">
        <f t="shared" si="7"/>
        <v/>
      </c>
      <c r="I132" s="37" t="str" cm="1">
        <f t="array" ref="I132">IFERROR(IF($D132="Bond",IFERROR(INDEX('Schwab Positions'!$J$8:$J$10000,SMALL(IF('Schwab Positions'!$E$8:$E$10000=$C$2,ROW('Schwab Positions'!$E$8:$E$10000)-7,""),ROWS($I$19:$I132))),""),$F132*$G132),"")</f>
        <v/>
      </c>
      <c r="K132" s="117" t="str">
        <f t="shared" si="8"/>
        <v/>
      </c>
      <c r="L132" t="str">
        <f t="shared" si="9"/>
        <v/>
      </c>
      <c r="M132" s="35">
        <f>IFERROR(IF($L$5='2022 Port'!$H$3,VLOOKUP($L132,'2022 Port'!$D$6:$T$67,5,FALSE),IF($L$5='2022 Port'!$K$3,VLOOKUP($L132,'2022 Port'!$D$6:$T$67,8,FALSE),IF($L$5='2022 Port'!$N$3,VLOOKUP($L132,'2022 Port'!$D$6:$T$67,11,FALSE),IF($L$5='2022 Port'!$Q$3,VLOOKUP($L132,'2022 Port'!$D$6:$T$67,14,FALSE),IF($L$5='2022 Port'!T119,VLOOKUP($L132,'2022 Port'!$D$6:$T$67,17,FALSE),""))))),0)</f>
        <v>0</v>
      </c>
      <c r="N132" s="117" t="str">
        <f t="shared" si="11"/>
        <v/>
      </c>
      <c r="O132" s="97" t="str">
        <f>IFERROR(VLOOKUP(L132,'Schwab Positions'!$A$9:$J$10000,9,FALSE),"")</f>
        <v/>
      </c>
      <c r="P132" s="30" t="str">
        <f t="shared" si="10"/>
        <v/>
      </c>
    </row>
    <row r="133" spans="2:16">
      <c r="B133" t="str" cm="1">
        <f t="array" ref="B133">IFERROR(INDEX('Schwab Positions'!$A$8:$A$10000,SMALL(IF('Schwab Positions'!$E$8:$E$10000=$C$2,ROW('Schwab Positions'!$E$8:$E$10000)-7,""),ROWS($B$19:B133))),"")</f>
        <v/>
      </c>
      <c r="C133" t="str">
        <f>IFERROR(VLOOKUP(B133,'Schwab Positions'!$A$8:$B$10000,2,FALSE),"")</f>
        <v/>
      </c>
      <c r="D133" s="34" t="str">
        <f>IFERROR(VLOOKUP(B133,'Security Type'!$A$2:$C$1000,3,FALSE),"")</f>
        <v/>
      </c>
      <c r="E133" s="34" t="str">
        <f>IF(B133="","",IF(ISNUMBER(MATCH(B133,'2022 Port'!$D$6:$D$67,0)),VLOOKUP(B133,'Security Type'!$A$3:$D$1000,4,FALSE),"NOT IN PORT"))</f>
        <v/>
      </c>
      <c r="F133" t="str" cm="1">
        <f t="array" ref="F133">IFERROR(INDEX('Schwab Positions'!$D$8:$D$10000,SMALL(IF('Schwab Positions'!$E$8:$E$10000=$C$2,ROW('Schwab Positions'!$E$8:$E$10000)-7,""),ROWS($F$19:$F133))),"")</f>
        <v/>
      </c>
      <c r="G133" s="1" t="str" cm="1">
        <f t="array" ref="G133">IFERROR(INDEX('Schwab Positions'!$I$8:$I$10000,SMALL(IF('Schwab Positions'!$E$8:$E$10000=$C$2,ROW('Schwab Positions'!$E$8:$E$10000)-7,""),ROWS($G$19:$G133))),"")</f>
        <v/>
      </c>
      <c r="H133" s="100" t="str">
        <f t="shared" si="7"/>
        <v/>
      </c>
      <c r="I133" s="37" t="str" cm="1">
        <f t="array" ref="I133">IFERROR(IF($D133="Bond",IFERROR(INDEX('Schwab Positions'!$J$8:$J$10000,SMALL(IF('Schwab Positions'!$E$8:$E$10000=$C$2,ROW('Schwab Positions'!$E$8:$E$10000)-7,""),ROWS($I$19:$I133))),""),$F133*$G133),"")</f>
        <v/>
      </c>
      <c r="K133" s="117" t="str">
        <f t="shared" si="8"/>
        <v/>
      </c>
      <c r="L133" t="str">
        <f t="shared" si="9"/>
        <v/>
      </c>
      <c r="M133" s="35">
        <f>IFERROR(IF($L$5='2022 Port'!$H$3,VLOOKUP($L133,'2022 Port'!$D$6:$T$67,5,FALSE),IF($L$5='2022 Port'!$K$3,VLOOKUP($L133,'2022 Port'!$D$6:$T$67,8,FALSE),IF($L$5='2022 Port'!$N$3,VLOOKUP($L133,'2022 Port'!$D$6:$T$67,11,FALSE),IF($L$5='2022 Port'!$Q$3,VLOOKUP($L133,'2022 Port'!$D$6:$T$67,14,FALSE),IF($L$5='2022 Port'!T120,VLOOKUP($L133,'2022 Port'!$D$6:$T$67,17,FALSE),""))))),0)</f>
        <v>0</v>
      </c>
      <c r="N133" s="117" t="str">
        <f t="shared" si="11"/>
        <v/>
      </c>
      <c r="O133" s="97" t="str">
        <f>IFERROR(VLOOKUP(L133,'Schwab Positions'!$A$9:$J$10000,9,FALSE),"")</f>
        <v/>
      </c>
      <c r="P133" s="30" t="str">
        <f t="shared" si="10"/>
        <v/>
      </c>
    </row>
    <row r="134" spans="2:16">
      <c r="B134" t="str" cm="1">
        <f t="array" ref="B134">IFERROR(INDEX('Schwab Positions'!$A$8:$A$10000,SMALL(IF('Schwab Positions'!$E$8:$E$10000=$C$2,ROW('Schwab Positions'!$E$8:$E$10000)-7,""),ROWS($B$19:B134))),"")</f>
        <v/>
      </c>
      <c r="C134" t="str">
        <f>IFERROR(VLOOKUP(B134,'Schwab Positions'!$A$8:$B$10000,2,FALSE),"")</f>
        <v/>
      </c>
      <c r="D134" s="34" t="str">
        <f>IFERROR(VLOOKUP(B134,'Security Type'!$A$2:$C$1000,3,FALSE),"")</f>
        <v/>
      </c>
      <c r="E134" s="34" t="str">
        <f>IF(B134="","",IF(ISNUMBER(MATCH(B134,'2022 Port'!$D$6:$D$67,0)),VLOOKUP(B134,'Security Type'!$A$3:$D$1000,4,FALSE),"NOT IN PORT"))</f>
        <v/>
      </c>
      <c r="F134" t="str" cm="1">
        <f t="array" ref="F134">IFERROR(INDEX('Schwab Positions'!$D$8:$D$10000,SMALL(IF('Schwab Positions'!$E$8:$E$10000=$C$2,ROW('Schwab Positions'!$E$8:$E$10000)-7,""),ROWS($F$19:$F134))),"")</f>
        <v/>
      </c>
      <c r="G134" s="1" t="str" cm="1">
        <f t="array" ref="G134">IFERROR(INDEX('Schwab Positions'!$I$8:$I$10000,SMALL(IF('Schwab Positions'!$E$8:$E$10000=$C$2,ROW('Schwab Positions'!$E$8:$E$10000)-7,""),ROWS($G$19:$G134))),"")</f>
        <v/>
      </c>
      <c r="H134" s="100" t="str">
        <f t="shared" si="7"/>
        <v/>
      </c>
      <c r="I134" s="37" t="str" cm="1">
        <f t="array" ref="I134">IFERROR(IF($D134="Bond",IFERROR(INDEX('Schwab Positions'!$J$8:$J$10000,SMALL(IF('Schwab Positions'!$E$8:$E$10000=$C$2,ROW('Schwab Positions'!$E$8:$E$10000)-7,""),ROWS($I$19:$I134))),""),$F134*$G134),"")</f>
        <v/>
      </c>
      <c r="K134" s="117" t="str">
        <f t="shared" si="8"/>
        <v/>
      </c>
      <c r="L134" t="str">
        <f t="shared" si="9"/>
        <v/>
      </c>
      <c r="M134" s="35">
        <f>IFERROR(IF($L$5='2022 Port'!$H$3,VLOOKUP($L134,'2022 Port'!$D$6:$T$67,5,FALSE),IF($L$5='2022 Port'!$K$3,VLOOKUP($L134,'2022 Port'!$D$6:$T$67,8,FALSE),IF($L$5='2022 Port'!$N$3,VLOOKUP($L134,'2022 Port'!$D$6:$T$67,11,FALSE),IF($L$5='2022 Port'!$Q$3,VLOOKUP($L134,'2022 Port'!$D$6:$T$67,14,FALSE),IF($L$5='2022 Port'!T121,VLOOKUP($L134,'2022 Port'!$D$6:$T$67,17,FALSE),""))))),0)</f>
        <v>0</v>
      </c>
      <c r="N134" s="117" t="str">
        <f t="shared" si="11"/>
        <v/>
      </c>
      <c r="O134" s="97" t="str">
        <f>IFERROR(VLOOKUP(L134,'Schwab Positions'!$A$9:$J$10000,9,FALSE),"")</f>
        <v/>
      </c>
      <c r="P134" s="30" t="str">
        <f t="shared" si="10"/>
        <v/>
      </c>
    </row>
    <row r="135" spans="2:16">
      <c r="B135" t="str" cm="1">
        <f t="array" ref="B135">IFERROR(INDEX('Schwab Positions'!$A$8:$A$10000,SMALL(IF('Schwab Positions'!$E$8:$E$10000=$C$2,ROW('Schwab Positions'!$E$8:$E$10000)-7,""),ROWS($B$19:B135))),"")</f>
        <v/>
      </c>
      <c r="C135" t="str">
        <f>IFERROR(VLOOKUP(B135,'Schwab Positions'!$A$8:$B$10000,2,FALSE),"")</f>
        <v/>
      </c>
      <c r="D135" s="34" t="str">
        <f>IFERROR(VLOOKUP(B135,'Security Type'!$A$2:$C$1000,3,FALSE),"")</f>
        <v/>
      </c>
      <c r="E135" s="34" t="str">
        <f>IF(B135="","",IF(ISNUMBER(MATCH(B135,'2022 Port'!$D$6:$D$67,0)),VLOOKUP(B135,'Security Type'!$A$3:$D$1000,4,FALSE),"NOT IN PORT"))</f>
        <v/>
      </c>
      <c r="F135" t="str" cm="1">
        <f t="array" ref="F135">IFERROR(INDEX('Schwab Positions'!$D$8:$D$10000,SMALL(IF('Schwab Positions'!$E$8:$E$10000=$C$2,ROW('Schwab Positions'!$E$8:$E$10000)-7,""),ROWS($F$19:$F135))),"")</f>
        <v/>
      </c>
      <c r="G135" s="1" t="str" cm="1">
        <f t="array" ref="G135">IFERROR(INDEX('Schwab Positions'!$I$8:$I$10000,SMALL(IF('Schwab Positions'!$E$8:$E$10000=$C$2,ROW('Schwab Positions'!$E$8:$E$10000)-7,""),ROWS($G$19:$G135))),"")</f>
        <v/>
      </c>
      <c r="H135" s="100" t="str">
        <f t="shared" si="7"/>
        <v/>
      </c>
      <c r="I135" s="37" t="str" cm="1">
        <f t="array" ref="I135">IFERROR(IF($D135="Bond",IFERROR(INDEX('Schwab Positions'!$J$8:$J$10000,SMALL(IF('Schwab Positions'!$E$8:$E$10000=$C$2,ROW('Schwab Positions'!$E$8:$E$10000)-7,""),ROWS($I$19:$I135))),""),$F135*$G135),"")</f>
        <v/>
      </c>
      <c r="K135" s="117" t="str">
        <f t="shared" si="8"/>
        <v/>
      </c>
      <c r="L135" t="str">
        <f t="shared" si="9"/>
        <v/>
      </c>
      <c r="M135" s="35">
        <f>IFERROR(IF($L$5='2022 Port'!$H$3,VLOOKUP($L135,'2022 Port'!$D$6:$T$67,5,FALSE),IF($L$5='2022 Port'!$K$3,VLOOKUP($L135,'2022 Port'!$D$6:$T$67,8,FALSE),IF($L$5='2022 Port'!$N$3,VLOOKUP($L135,'2022 Port'!$D$6:$T$67,11,FALSE),IF($L$5='2022 Port'!$Q$3,VLOOKUP($L135,'2022 Port'!$D$6:$T$67,14,FALSE),IF($L$5='2022 Port'!T122,VLOOKUP($L135,'2022 Port'!$D$6:$T$67,17,FALSE),""))))),0)</f>
        <v>0</v>
      </c>
      <c r="N135" s="117" t="str">
        <f t="shared" si="11"/>
        <v/>
      </c>
      <c r="O135" s="97" t="str">
        <f>IFERROR(VLOOKUP(L135,'Schwab Positions'!$A$9:$J$10000,9,FALSE),"")</f>
        <v/>
      </c>
      <c r="P135" s="30" t="str">
        <f t="shared" si="10"/>
        <v/>
      </c>
    </row>
    <row r="136" spans="2:16">
      <c r="B136" t="str" cm="1">
        <f t="array" ref="B136">IFERROR(INDEX('Schwab Positions'!$A$8:$A$10000,SMALL(IF('Schwab Positions'!$E$8:$E$10000=$C$2,ROW('Schwab Positions'!$E$8:$E$10000)-7,""),ROWS($B$19:B136))),"")</f>
        <v/>
      </c>
      <c r="C136" t="str">
        <f>IFERROR(VLOOKUP(B136,'Schwab Positions'!$A$8:$B$10000,2,FALSE),"")</f>
        <v/>
      </c>
      <c r="D136" s="34" t="str">
        <f>IFERROR(VLOOKUP(B136,'Security Type'!$A$2:$C$1000,3,FALSE),"")</f>
        <v/>
      </c>
      <c r="E136" s="34" t="str">
        <f>IF(B136="","",IF(ISNUMBER(MATCH(B136,'2022 Port'!$D$6:$D$67,0)),VLOOKUP(B136,'Security Type'!$A$3:$D$1000,4,FALSE),"NOT IN PORT"))</f>
        <v/>
      </c>
      <c r="F136" t="str" cm="1">
        <f t="array" ref="F136">IFERROR(INDEX('Schwab Positions'!$D$8:$D$10000,SMALL(IF('Schwab Positions'!$E$8:$E$10000=$C$2,ROW('Schwab Positions'!$E$8:$E$10000)-7,""),ROWS($F$19:$F136))),"")</f>
        <v/>
      </c>
      <c r="G136" s="1" t="str" cm="1">
        <f t="array" ref="G136">IFERROR(INDEX('Schwab Positions'!$I$8:$I$10000,SMALL(IF('Schwab Positions'!$E$8:$E$10000=$C$2,ROW('Schwab Positions'!$E$8:$E$10000)-7,""),ROWS($G$19:$G136))),"")</f>
        <v/>
      </c>
      <c r="H136" s="100" t="str">
        <f t="shared" si="7"/>
        <v/>
      </c>
      <c r="I136" s="37" t="str" cm="1">
        <f t="array" ref="I136">IFERROR(IF($D136="Bond",IFERROR(INDEX('Schwab Positions'!$J$8:$J$10000,SMALL(IF('Schwab Positions'!$E$8:$E$10000=$C$2,ROW('Schwab Positions'!$E$8:$E$10000)-7,""),ROWS($I$19:$I136))),""),$F136*$G136),"")</f>
        <v/>
      </c>
      <c r="K136" s="117" t="str">
        <f t="shared" si="8"/>
        <v/>
      </c>
      <c r="L136" t="str">
        <f t="shared" si="9"/>
        <v/>
      </c>
      <c r="M136" s="35">
        <f>IFERROR(IF($L$5='2022 Port'!$H$3,VLOOKUP($L136,'2022 Port'!$D$6:$T$67,5,FALSE),IF($L$5='2022 Port'!$K$3,VLOOKUP($L136,'2022 Port'!$D$6:$T$67,8,FALSE),IF($L$5='2022 Port'!$N$3,VLOOKUP($L136,'2022 Port'!$D$6:$T$67,11,FALSE),IF($L$5='2022 Port'!$Q$3,VLOOKUP($L136,'2022 Port'!$D$6:$T$67,14,FALSE),IF($L$5='2022 Port'!T123,VLOOKUP($L136,'2022 Port'!$D$6:$T$67,17,FALSE),""))))),0)</f>
        <v>0</v>
      </c>
      <c r="N136" s="117" t="str">
        <f t="shared" si="11"/>
        <v/>
      </c>
      <c r="O136" s="97" t="str">
        <f>IFERROR(VLOOKUP(L136,'Schwab Positions'!$A$9:$J$10000,9,FALSE),"")</f>
        <v/>
      </c>
      <c r="P136" s="30" t="str">
        <f t="shared" si="10"/>
        <v/>
      </c>
    </row>
    <row r="137" spans="2:16">
      <c r="B137" t="str" cm="1">
        <f t="array" ref="B137">IFERROR(INDEX('Schwab Positions'!$A$8:$A$10000,SMALL(IF('Schwab Positions'!$E$8:$E$10000=$C$2,ROW('Schwab Positions'!$E$8:$E$10000)-7,""),ROWS($B$19:B137))),"")</f>
        <v/>
      </c>
      <c r="C137" t="str">
        <f>IFERROR(VLOOKUP(B137,'Schwab Positions'!$A$8:$B$10000,2,FALSE),"")</f>
        <v/>
      </c>
      <c r="D137" s="34" t="str">
        <f>IFERROR(VLOOKUP(B137,'Security Type'!$A$2:$C$1000,3,FALSE),"")</f>
        <v/>
      </c>
      <c r="E137" s="34" t="str">
        <f>IF(B137="","",IF(ISNUMBER(MATCH(B137,'2022 Port'!$D$6:$D$67,0)),VLOOKUP(B137,'Security Type'!$A$3:$D$1000,4,FALSE),"NOT IN PORT"))</f>
        <v/>
      </c>
      <c r="F137" t="str" cm="1">
        <f t="array" ref="F137">IFERROR(INDEX('Schwab Positions'!$D$8:$D$10000,SMALL(IF('Schwab Positions'!$E$8:$E$10000=$C$2,ROW('Schwab Positions'!$E$8:$E$10000)-7,""),ROWS($F$19:$F137))),"")</f>
        <v/>
      </c>
      <c r="G137" s="1" t="str" cm="1">
        <f t="array" ref="G137">IFERROR(INDEX('Schwab Positions'!$I$8:$I$10000,SMALL(IF('Schwab Positions'!$E$8:$E$10000=$C$2,ROW('Schwab Positions'!$E$8:$E$10000)-7,""),ROWS($G$19:$G137))),"")</f>
        <v/>
      </c>
      <c r="H137" s="100" t="str">
        <f t="shared" si="7"/>
        <v/>
      </c>
      <c r="I137" s="37" t="str" cm="1">
        <f t="array" ref="I137">IFERROR(IF($D137="Bond",IFERROR(INDEX('Schwab Positions'!$J$8:$J$10000,SMALL(IF('Schwab Positions'!$E$8:$E$10000=$C$2,ROW('Schwab Positions'!$E$8:$E$10000)-7,""),ROWS($I$19:$I137))),""),$F137*$G137),"")</f>
        <v/>
      </c>
      <c r="K137" s="117" t="str">
        <f t="shared" si="8"/>
        <v/>
      </c>
      <c r="L137" t="str">
        <f t="shared" si="9"/>
        <v/>
      </c>
      <c r="M137" s="35">
        <f>IFERROR(IF($L$5='2022 Port'!$H$3,VLOOKUP($L137,'2022 Port'!$D$6:$T$67,5,FALSE),IF($L$5='2022 Port'!$K$3,VLOOKUP($L137,'2022 Port'!$D$6:$T$67,8,FALSE),IF($L$5='2022 Port'!$N$3,VLOOKUP($L137,'2022 Port'!$D$6:$T$67,11,FALSE),IF($L$5='2022 Port'!$Q$3,VLOOKUP($L137,'2022 Port'!$D$6:$T$67,14,FALSE),IF($L$5='2022 Port'!T124,VLOOKUP($L137,'2022 Port'!$D$6:$T$67,17,FALSE),""))))),0)</f>
        <v>0</v>
      </c>
      <c r="N137" s="117" t="str">
        <f t="shared" si="11"/>
        <v/>
      </c>
      <c r="O137" s="97" t="str">
        <f>IFERROR(VLOOKUP(L137,'Schwab Positions'!$A$9:$J$10000,9,FALSE),"")</f>
        <v/>
      </c>
      <c r="P137" s="30" t="str">
        <f t="shared" si="10"/>
        <v/>
      </c>
    </row>
    <row r="138" spans="2:16">
      <c r="B138" t="str" cm="1">
        <f t="array" ref="B138">IFERROR(INDEX('Schwab Positions'!$A$8:$A$10000,SMALL(IF('Schwab Positions'!$E$8:$E$10000=$C$2,ROW('Schwab Positions'!$E$8:$E$10000)-7,""),ROWS($B$19:B138))),"")</f>
        <v/>
      </c>
      <c r="C138" t="str">
        <f>IFERROR(VLOOKUP(B138,'Schwab Positions'!$A$8:$B$10000,2,FALSE),"")</f>
        <v/>
      </c>
      <c r="D138" s="34" t="str">
        <f>IFERROR(VLOOKUP(B138,'Security Type'!$A$2:$C$1000,3,FALSE),"")</f>
        <v/>
      </c>
      <c r="E138" s="34" t="str">
        <f>IF(B138="","",IF(ISNUMBER(MATCH(B138,'2022 Port'!$D$6:$D$67,0)),VLOOKUP(B138,'Security Type'!$A$3:$D$1000,4,FALSE),"NOT IN PORT"))</f>
        <v/>
      </c>
      <c r="F138" t="str" cm="1">
        <f t="array" ref="F138">IFERROR(INDEX('Schwab Positions'!$D$8:$D$10000,SMALL(IF('Schwab Positions'!$E$8:$E$10000=$C$2,ROW('Schwab Positions'!$E$8:$E$10000)-7,""),ROWS($F$19:$F138))),"")</f>
        <v/>
      </c>
      <c r="G138" s="1" t="str" cm="1">
        <f t="array" ref="G138">IFERROR(INDEX('Schwab Positions'!$I$8:$I$10000,SMALL(IF('Schwab Positions'!$E$8:$E$10000=$C$2,ROW('Schwab Positions'!$E$8:$E$10000)-7,""),ROWS($G$19:$G138))),"")</f>
        <v/>
      </c>
      <c r="H138" s="100" t="str">
        <f t="shared" si="7"/>
        <v/>
      </c>
      <c r="I138" s="37" t="str" cm="1">
        <f t="array" ref="I138">IFERROR(IF($D138="Bond",IFERROR(INDEX('Schwab Positions'!$J$8:$J$10000,SMALL(IF('Schwab Positions'!$E$8:$E$10000=$C$2,ROW('Schwab Positions'!$E$8:$E$10000)-7,""),ROWS($I$19:$I138))),""),$F138*$G138),"")</f>
        <v/>
      </c>
      <c r="K138" s="117" t="str">
        <f t="shared" si="8"/>
        <v/>
      </c>
      <c r="L138" t="str">
        <f t="shared" si="9"/>
        <v/>
      </c>
      <c r="M138" s="35">
        <f>IFERROR(IF($L$5='2022 Port'!$H$3,VLOOKUP($L138,'2022 Port'!$D$6:$T$67,5,FALSE),IF($L$5='2022 Port'!$K$3,VLOOKUP($L138,'2022 Port'!$D$6:$T$67,8,FALSE),IF($L$5='2022 Port'!$N$3,VLOOKUP($L138,'2022 Port'!$D$6:$T$67,11,FALSE),IF($L$5='2022 Port'!$Q$3,VLOOKUP($L138,'2022 Port'!$D$6:$T$67,14,FALSE),IF($L$5='2022 Port'!T125,VLOOKUP($L138,'2022 Port'!$D$6:$T$67,17,FALSE),""))))),0)</f>
        <v>0</v>
      </c>
      <c r="N138" s="117" t="str">
        <f t="shared" si="11"/>
        <v/>
      </c>
      <c r="O138" s="97" t="str">
        <f>IFERROR(VLOOKUP(L138,'Schwab Positions'!$A$9:$J$10000,9,FALSE),"")</f>
        <v/>
      </c>
      <c r="P138" s="30" t="str">
        <f t="shared" si="10"/>
        <v/>
      </c>
    </row>
    <row r="139" spans="2:16">
      <c r="B139" t="str" cm="1">
        <f t="array" ref="B139">IFERROR(INDEX('Schwab Positions'!$A$8:$A$10000,SMALL(IF('Schwab Positions'!$E$8:$E$10000=$C$2,ROW('Schwab Positions'!$E$8:$E$10000)-7,""),ROWS($B$19:B139))),"")</f>
        <v/>
      </c>
      <c r="C139" t="str">
        <f>IFERROR(VLOOKUP(B139,'Schwab Positions'!$A$8:$B$10000,2,FALSE),"")</f>
        <v/>
      </c>
      <c r="D139" s="34" t="str">
        <f>IFERROR(VLOOKUP(B139,'Security Type'!$A$2:$C$1000,3,FALSE),"")</f>
        <v/>
      </c>
      <c r="E139" s="34" t="str">
        <f>IF(B139="","",IF(ISNUMBER(MATCH(B139,'2022 Port'!$D$6:$D$67,0)),VLOOKUP(B139,'Security Type'!$A$3:$D$1000,4,FALSE),"NOT IN PORT"))</f>
        <v/>
      </c>
      <c r="F139" t="str" cm="1">
        <f t="array" ref="F139">IFERROR(INDEX('Schwab Positions'!$D$8:$D$10000,SMALL(IF('Schwab Positions'!$E$8:$E$10000=$C$2,ROW('Schwab Positions'!$E$8:$E$10000)-7,""),ROWS($F$19:$F139))),"")</f>
        <v/>
      </c>
      <c r="G139" s="1" t="str" cm="1">
        <f t="array" ref="G139">IFERROR(INDEX('Schwab Positions'!$I$8:$I$10000,SMALL(IF('Schwab Positions'!$E$8:$E$10000=$C$2,ROW('Schwab Positions'!$E$8:$E$10000)-7,""),ROWS($G$19:$G139))),"")</f>
        <v/>
      </c>
      <c r="H139" s="100" t="str">
        <f t="shared" si="7"/>
        <v/>
      </c>
      <c r="I139" s="37" t="str" cm="1">
        <f t="array" ref="I139">IFERROR(IF($D139="Bond",IFERROR(INDEX('Schwab Positions'!$J$8:$J$10000,SMALL(IF('Schwab Positions'!$E$8:$E$10000=$C$2,ROW('Schwab Positions'!$E$8:$E$10000)-7,""),ROWS($I$19:$I139))),""),$F139*$G139),"")</f>
        <v/>
      </c>
      <c r="K139" s="117" t="str">
        <f t="shared" si="8"/>
        <v/>
      </c>
      <c r="L139" t="str">
        <f t="shared" si="9"/>
        <v/>
      </c>
      <c r="M139" s="35">
        <f>IFERROR(IF($L$5='2022 Port'!$H$3,VLOOKUP($L139,'2022 Port'!$D$6:$T$67,5,FALSE),IF($L$5='2022 Port'!$K$3,VLOOKUP($L139,'2022 Port'!$D$6:$T$67,8,FALSE),IF($L$5='2022 Port'!$N$3,VLOOKUP($L139,'2022 Port'!$D$6:$T$67,11,FALSE),IF($L$5='2022 Port'!$Q$3,VLOOKUP($L139,'2022 Port'!$D$6:$T$67,14,FALSE),IF($L$5='2022 Port'!T126,VLOOKUP($L139,'2022 Port'!$D$6:$T$67,17,FALSE),""))))),0)</f>
        <v>0</v>
      </c>
      <c r="N139" s="117" t="str">
        <f t="shared" si="11"/>
        <v/>
      </c>
      <c r="O139" s="97" t="str">
        <f>IFERROR(VLOOKUP(L139,'Schwab Positions'!$A$9:$J$10000,9,FALSE),"")</f>
        <v/>
      </c>
      <c r="P139" s="30" t="str">
        <f t="shared" si="10"/>
        <v/>
      </c>
    </row>
    <row r="140" spans="2:16">
      <c r="B140" t="str" cm="1">
        <f t="array" ref="B140">IFERROR(INDEX('Schwab Positions'!$A$8:$A$10000,SMALL(IF('Schwab Positions'!$E$8:$E$10000=$C$2,ROW('Schwab Positions'!$E$8:$E$10000)-7,""),ROWS($B$19:B140))),"")</f>
        <v/>
      </c>
      <c r="C140" t="str">
        <f>IFERROR(VLOOKUP(B140,'Schwab Positions'!$A$8:$B$10000,2,FALSE),"")</f>
        <v/>
      </c>
      <c r="D140" s="34" t="str">
        <f>IFERROR(VLOOKUP(B140,'Security Type'!$A$2:$C$1000,3,FALSE),"")</f>
        <v/>
      </c>
      <c r="E140" s="34" t="str">
        <f>IF(B140="","",IF(ISNUMBER(MATCH(B140,'2022 Port'!$D$6:$D$67,0)),VLOOKUP(B140,'Security Type'!$A$3:$D$1000,4,FALSE),"NOT IN PORT"))</f>
        <v/>
      </c>
      <c r="F140" t="str" cm="1">
        <f t="array" ref="F140">IFERROR(INDEX('Schwab Positions'!$D$8:$D$10000,SMALL(IF('Schwab Positions'!$E$8:$E$10000=$C$2,ROW('Schwab Positions'!$E$8:$E$10000)-7,""),ROWS($F$19:$F140))),"")</f>
        <v/>
      </c>
      <c r="G140" s="1" t="str" cm="1">
        <f t="array" ref="G140">IFERROR(INDEX('Schwab Positions'!$I$8:$I$10000,SMALL(IF('Schwab Positions'!$E$8:$E$10000=$C$2,ROW('Schwab Positions'!$E$8:$E$10000)-7,""),ROWS($G$19:$G140))),"")</f>
        <v/>
      </c>
      <c r="H140" s="100" t="str">
        <f t="shared" si="7"/>
        <v/>
      </c>
      <c r="I140" s="37" t="str" cm="1">
        <f t="array" ref="I140">IFERROR(IF($D140="Bond",IFERROR(INDEX('Schwab Positions'!$J$8:$J$10000,SMALL(IF('Schwab Positions'!$E$8:$E$10000=$C$2,ROW('Schwab Positions'!$E$8:$E$10000)-7,""),ROWS($I$19:$I140))),""),$F140*$G140),"")</f>
        <v/>
      </c>
      <c r="K140" s="117" t="str">
        <f t="shared" si="8"/>
        <v/>
      </c>
      <c r="L140" t="str">
        <f t="shared" si="9"/>
        <v/>
      </c>
      <c r="M140" s="35">
        <f>IFERROR(IF($L$5='2022 Port'!$H$3,VLOOKUP($L140,'2022 Port'!$D$6:$T$67,5,FALSE),IF($L$5='2022 Port'!$K$3,VLOOKUP($L140,'2022 Port'!$D$6:$T$67,8,FALSE),IF($L$5='2022 Port'!$N$3,VLOOKUP($L140,'2022 Port'!$D$6:$T$67,11,FALSE),IF($L$5='2022 Port'!$Q$3,VLOOKUP($L140,'2022 Port'!$D$6:$T$67,14,FALSE),IF($L$5='2022 Port'!T127,VLOOKUP($L140,'2022 Port'!$D$6:$T$67,17,FALSE),""))))),0)</f>
        <v>0</v>
      </c>
      <c r="N140" s="117" t="str">
        <f t="shared" si="11"/>
        <v/>
      </c>
      <c r="O140" s="97" t="str">
        <f>IFERROR(VLOOKUP(L140,'Schwab Positions'!$A$9:$J$10000,9,FALSE),"")</f>
        <v/>
      </c>
      <c r="P140" s="30" t="str">
        <f t="shared" si="10"/>
        <v/>
      </c>
    </row>
    <row r="141" spans="2:16">
      <c r="B141" t="str" cm="1">
        <f t="array" ref="B141">IFERROR(INDEX('Schwab Positions'!$A$8:$A$10000,SMALL(IF('Schwab Positions'!$E$8:$E$10000=$C$2,ROW('Schwab Positions'!$E$8:$E$10000)-7,""),ROWS($B$19:B141))),"")</f>
        <v/>
      </c>
      <c r="C141" t="str">
        <f>IFERROR(VLOOKUP(B141,'Schwab Positions'!$A$8:$B$10000,2,FALSE),"")</f>
        <v/>
      </c>
      <c r="D141" s="34" t="str">
        <f>IFERROR(VLOOKUP(B141,'Security Type'!$A$2:$C$1000,3,FALSE),"")</f>
        <v/>
      </c>
      <c r="E141" s="34" t="str">
        <f>IF(B141="","",IF(ISNUMBER(MATCH(B141,'2022 Port'!$D$6:$D$67,0)),VLOOKUP(B141,'Security Type'!$A$3:$D$1000,4,FALSE),"NOT IN PORT"))</f>
        <v/>
      </c>
      <c r="F141" t="str" cm="1">
        <f t="array" ref="F141">IFERROR(INDEX('Schwab Positions'!$D$8:$D$10000,SMALL(IF('Schwab Positions'!$E$8:$E$10000=$C$2,ROW('Schwab Positions'!$E$8:$E$10000)-7,""),ROWS($F$19:$F141))),"")</f>
        <v/>
      </c>
      <c r="G141" s="1" t="str" cm="1">
        <f t="array" ref="G141">IFERROR(INDEX('Schwab Positions'!$I$8:$I$10000,SMALL(IF('Schwab Positions'!$E$8:$E$10000=$C$2,ROW('Schwab Positions'!$E$8:$E$10000)-7,""),ROWS($G$19:$G141))),"")</f>
        <v/>
      </c>
      <c r="H141" s="100" t="str">
        <f t="shared" si="7"/>
        <v/>
      </c>
      <c r="I141" s="37" t="str" cm="1">
        <f t="array" ref="I141">IFERROR(IF($D141="Bond",IFERROR(INDEX('Schwab Positions'!$J$8:$J$10000,SMALL(IF('Schwab Positions'!$E$8:$E$10000=$C$2,ROW('Schwab Positions'!$E$8:$E$10000)-7,""),ROWS($I$19:$I141))),""),$F141*$G141),"")</f>
        <v/>
      </c>
      <c r="K141" s="117" t="str">
        <f t="shared" si="8"/>
        <v/>
      </c>
      <c r="L141" t="str">
        <f t="shared" si="9"/>
        <v/>
      </c>
      <c r="M141" s="35">
        <f>IFERROR(IF($L$5='2022 Port'!$H$3,VLOOKUP($L141,'2022 Port'!$D$6:$T$67,5,FALSE),IF($L$5='2022 Port'!$K$3,VLOOKUP($L141,'2022 Port'!$D$6:$T$67,8,FALSE),IF($L$5='2022 Port'!$N$3,VLOOKUP($L141,'2022 Port'!$D$6:$T$67,11,FALSE),IF($L$5='2022 Port'!$Q$3,VLOOKUP($L141,'2022 Port'!$D$6:$T$67,14,FALSE),IF($L$5='2022 Port'!T128,VLOOKUP($L141,'2022 Port'!$D$6:$T$67,17,FALSE),""))))),0)</f>
        <v>0</v>
      </c>
      <c r="N141" s="117" t="str">
        <f t="shared" si="11"/>
        <v/>
      </c>
      <c r="O141" s="97" t="str">
        <f>IFERROR(VLOOKUP(L141,'Schwab Positions'!$A$9:$J$10000,9,FALSE),"")</f>
        <v/>
      </c>
      <c r="P141" s="30" t="str">
        <f t="shared" si="10"/>
        <v/>
      </c>
    </row>
    <row r="142" spans="2:16">
      <c r="B142" t="str" cm="1">
        <f t="array" ref="B142">IFERROR(INDEX('Schwab Positions'!$A$8:$A$10000,SMALL(IF('Schwab Positions'!$E$8:$E$10000=$C$2,ROW('Schwab Positions'!$E$8:$E$10000)-7,""),ROWS($B$19:B142))),"")</f>
        <v/>
      </c>
      <c r="C142" t="str">
        <f>IFERROR(VLOOKUP(B142,'Schwab Positions'!$A$8:$B$10000,2,FALSE),"")</f>
        <v/>
      </c>
      <c r="D142" s="34" t="str">
        <f>IFERROR(VLOOKUP(B142,'Security Type'!$A$2:$C$1000,3,FALSE),"")</f>
        <v/>
      </c>
      <c r="E142" s="34" t="str">
        <f>IF(B142="","",IF(ISNUMBER(MATCH(B142,'2022 Port'!$D$6:$D$67,0)),VLOOKUP(B142,'Security Type'!$A$3:$D$1000,4,FALSE),"NOT IN PORT"))</f>
        <v/>
      </c>
      <c r="F142" t="str" cm="1">
        <f t="array" ref="F142">IFERROR(INDEX('Schwab Positions'!$D$8:$D$10000,SMALL(IF('Schwab Positions'!$E$8:$E$10000=$C$2,ROW('Schwab Positions'!$E$8:$E$10000)-7,""),ROWS($F$19:$F142))),"")</f>
        <v/>
      </c>
      <c r="G142" s="1" t="str" cm="1">
        <f t="array" ref="G142">IFERROR(INDEX('Schwab Positions'!$I$8:$I$10000,SMALL(IF('Schwab Positions'!$E$8:$E$10000=$C$2,ROW('Schwab Positions'!$E$8:$E$10000)-7,""),ROWS($G$19:$G142))),"")</f>
        <v/>
      </c>
      <c r="H142" s="100" t="str">
        <f t="shared" si="7"/>
        <v/>
      </c>
      <c r="I142" s="37" t="str" cm="1">
        <f t="array" ref="I142">IFERROR(IF($D142="Bond",IFERROR(INDEX('Schwab Positions'!$J$8:$J$10000,SMALL(IF('Schwab Positions'!$E$8:$E$10000=$C$2,ROW('Schwab Positions'!$E$8:$E$10000)-7,""),ROWS($I$19:$I142))),""),$F142*$G142),"")</f>
        <v/>
      </c>
      <c r="K142" s="117" t="str">
        <f t="shared" si="8"/>
        <v/>
      </c>
      <c r="L142" t="str">
        <f t="shared" si="9"/>
        <v/>
      </c>
      <c r="M142" s="35">
        <f>IFERROR(IF($L$5='2022 Port'!$H$3,VLOOKUP($L142,'2022 Port'!$D$6:$T$67,5,FALSE),IF($L$5='2022 Port'!$K$3,VLOOKUP($L142,'2022 Port'!$D$6:$T$67,8,FALSE),IF($L$5='2022 Port'!$N$3,VLOOKUP($L142,'2022 Port'!$D$6:$T$67,11,FALSE),IF($L$5='2022 Port'!$Q$3,VLOOKUP($L142,'2022 Port'!$D$6:$T$67,14,FALSE),IF($L$5='2022 Port'!T129,VLOOKUP($L142,'2022 Port'!$D$6:$T$67,17,FALSE),""))))),0)</f>
        <v>0</v>
      </c>
      <c r="N142" s="117" t="str">
        <f t="shared" si="11"/>
        <v/>
      </c>
      <c r="O142" s="97" t="str">
        <f>IFERROR(VLOOKUP(L142,'Schwab Positions'!$A$9:$J$10000,9,FALSE),"")</f>
        <v/>
      </c>
      <c r="P142" s="30" t="str">
        <f t="shared" si="10"/>
        <v/>
      </c>
    </row>
    <row r="143" spans="2:16">
      <c r="B143" t="str" cm="1">
        <f t="array" ref="B143">IFERROR(INDEX('Schwab Positions'!$A$8:$A$10000,SMALL(IF('Schwab Positions'!$E$8:$E$10000=$C$2,ROW('Schwab Positions'!$E$8:$E$10000)-7,""),ROWS($B$19:B143))),"")</f>
        <v/>
      </c>
      <c r="C143" t="str">
        <f>IFERROR(VLOOKUP(B143,'Schwab Positions'!$A$8:$B$10000,2,FALSE),"")</f>
        <v/>
      </c>
      <c r="D143" s="34" t="str">
        <f>IFERROR(VLOOKUP(B143,'Security Type'!$A$2:$C$1000,3,FALSE),"")</f>
        <v/>
      </c>
      <c r="E143" s="34" t="str">
        <f>IF(B143="","",IF(ISNUMBER(MATCH(B143,'2022 Port'!$D$6:$D$67,0)),VLOOKUP(B143,'Security Type'!$A$3:$D$1000,4,FALSE),"NOT IN PORT"))</f>
        <v/>
      </c>
      <c r="F143" t="str" cm="1">
        <f t="array" ref="F143">IFERROR(INDEX('Schwab Positions'!$D$8:$D$10000,SMALL(IF('Schwab Positions'!$E$8:$E$10000=$C$2,ROW('Schwab Positions'!$E$8:$E$10000)-7,""),ROWS($F$19:$F143))),"")</f>
        <v/>
      </c>
      <c r="G143" s="1" t="str" cm="1">
        <f t="array" ref="G143">IFERROR(INDEX('Schwab Positions'!$I$8:$I$10000,SMALL(IF('Schwab Positions'!$E$8:$E$10000=$C$2,ROW('Schwab Positions'!$E$8:$E$10000)-7,""),ROWS($G$19:$G143))),"")</f>
        <v/>
      </c>
      <c r="H143" s="100" t="str">
        <f t="shared" si="7"/>
        <v/>
      </c>
      <c r="I143" s="37" t="str" cm="1">
        <f t="array" ref="I143">IFERROR(IF($D143="Bond",IFERROR(INDEX('Schwab Positions'!$J$8:$J$10000,SMALL(IF('Schwab Positions'!$E$8:$E$10000=$C$2,ROW('Schwab Positions'!$E$8:$E$10000)-7,""),ROWS($I$19:$I143))),""),$F143*$G143),"")</f>
        <v/>
      </c>
    </row>
    <row r="144" spans="2:16">
      <c r="B144" t="str" cm="1">
        <f t="array" ref="B144">IFERROR(INDEX('Schwab Positions'!$A$8:$A$10000,SMALL(IF('Schwab Positions'!$E$8:$E$10000=$C$2,ROW('Schwab Positions'!$E$8:$E$10000)-7,""),ROWS($B$19:B144))),"")</f>
        <v/>
      </c>
      <c r="C144" t="str">
        <f>IFERROR(VLOOKUP(B144,'Schwab Positions'!$A$8:$B$10000,2,FALSE),"")</f>
        <v/>
      </c>
      <c r="D144" s="34" t="str">
        <f>IFERROR(VLOOKUP(B144,'Security Type'!$A$2:$C$1000,3,FALSE),"")</f>
        <v/>
      </c>
      <c r="E144" s="34" t="str">
        <f>IF(B144="","",IF(ISNUMBER(MATCH(B144,'2022 Port'!$D$6:$D$67,0)),VLOOKUP(B144,'Security Type'!$A$3:$D$1000,4,FALSE),"NOT IN PORT"))</f>
        <v/>
      </c>
      <c r="F144" t="str" cm="1">
        <f t="array" ref="F144">IFERROR(INDEX('Schwab Positions'!$D$8:$D$10000,SMALL(IF('Schwab Positions'!$E$8:$E$10000=$C$2,ROW('Schwab Positions'!$E$8:$E$10000)-7,""),ROWS($F$19:$F144))),"")</f>
        <v/>
      </c>
      <c r="G144" s="1" t="str" cm="1">
        <f t="array" ref="G144">IFERROR(INDEX('Schwab Positions'!$I$8:$I$10000,SMALL(IF('Schwab Positions'!$E$8:$E$10000=$C$2,ROW('Schwab Positions'!$E$8:$E$10000)-7,""),ROWS($G$19:$G144))),"")</f>
        <v/>
      </c>
      <c r="H144" s="100" t="str">
        <f t="shared" si="7"/>
        <v/>
      </c>
      <c r="I144" s="37" t="str" cm="1">
        <f t="array" ref="I144">IFERROR(IF($D144="Bond",IFERROR(INDEX('Schwab Positions'!$J$8:$J$10000,SMALL(IF('Schwab Positions'!$E$8:$E$10000=$C$2,ROW('Schwab Positions'!$E$8:$E$10000)-7,""),ROWS($I$19:$I144))),""),$F144*$G144),"")</f>
        <v/>
      </c>
    </row>
    <row r="145" spans="2:9">
      <c r="B145" t="str" cm="1">
        <f t="array" ref="B145">IFERROR(INDEX('Schwab Positions'!$A$8:$A$10000,SMALL(IF('Schwab Positions'!$E$8:$E$10000=$C$2,ROW('Schwab Positions'!$E$8:$E$10000)-7,""),ROWS($B$19:B145))),"")</f>
        <v/>
      </c>
      <c r="C145" t="str">
        <f>IFERROR(VLOOKUP(B145,'Schwab Positions'!$A$8:$B$10000,2,FALSE),"")</f>
        <v/>
      </c>
      <c r="D145" s="34" t="str">
        <f>IFERROR(VLOOKUP(B145,'Security Type'!$A$2:$C$1000,3,FALSE),"")</f>
        <v/>
      </c>
      <c r="E145" s="34" t="str">
        <f>IF(B145="","",IF(ISNUMBER(MATCH(B145,'2022 Port'!$D$6:$D$67,0)),VLOOKUP(B145,'Security Type'!$A$3:$D$1000,4,FALSE),"NOT IN PORT"))</f>
        <v/>
      </c>
      <c r="F145" t="str" cm="1">
        <f t="array" ref="F145">IFERROR(INDEX('Schwab Positions'!$D$8:$D$10000,SMALL(IF('Schwab Positions'!$E$8:$E$10000=$C$2,ROW('Schwab Positions'!$E$8:$E$10000)-7,""),ROWS($F$19:$F145))),"")</f>
        <v/>
      </c>
      <c r="G145" s="1" t="str" cm="1">
        <f t="array" ref="G145">IFERROR(INDEX('Schwab Positions'!$I$8:$I$10000,SMALL(IF('Schwab Positions'!$E$8:$E$10000=$C$2,ROW('Schwab Positions'!$E$8:$E$10000)-7,""),ROWS($G$19:$G145))),"")</f>
        <v/>
      </c>
      <c r="H145" s="100" t="str">
        <f t="shared" si="7"/>
        <v/>
      </c>
      <c r="I145" s="37" t="str" cm="1">
        <f t="array" ref="I145">IFERROR(IF($D145="Bond",IFERROR(INDEX('Schwab Positions'!$J$8:$J$10000,SMALL(IF('Schwab Positions'!$E$8:$E$10000=$C$2,ROW('Schwab Positions'!$E$8:$E$10000)-7,""),ROWS($I$19:$I145))),""),$F145*$G145),"")</f>
        <v/>
      </c>
    </row>
    <row r="146" spans="2:9">
      <c r="B146" t="str" cm="1">
        <f t="array" ref="B146">IFERROR(INDEX('Schwab Positions'!$A$8:$A$10000,SMALL(IF('Schwab Positions'!$E$8:$E$10000=$C$2,ROW('Schwab Positions'!$E$8:$E$10000)-7,""),ROWS($B$19:B146))),"")</f>
        <v/>
      </c>
      <c r="C146" t="str">
        <f>IFERROR(VLOOKUP(B146,'Schwab Positions'!$A$8:$B$10000,2,FALSE),"")</f>
        <v/>
      </c>
      <c r="D146" s="34" t="str">
        <f>IFERROR(VLOOKUP(B146,'Security Type'!$A$2:$C$1000,3,FALSE),"")</f>
        <v/>
      </c>
      <c r="E146" s="34" t="str">
        <f>IF(B146="","",IF(ISNUMBER(MATCH(B146,'2022 Port'!$D$6:$D$67,0)),VLOOKUP(B146,'Security Type'!$A$3:$D$1000,4,FALSE),"NOT IN PORT"))</f>
        <v/>
      </c>
      <c r="F146" t="str" cm="1">
        <f t="array" ref="F146">IFERROR(INDEX('Schwab Positions'!$D$8:$D$10000,SMALL(IF('Schwab Positions'!$E$8:$E$10000=$C$2,ROW('Schwab Positions'!$E$8:$E$10000)-7,""),ROWS($F$19:$F146))),"")</f>
        <v/>
      </c>
      <c r="G146" s="1" t="str" cm="1">
        <f t="array" ref="G146">IFERROR(INDEX('Schwab Positions'!$I$8:$I$10000,SMALL(IF('Schwab Positions'!$E$8:$E$10000=$C$2,ROW('Schwab Positions'!$E$8:$E$10000)-7,""),ROWS($G$19:$G146))),"")</f>
        <v/>
      </c>
      <c r="H146" s="100" t="str">
        <f t="shared" si="7"/>
        <v/>
      </c>
      <c r="I146" s="37" t="str" cm="1">
        <f t="array" ref="I146">IFERROR(IF($D146="Bond",IFERROR(INDEX('Schwab Positions'!$J$8:$J$10000,SMALL(IF('Schwab Positions'!$E$8:$E$10000=$C$2,ROW('Schwab Positions'!$E$8:$E$10000)-7,""),ROWS($I$19:$I146))),""),$F146*$G146),"")</f>
        <v/>
      </c>
    </row>
    <row r="147" spans="2:9">
      <c r="B147" t="str" cm="1">
        <f t="array" ref="B147">IFERROR(INDEX('Schwab Positions'!$A$8:$A$10000,SMALL(IF('Schwab Positions'!$E$8:$E$10000=$C$2,ROW('Schwab Positions'!$E$8:$E$10000)-7,""),ROWS($B$19:B147))),"")</f>
        <v/>
      </c>
      <c r="C147" t="str">
        <f>IFERROR(VLOOKUP(B147,'Schwab Positions'!$A$8:$B$10000,2,FALSE),"")</f>
        <v/>
      </c>
      <c r="D147" s="34" t="str">
        <f>IFERROR(VLOOKUP(B147,'Security Type'!$A$2:$C$1000,3,FALSE),"")</f>
        <v/>
      </c>
      <c r="E147" s="34" t="str">
        <f>IF(B147="","",IF(ISNUMBER(MATCH(B147,'2022 Port'!$D$6:$D$67,0)),VLOOKUP(B147,'Security Type'!$A$3:$D$1000,4,FALSE),"NOT IN PORT"))</f>
        <v/>
      </c>
      <c r="F147" t="str" cm="1">
        <f t="array" ref="F147">IFERROR(INDEX('Schwab Positions'!$D$8:$D$10000,SMALL(IF('Schwab Positions'!$E$8:$E$10000=$C$2,ROW('Schwab Positions'!$E$8:$E$10000)-7,""),ROWS($F$19:$F147))),"")</f>
        <v/>
      </c>
      <c r="G147" s="1" t="str" cm="1">
        <f t="array" ref="G147">IFERROR(INDEX('Schwab Positions'!$I$8:$I$10000,SMALL(IF('Schwab Positions'!$E$8:$E$10000=$C$2,ROW('Schwab Positions'!$E$8:$E$10000)-7,""),ROWS($G$19:$G147))),"")</f>
        <v/>
      </c>
      <c r="H147" s="100" t="str">
        <f t="shared" si="7"/>
        <v/>
      </c>
      <c r="I147" s="37" t="str" cm="1">
        <f t="array" ref="I147">IFERROR(IF($D147="Bond",IFERROR(INDEX('Schwab Positions'!$J$8:$J$10000,SMALL(IF('Schwab Positions'!$E$8:$E$10000=$C$2,ROW('Schwab Positions'!$E$8:$E$10000)-7,""),ROWS($I$19:$I147))),""),$F147*$G147),"")</f>
        <v/>
      </c>
    </row>
    <row r="148" spans="2:9">
      <c r="B148" t="str" cm="1">
        <f t="array" ref="B148">IFERROR(INDEX('Schwab Positions'!$A$8:$A$10000,SMALL(IF('Schwab Positions'!$E$8:$E$10000=$C$2,ROW('Schwab Positions'!$E$8:$E$10000)-7,""),ROWS($B$19:B148))),"")</f>
        <v/>
      </c>
      <c r="C148" t="str">
        <f>IFERROR(VLOOKUP(B148,'Schwab Positions'!$A$8:$B$10000,2,FALSE),"")</f>
        <v/>
      </c>
      <c r="D148" s="34" t="str">
        <f>IFERROR(VLOOKUP(B148,'Security Type'!$A$2:$C$1000,3,FALSE),"")</f>
        <v/>
      </c>
      <c r="E148" s="34" t="str">
        <f>IF(B148="","",IF(ISNUMBER(MATCH(B148,'2022 Port'!$D$6:$D$67,0)),VLOOKUP(B148,'Security Type'!$A$3:$D$1000,4,FALSE),"NOT IN PORT"))</f>
        <v/>
      </c>
      <c r="F148" t="str" cm="1">
        <f t="array" ref="F148">IFERROR(INDEX('Schwab Positions'!$D$8:$D$10000,SMALL(IF('Schwab Positions'!$E$8:$E$10000=$C$2,ROW('Schwab Positions'!$E$8:$E$10000)-7,""),ROWS($F$19:$F148))),"")</f>
        <v/>
      </c>
      <c r="G148" s="1" t="str" cm="1">
        <f t="array" ref="G148">IFERROR(INDEX('Schwab Positions'!$I$8:$I$10000,SMALL(IF('Schwab Positions'!$E$8:$E$10000=$C$2,ROW('Schwab Positions'!$E$8:$E$10000)-7,""),ROWS($G$19:$G148))),"")</f>
        <v/>
      </c>
      <c r="H148" s="100" t="str">
        <f t="shared" ref="H148:H211" si="12">IFERROR(I148/$C$15,"")</f>
        <v/>
      </c>
      <c r="I148" s="37" t="str" cm="1">
        <f t="array" ref="I148">IFERROR(IF($D148="Bond",IFERROR(INDEX('Schwab Positions'!$J$8:$J$10000,SMALL(IF('Schwab Positions'!$E$8:$E$10000=$C$2,ROW('Schwab Positions'!$E$8:$E$10000)-7,""),ROWS($I$19:$I148))),""),$F148*$G148),"")</f>
        <v/>
      </c>
    </row>
    <row r="149" spans="2:9">
      <c r="B149" t="str" cm="1">
        <f t="array" ref="B149">IFERROR(INDEX('Schwab Positions'!$A$8:$A$10000,SMALL(IF('Schwab Positions'!$E$8:$E$10000=$C$2,ROW('Schwab Positions'!$E$8:$E$10000)-7,""),ROWS($B$19:B149))),"")</f>
        <v/>
      </c>
      <c r="C149" t="str">
        <f>IFERROR(VLOOKUP(B149,'Schwab Positions'!$A$8:$B$10000,2,FALSE),"")</f>
        <v/>
      </c>
      <c r="D149" s="34" t="str">
        <f>IFERROR(VLOOKUP(B149,'Security Type'!$A$2:$C$1000,3,FALSE),"")</f>
        <v/>
      </c>
      <c r="E149" s="34" t="str">
        <f>IF(B149="","",IF(ISNUMBER(MATCH(B149,'2022 Port'!$D$6:$D$67,0)),VLOOKUP(B149,'Security Type'!$A$3:$D$1000,4,FALSE),"NOT IN PORT"))</f>
        <v/>
      </c>
      <c r="F149" t="str" cm="1">
        <f t="array" ref="F149">IFERROR(INDEX('Schwab Positions'!$D$8:$D$10000,SMALL(IF('Schwab Positions'!$E$8:$E$10000=$C$2,ROW('Schwab Positions'!$E$8:$E$10000)-7,""),ROWS($F$19:$F149))),"")</f>
        <v/>
      </c>
      <c r="G149" s="1" t="str" cm="1">
        <f t="array" ref="G149">IFERROR(INDEX('Schwab Positions'!$I$8:$I$10000,SMALL(IF('Schwab Positions'!$E$8:$E$10000=$C$2,ROW('Schwab Positions'!$E$8:$E$10000)-7,""),ROWS($G$19:$G149))),"")</f>
        <v/>
      </c>
      <c r="H149" s="100" t="str">
        <f t="shared" si="12"/>
        <v/>
      </c>
      <c r="I149" s="37" t="str" cm="1">
        <f t="array" ref="I149">IFERROR(IF($D149="Bond",IFERROR(INDEX('Schwab Positions'!$J$8:$J$10000,SMALL(IF('Schwab Positions'!$E$8:$E$10000=$C$2,ROW('Schwab Positions'!$E$8:$E$10000)-7,""),ROWS($I$19:$I149))),""),$F149*$G149),"")</f>
        <v/>
      </c>
    </row>
    <row r="150" spans="2:9">
      <c r="B150" t="str" cm="1">
        <f t="array" ref="B150">IFERROR(INDEX('Schwab Positions'!$A$8:$A$10000,SMALL(IF('Schwab Positions'!$E$8:$E$10000=$C$2,ROW('Schwab Positions'!$E$8:$E$10000)-7,""),ROWS($B$19:B150))),"")</f>
        <v/>
      </c>
      <c r="C150" t="str">
        <f>IFERROR(VLOOKUP(B150,'Schwab Positions'!$A$8:$B$10000,2,FALSE),"")</f>
        <v/>
      </c>
      <c r="D150" s="34" t="str">
        <f>IFERROR(VLOOKUP(B150,'Security Type'!$A$2:$C$1000,3,FALSE),"")</f>
        <v/>
      </c>
      <c r="E150" s="34" t="str">
        <f>IF(B150="","",IF(ISNUMBER(MATCH(B150,'2022 Port'!$D$6:$D$67,0)),VLOOKUP(B150,'Security Type'!$A$3:$D$1000,4,FALSE),"NOT IN PORT"))</f>
        <v/>
      </c>
      <c r="F150" t="str" cm="1">
        <f t="array" ref="F150">IFERROR(INDEX('Schwab Positions'!$D$8:$D$10000,SMALL(IF('Schwab Positions'!$E$8:$E$10000=$C$2,ROW('Schwab Positions'!$E$8:$E$10000)-7,""),ROWS($F$19:$F150))),"")</f>
        <v/>
      </c>
      <c r="G150" s="1" t="str" cm="1">
        <f t="array" ref="G150">IFERROR(INDEX('Schwab Positions'!$I$8:$I$10000,SMALL(IF('Schwab Positions'!$E$8:$E$10000=$C$2,ROW('Schwab Positions'!$E$8:$E$10000)-7,""),ROWS($G$19:$G150))),"")</f>
        <v/>
      </c>
      <c r="H150" s="100" t="str">
        <f t="shared" si="12"/>
        <v/>
      </c>
      <c r="I150" s="37" t="str" cm="1">
        <f t="array" ref="I150">IFERROR(IF($D150="Bond",IFERROR(INDEX('Schwab Positions'!$J$8:$J$10000,SMALL(IF('Schwab Positions'!$E$8:$E$10000=$C$2,ROW('Schwab Positions'!$E$8:$E$10000)-7,""),ROWS($I$19:$I150))),""),$F150*$G150),"")</f>
        <v/>
      </c>
    </row>
    <row r="151" spans="2:9">
      <c r="B151" t="str" cm="1">
        <f t="array" ref="B151">IFERROR(INDEX('Schwab Positions'!$A$8:$A$10000,SMALL(IF('Schwab Positions'!$E$8:$E$10000=$C$2,ROW('Schwab Positions'!$E$8:$E$10000)-7,""),ROWS($B$19:B151))),"")</f>
        <v/>
      </c>
      <c r="C151" t="str">
        <f>IFERROR(VLOOKUP(B151,'Schwab Positions'!$A$8:$B$10000,2,FALSE),"")</f>
        <v/>
      </c>
      <c r="D151" s="34" t="str">
        <f>IFERROR(VLOOKUP(B151,'Security Type'!$A$2:$C$1000,3,FALSE),"")</f>
        <v/>
      </c>
      <c r="E151" s="34" t="str">
        <f>IF(B151="","",IF(ISNUMBER(MATCH(B151,'2022 Port'!$D$6:$D$67,0)),VLOOKUP(B151,'Security Type'!$A$3:$D$1000,4,FALSE),"NOT IN PORT"))</f>
        <v/>
      </c>
      <c r="F151" t="str" cm="1">
        <f t="array" ref="F151">IFERROR(INDEX('Schwab Positions'!$D$8:$D$10000,SMALL(IF('Schwab Positions'!$E$8:$E$10000=$C$2,ROW('Schwab Positions'!$E$8:$E$10000)-7,""),ROWS($F$19:$F151))),"")</f>
        <v/>
      </c>
      <c r="G151" s="1" t="str" cm="1">
        <f t="array" ref="G151">IFERROR(INDEX('Schwab Positions'!$I$8:$I$10000,SMALL(IF('Schwab Positions'!$E$8:$E$10000=$C$2,ROW('Schwab Positions'!$E$8:$E$10000)-7,""),ROWS($G$19:$G151))),"")</f>
        <v/>
      </c>
      <c r="H151" s="100" t="str">
        <f t="shared" si="12"/>
        <v/>
      </c>
      <c r="I151" s="37" t="str" cm="1">
        <f t="array" ref="I151">IFERROR(IF($D151="Bond",IFERROR(INDEX('Schwab Positions'!$J$8:$J$10000,SMALL(IF('Schwab Positions'!$E$8:$E$10000=$C$2,ROW('Schwab Positions'!$E$8:$E$10000)-7,""),ROWS($I$19:$I151))),""),$F151*$G151),"")</f>
        <v/>
      </c>
    </row>
    <row r="152" spans="2:9">
      <c r="B152" t="str" cm="1">
        <f t="array" ref="B152">IFERROR(INDEX('Schwab Positions'!$A$8:$A$10000,SMALL(IF('Schwab Positions'!$E$8:$E$10000=$C$2,ROW('Schwab Positions'!$E$8:$E$10000)-7,""),ROWS($B$19:B152))),"")</f>
        <v/>
      </c>
      <c r="C152" t="str">
        <f>IFERROR(VLOOKUP(B152,'Schwab Positions'!$A$8:$B$10000,2,FALSE),"")</f>
        <v/>
      </c>
      <c r="D152" s="34" t="str">
        <f>IFERROR(VLOOKUP(B152,'Security Type'!$A$2:$C$1000,3,FALSE),"")</f>
        <v/>
      </c>
      <c r="E152" s="34" t="str">
        <f>IF(B152="","",IF(ISNUMBER(MATCH(B152,'2022 Port'!$D$6:$D$67,0)),VLOOKUP(B152,'Security Type'!$A$3:$D$1000,4,FALSE),"NOT IN PORT"))</f>
        <v/>
      </c>
      <c r="F152" t="str" cm="1">
        <f t="array" ref="F152">IFERROR(INDEX('Schwab Positions'!$D$8:$D$10000,SMALL(IF('Schwab Positions'!$E$8:$E$10000=$C$2,ROW('Schwab Positions'!$E$8:$E$10000)-7,""),ROWS($F$19:$F152))),"")</f>
        <v/>
      </c>
      <c r="G152" s="1" t="str" cm="1">
        <f t="array" ref="G152">IFERROR(INDEX('Schwab Positions'!$I$8:$I$10000,SMALL(IF('Schwab Positions'!$E$8:$E$10000=$C$2,ROW('Schwab Positions'!$E$8:$E$10000)-7,""),ROWS($G$19:$G152))),"")</f>
        <v/>
      </c>
      <c r="H152" s="100" t="str">
        <f t="shared" si="12"/>
        <v/>
      </c>
      <c r="I152" s="37" t="str" cm="1">
        <f t="array" ref="I152">IFERROR(IF($D152="Bond",IFERROR(INDEX('Schwab Positions'!$J$8:$J$10000,SMALL(IF('Schwab Positions'!$E$8:$E$10000=$C$2,ROW('Schwab Positions'!$E$8:$E$10000)-7,""),ROWS($I$19:$I152))),""),$F152*$G152),"")</f>
        <v/>
      </c>
    </row>
    <row r="153" spans="2:9">
      <c r="B153" t="str" cm="1">
        <f t="array" ref="B153">IFERROR(INDEX('Schwab Positions'!$A$8:$A$10000,SMALL(IF('Schwab Positions'!$E$8:$E$10000=$C$2,ROW('Schwab Positions'!$E$8:$E$10000)-7,""),ROWS($B$19:B153))),"")</f>
        <v/>
      </c>
      <c r="C153" t="str">
        <f>IFERROR(VLOOKUP(B153,'Schwab Positions'!$A$8:$B$10000,2,FALSE),"")</f>
        <v/>
      </c>
      <c r="D153" s="34" t="str">
        <f>IFERROR(VLOOKUP(B153,'Security Type'!$A$2:$C$1000,3,FALSE),"")</f>
        <v/>
      </c>
      <c r="E153" s="34" t="str">
        <f>IF(B153="","",IF(ISNUMBER(MATCH(B153,'2022 Port'!$D$6:$D$67,0)),VLOOKUP(B153,'Security Type'!$A$3:$D$1000,4,FALSE),"NOT IN PORT"))</f>
        <v/>
      </c>
      <c r="F153" t="str" cm="1">
        <f t="array" ref="F153">IFERROR(INDEX('Schwab Positions'!$D$8:$D$10000,SMALL(IF('Schwab Positions'!$E$8:$E$10000=$C$2,ROW('Schwab Positions'!$E$8:$E$10000)-7,""),ROWS($F$19:$F153))),"")</f>
        <v/>
      </c>
      <c r="G153" s="1" t="str" cm="1">
        <f t="array" ref="G153">IFERROR(INDEX('Schwab Positions'!$I$8:$I$10000,SMALL(IF('Schwab Positions'!$E$8:$E$10000=$C$2,ROW('Schwab Positions'!$E$8:$E$10000)-7,""),ROWS($G$19:$G153))),"")</f>
        <v/>
      </c>
      <c r="H153" s="100" t="str">
        <f t="shared" si="12"/>
        <v/>
      </c>
      <c r="I153" s="37" t="str" cm="1">
        <f t="array" ref="I153">IFERROR(IF($D153="Bond",IFERROR(INDEX('Schwab Positions'!$J$8:$J$10000,SMALL(IF('Schwab Positions'!$E$8:$E$10000=$C$2,ROW('Schwab Positions'!$E$8:$E$10000)-7,""),ROWS($I$19:$I153))),""),$F153*$G153),"")</f>
        <v/>
      </c>
    </row>
    <row r="154" spans="2:9">
      <c r="B154" t="str" cm="1">
        <f t="array" ref="B154">IFERROR(INDEX('Schwab Positions'!$A$8:$A$10000,SMALL(IF('Schwab Positions'!$E$8:$E$10000=$C$2,ROW('Schwab Positions'!$E$8:$E$10000)-7,""),ROWS($B$19:B154))),"")</f>
        <v/>
      </c>
      <c r="C154" t="str">
        <f>IFERROR(VLOOKUP(B154,'Schwab Positions'!$A$8:$B$10000,2,FALSE),"")</f>
        <v/>
      </c>
      <c r="D154" s="34" t="str">
        <f>IFERROR(VLOOKUP(B154,'Security Type'!$A$2:$C$1000,3,FALSE),"")</f>
        <v/>
      </c>
      <c r="E154" s="34" t="str">
        <f>IF(B154="","",IF(ISNUMBER(MATCH(B154,'2022 Port'!$D$6:$D$67,0)),VLOOKUP(B154,'Security Type'!$A$3:$D$1000,4,FALSE),"NOT IN PORT"))</f>
        <v/>
      </c>
      <c r="F154" t="str" cm="1">
        <f t="array" ref="F154">IFERROR(INDEX('Schwab Positions'!$D$8:$D$10000,SMALL(IF('Schwab Positions'!$E$8:$E$10000=$C$2,ROW('Schwab Positions'!$E$8:$E$10000)-7,""),ROWS($F$19:$F154))),"")</f>
        <v/>
      </c>
      <c r="G154" s="1" t="str" cm="1">
        <f t="array" ref="G154">IFERROR(INDEX('Schwab Positions'!$I$8:$I$10000,SMALL(IF('Schwab Positions'!$E$8:$E$10000=$C$2,ROW('Schwab Positions'!$E$8:$E$10000)-7,""),ROWS($G$19:$G154))),"")</f>
        <v/>
      </c>
      <c r="H154" s="100" t="str">
        <f t="shared" si="12"/>
        <v/>
      </c>
      <c r="I154" s="37" t="str" cm="1">
        <f t="array" ref="I154">IFERROR(IF($D154="Bond",IFERROR(INDEX('Schwab Positions'!$J$8:$J$10000,SMALL(IF('Schwab Positions'!$E$8:$E$10000=$C$2,ROW('Schwab Positions'!$E$8:$E$10000)-7,""),ROWS($I$19:$I154))),""),$F154*$G154),"")</f>
        <v/>
      </c>
    </row>
    <row r="155" spans="2:9">
      <c r="B155" t="str" cm="1">
        <f t="array" ref="B155">IFERROR(INDEX('Schwab Positions'!$A$8:$A$10000,SMALL(IF('Schwab Positions'!$E$8:$E$10000=$C$2,ROW('Schwab Positions'!$E$8:$E$10000)-7,""),ROWS($B$19:B155))),"")</f>
        <v/>
      </c>
      <c r="C155" t="str">
        <f>IFERROR(VLOOKUP(B155,'Schwab Positions'!$A$8:$B$10000,2,FALSE),"")</f>
        <v/>
      </c>
      <c r="D155" s="34" t="str">
        <f>IFERROR(VLOOKUP(B155,'Security Type'!$A$2:$C$1000,3,FALSE),"")</f>
        <v/>
      </c>
      <c r="E155" s="34" t="str">
        <f>IF(B155="","",IF(ISNUMBER(MATCH(B155,'2022 Port'!$D$6:$D$67,0)),VLOOKUP(B155,'Security Type'!$A$3:$D$1000,4,FALSE),"NOT IN PORT"))</f>
        <v/>
      </c>
      <c r="F155" t="str" cm="1">
        <f t="array" ref="F155">IFERROR(INDEX('Schwab Positions'!$D$8:$D$10000,SMALL(IF('Schwab Positions'!$E$8:$E$10000=$C$2,ROW('Schwab Positions'!$E$8:$E$10000)-7,""),ROWS($F$19:$F155))),"")</f>
        <v/>
      </c>
      <c r="G155" s="1" t="str" cm="1">
        <f t="array" ref="G155">IFERROR(INDEX('Schwab Positions'!$I$8:$I$10000,SMALL(IF('Schwab Positions'!$E$8:$E$10000=$C$2,ROW('Schwab Positions'!$E$8:$E$10000)-7,""),ROWS($G$19:$G155))),"")</f>
        <v/>
      </c>
      <c r="H155" s="100" t="str">
        <f t="shared" si="12"/>
        <v/>
      </c>
      <c r="I155" s="37" t="str" cm="1">
        <f t="array" ref="I155">IFERROR(IF($D155="Bond",IFERROR(INDEX('Schwab Positions'!$J$8:$J$10000,SMALL(IF('Schwab Positions'!$E$8:$E$10000=$C$2,ROW('Schwab Positions'!$E$8:$E$10000)-7,""),ROWS($I$19:$I155))),""),$F155*$G155),"")</f>
        <v/>
      </c>
    </row>
    <row r="156" spans="2:9">
      <c r="B156" t="str" cm="1">
        <f t="array" ref="B156">IFERROR(INDEX('Schwab Positions'!$A$8:$A$10000,SMALL(IF('Schwab Positions'!$E$8:$E$10000=$C$2,ROW('Schwab Positions'!$E$8:$E$10000)-7,""),ROWS($B$19:B156))),"")</f>
        <v/>
      </c>
      <c r="C156" t="str">
        <f>IFERROR(VLOOKUP(B156,'Schwab Positions'!$A$8:$B$10000,2,FALSE),"")</f>
        <v/>
      </c>
      <c r="D156" s="34" t="str">
        <f>IFERROR(VLOOKUP(B156,'Security Type'!$A$2:$C$1000,3,FALSE),"")</f>
        <v/>
      </c>
      <c r="E156" s="34" t="str">
        <f>IF(B156="","",IF(ISNUMBER(MATCH(B156,'2022 Port'!$D$6:$D$67,0)),VLOOKUP(B156,'Security Type'!$A$3:$D$1000,4,FALSE),"NOT IN PORT"))</f>
        <v/>
      </c>
      <c r="F156" t="str" cm="1">
        <f t="array" ref="F156">IFERROR(INDEX('Schwab Positions'!$D$8:$D$10000,SMALL(IF('Schwab Positions'!$E$8:$E$10000=$C$2,ROW('Schwab Positions'!$E$8:$E$10000)-7,""),ROWS($F$19:$F156))),"")</f>
        <v/>
      </c>
      <c r="G156" s="1" t="str" cm="1">
        <f t="array" ref="G156">IFERROR(INDEX('Schwab Positions'!$I$8:$I$10000,SMALL(IF('Schwab Positions'!$E$8:$E$10000=$C$2,ROW('Schwab Positions'!$E$8:$E$10000)-7,""),ROWS($G$19:$G156))),"")</f>
        <v/>
      </c>
      <c r="H156" s="100" t="str">
        <f t="shared" si="12"/>
        <v/>
      </c>
      <c r="I156" s="37" t="str" cm="1">
        <f t="array" ref="I156">IFERROR(IF($D156="Bond",IFERROR(INDEX('Schwab Positions'!$J$8:$J$10000,SMALL(IF('Schwab Positions'!$E$8:$E$10000=$C$2,ROW('Schwab Positions'!$E$8:$E$10000)-7,""),ROWS($I$19:$I156))),""),$F156*$G156),"")</f>
        <v/>
      </c>
    </row>
    <row r="157" spans="2:9">
      <c r="B157" t="str" cm="1">
        <f t="array" ref="B157">IFERROR(INDEX('Schwab Positions'!$A$8:$A$10000,SMALL(IF('Schwab Positions'!$E$8:$E$10000=$C$2,ROW('Schwab Positions'!$E$8:$E$10000)-7,""),ROWS($B$19:B157))),"")</f>
        <v/>
      </c>
      <c r="C157" t="str">
        <f>IFERROR(VLOOKUP(B157,'Schwab Positions'!$A$8:$B$10000,2,FALSE),"")</f>
        <v/>
      </c>
      <c r="D157" s="34" t="str">
        <f>IFERROR(VLOOKUP(B157,'Security Type'!$A$2:$C$1000,3,FALSE),"")</f>
        <v/>
      </c>
      <c r="E157" s="34" t="str">
        <f>IF(B157="","",IF(ISNUMBER(MATCH(B157,'2022 Port'!$D$6:$D$67,0)),VLOOKUP(B157,'Security Type'!$A$3:$D$1000,4,FALSE),"NOT IN PORT"))</f>
        <v/>
      </c>
      <c r="F157" t="str" cm="1">
        <f t="array" ref="F157">IFERROR(INDEX('Schwab Positions'!$D$8:$D$10000,SMALL(IF('Schwab Positions'!$E$8:$E$10000=$C$2,ROW('Schwab Positions'!$E$8:$E$10000)-7,""),ROWS($F$19:$F157))),"")</f>
        <v/>
      </c>
      <c r="G157" s="1" t="str" cm="1">
        <f t="array" ref="G157">IFERROR(INDEX('Schwab Positions'!$I$8:$I$10000,SMALL(IF('Schwab Positions'!$E$8:$E$10000=$C$2,ROW('Schwab Positions'!$E$8:$E$10000)-7,""),ROWS($G$19:$G157))),"")</f>
        <v/>
      </c>
      <c r="H157" s="100" t="str">
        <f t="shared" si="12"/>
        <v/>
      </c>
      <c r="I157" s="37" t="str" cm="1">
        <f t="array" ref="I157">IFERROR(IF($D157="Bond",IFERROR(INDEX('Schwab Positions'!$J$8:$J$10000,SMALL(IF('Schwab Positions'!$E$8:$E$10000=$C$2,ROW('Schwab Positions'!$E$8:$E$10000)-7,""),ROWS($I$19:$I157))),""),$F157*$G157),"")</f>
        <v/>
      </c>
    </row>
    <row r="158" spans="2:9">
      <c r="B158" t="str" cm="1">
        <f t="array" ref="B158">IFERROR(INDEX('Schwab Positions'!$A$8:$A$10000,SMALL(IF('Schwab Positions'!$E$8:$E$10000=$C$2,ROW('Schwab Positions'!$E$8:$E$10000)-7,""),ROWS($B$19:B158))),"")</f>
        <v/>
      </c>
      <c r="C158" t="str">
        <f>IFERROR(VLOOKUP(B158,'Schwab Positions'!$A$8:$B$10000,2,FALSE),"")</f>
        <v/>
      </c>
      <c r="D158" s="34" t="str">
        <f>IFERROR(VLOOKUP(B158,'Security Type'!$A$2:$C$1000,3,FALSE),"")</f>
        <v/>
      </c>
      <c r="E158" s="34" t="str">
        <f>IF(B158="","",IF(ISNUMBER(MATCH(B158,'2022 Port'!$D$6:$D$67,0)),VLOOKUP(B158,'Security Type'!$A$3:$D$1000,4,FALSE),"NOT IN PORT"))</f>
        <v/>
      </c>
      <c r="F158" t="str" cm="1">
        <f t="array" ref="F158">IFERROR(INDEX('Schwab Positions'!$D$8:$D$10000,SMALL(IF('Schwab Positions'!$E$8:$E$10000=$C$2,ROW('Schwab Positions'!$E$8:$E$10000)-7,""),ROWS($F$19:$F158))),"")</f>
        <v/>
      </c>
      <c r="G158" s="1" t="str" cm="1">
        <f t="array" ref="G158">IFERROR(INDEX('Schwab Positions'!$I$8:$I$10000,SMALL(IF('Schwab Positions'!$E$8:$E$10000=$C$2,ROW('Schwab Positions'!$E$8:$E$10000)-7,""),ROWS($G$19:$G158))),"")</f>
        <v/>
      </c>
      <c r="H158" s="100" t="str">
        <f t="shared" si="12"/>
        <v/>
      </c>
      <c r="I158" s="37" t="str" cm="1">
        <f t="array" ref="I158">IFERROR(IF($D158="Bond",IFERROR(INDEX('Schwab Positions'!$J$8:$J$10000,SMALL(IF('Schwab Positions'!$E$8:$E$10000=$C$2,ROW('Schwab Positions'!$E$8:$E$10000)-7,""),ROWS($I$19:$I158))),""),$F158*$G158),"")</f>
        <v/>
      </c>
    </row>
    <row r="159" spans="2:9">
      <c r="B159" t="str" cm="1">
        <f t="array" ref="B159">IFERROR(INDEX('Schwab Positions'!$A$8:$A$10000,SMALL(IF('Schwab Positions'!$E$8:$E$10000=$C$2,ROW('Schwab Positions'!$E$8:$E$10000)-7,""),ROWS($B$19:B159))),"")</f>
        <v/>
      </c>
      <c r="C159" t="str">
        <f>IFERROR(VLOOKUP(B159,'Schwab Positions'!$A$8:$B$10000,2,FALSE),"")</f>
        <v/>
      </c>
      <c r="D159" s="34" t="str">
        <f>IFERROR(VLOOKUP(B159,'Security Type'!$A$2:$C$1000,3,FALSE),"")</f>
        <v/>
      </c>
      <c r="E159" s="34" t="str">
        <f>IF(B159="","",IF(ISNUMBER(MATCH(B159,'2022 Port'!$D$6:$D$67,0)),VLOOKUP(B159,'Security Type'!$A$3:$D$1000,4,FALSE),"NOT IN PORT"))</f>
        <v/>
      </c>
      <c r="F159" t="str" cm="1">
        <f t="array" ref="F159">IFERROR(INDEX('Schwab Positions'!$D$8:$D$10000,SMALL(IF('Schwab Positions'!$E$8:$E$10000=$C$2,ROW('Schwab Positions'!$E$8:$E$10000)-7,""),ROWS($F$19:$F159))),"")</f>
        <v/>
      </c>
      <c r="G159" s="1" t="str" cm="1">
        <f t="array" ref="G159">IFERROR(INDEX('Schwab Positions'!$I$8:$I$10000,SMALL(IF('Schwab Positions'!$E$8:$E$10000=$C$2,ROW('Schwab Positions'!$E$8:$E$10000)-7,""),ROWS($G$19:$G159))),"")</f>
        <v/>
      </c>
      <c r="H159" s="100" t="str">
        <f t="shared" si="12"/>
        <v/>
      </c>
      <c r="I159" s="37" t="str" cm="1">
        <f t="array" ref="I159">IFERROR(IF($D159="Bond",IFERROR(INDEX('Schwab Positions'!$J$8:$J$10000,SMALL(IF('Schwab Positions'!$E$8:$E$10000=$C$2,ROW('Schwab Positions'!$E$8:$E$10000)-7,""),ROWS($I$19:$I159))),""),$F159*$G159),"")</f>
        <v/>
      </c>
    </row>
    <row r="160" spans="2:9">
      <c r="B160" t="str" cm="1">
        <f t="array" ref="B160">IFERROR(INDEX('Schwab Positions'!$A$8:$A$10000,SMALL(IF('Schwab Positions'!$E$8:$E$10000=$C$2,ROW('Schwab Positions'!$E$8:$E$10000)-7,""),ROWS($B$19:B160))),"")</f>
        <v/>
      </c>
      <c r="C160" t="str">
        <f>IFERROR(VLOOKUP(B160,'Schwab Positions'!$A$8:$B$10000,2,FALSE),"")</f>
        <v/>
      </c>
      <c r="D160" s="34" t="str">
        <f>IFERROR(VLOOKUP(B160,'Security Type'!$A$2:$C$1000,3,FALSE),"")</f>
        <v/>
      </c>
      <c r="E160" s="34" t="str">
        <f>IF(B160="","",IF(ISNUMBER(MATCH(B160,'2022 Port'!$D$6:$D$67,0)),VLOOKUP(B160,'Security Type'!$A$3:$D$1000,4,FALSE),"NOT IN PORT"))</f>
        <v/>
      </c>
      <c r="F160" t="str" cm="1">
        <f t="array" ref="F160">IFERROR(INDEX('Schwab Positions'!$D$8:$D$10000,SMALL(IF('Schwab Positions'!$E$8:$E$10000=$C$2,ROW('Schwab Positions'!$E$8:$E$10000)-7,""),ROWS($F$19:$F160))),"")</f>
        <v/>
      </c>
      <c r="G160" s="1" t="str" cm="1">
        <f t="array" ref="G160">IFERROR(INDEX('Schwab Positions'!$I$8:$I$10000,SMALL(IF('Schwab Positions'!$E$8:$E$10000=$C$2,ROW('Schwab Positions'!$E$8:$E$10000)-7,""),ROWS($G$19:$G160))),"")</f>
        <v/>
      </c>
      <c r="H160" s="100" t="str">
        <f t="shared" si="12"/>
        <v/>
      </c>
      <c r="I160" s="37" t="str" cm="1">
        <f t="array" ref="I160">IFERROR(IF($D160="Bond",IFERROR(INDEX('Schwab Positions'!$J$8:$J$10000,SMALL(IF('Schwab Positions'!$E$8:$E$10000=$C$2,ROW('Schwab Positions'!$E$8:$E$10000)-7,""),ROWS($I$19:$I160))),""),$F160*$G160),"")</f>
        <v/>
      </c>
    </row>
    <row r="161" spans="2:9">
      <c r="B161" t="str" cm="1">
        <f t="array" ref="B161">IFERROR(INDEX('Schwab Positions'!$A$8:$A$10000,SMALL(IF('Schwab Positions'!$E$8:$E$10000=$C$2,ROW('Schwab Positions'!$E$8:$E$10000)-7,""),ROWS($B$19:B161))),"")</f>
        <v/>
      </c>
      <c r="C161" t="str">
        <f>IFERROR(VLOOKUP(B161,'Schwab Positions'!$A$8:$B$10000,2,FALSE),"")</f>
        <v/>
      </c>
      <c r="D161" s="34" t="str">
        <f>IFERROR(VLOOKUP(B161,'Security Type'!$A$2:$C$1000,3,FALSE),"")</f>
        <v/>
      </c>
      <c r="E161" s="34" t="str">
        <f>IF(B161="","",IF(ISNUMBER(MATCH(B161,'2022 Port'!$D$6:$D$67,0)),VLOOKUP(B161,'Security Type'!$A$3:$D$1000,4,FALSE),"NOT IN PORT"))</f>
        <v/>
      </c>
      <c r="F161" t="str" cm="1">
        <f t="array" ref="F161">IFERROR(INDEX('Schwab Positions'!$D$8:$D$10000,SMALL(IF('Schwab Positions'!$E$8:$E$10000=$C$2,ROW('Schwab Positions'!$E$8:$E$10000)-7,""),ROWS($F$19:$F161))),"")</f>
        <v/>
      </c>
      <c r="G161" s="1" t="str" cm="1">
        <f t="array" ref="G161">IFERROR(INDEX('Schwab Positions'!$I$8:$I$10000,SMALL(IF('Schwab Positions'!$E$8:$E$10000=$C$2,ROW('Schwab Positions'!$E$8:$E$10000)-7,""),ROWS($G$19:$G161))),"")</f>
        <v/>
      </c>
      <c r="H161" s="100" t="str">
        <f t="shared" si="12"/>
        <v/>
      </c>
      <c r="I161" s="37" t="str" cm="1">
        <f t="array" ref="I161">IFERROR(IF($D161="Bond",IFERROR(INDEX('Schwab Positions'!$J$8:$J$10000,SMALL(IF('Schwab Positions'!$E$8:$E$10000=$C$2,ROW('Schwab Positions'!$E$8:$E$10000)-7,""),ROWS($I$19:$I161))),""),$F161*$G161),"")</f>
        <v/>
      </c>
    </row>
    <row r="162" spans="2:9">
      <c r="B162" t="str" cm="1">
        <f t="array" ref="B162">IFERROR(INDEX('Schwab Positions'!$A$8:$A$10000,SMALL(IF('Schwab Positions'!$E$8:$E$10000=$C$2,ROW('Schwab Positions'!$E$8:$E$10000)-7,""),ROWS($B$19:B162))),"")</f>
        <v/>
      </c>
      <c r="C162" t="str">
        <f>IFERROR(VLOOKUP(B162,'Schwab Positions'!$A$8:$B$10000,2,FALSE),"")</f>
        <v/>
      </c>
      <c r="D162" s="34" t="str">
        <f>IFERROR(VLOOKUP(B162,'Security Type'!$A$2:$C$1000,3,FALSE),"")</f>
        <v/>
      </c>
      <c r="E162" s="34" t="str">
        <f>IF(B162="","",IF(ISNUMBER(MATCH(B162,'2022 Port'!$D$6:$D$67,0)),VLOOKUP(B162,'Security Type'!$A$3:$D$1000,4,FALSE),"NOT IN PORT"))</f>
        <v/>
      </c>
      <c r="F162" t="str" cm="1">
        <f t="array" ref="F162">IFERROR(INDEX('Schwab Positions'!$D$8:$D$10000,SMALL(IF('Schwab Positions'!$E$8:$E$10000=$C$2,ROW('Schwab Positions'!$E$8:$E$10000)-7,""),ROWS($F$19:$F162))),"")</f>
        <v/>
      </c>
      <c r="G162" s="1" t="str" cm="1">
        <f t="array" ref="G162">IFERROR(INDEX('Schwab Positions'!$I$8:$I$10000,SMALL(IF('Schwab Positions'!$E$8:$E$10000=$C$2,ROW('Schwab Positions'!$E$8:$E$10000)-7,""),ROWS($G$19:$G162))),"")</f>
        <v/>
      </c>
      <c r="H162" s="100" t="str">
        <f t="shared" si="12"/>
        <v/>
      </c>
      <c r="I162" s="37" t="str" cm="1">
        <f t="array" ref="I162">IFERROR(IF($D162="Bond",IFERROR(INDEX('Schwab Positions'!$J$8:$J$10000,SMALL(IF('Schwab Positions'!$E$8:$E$10000=$C$2,ROW('Schwab Positions'!$E$8:$E$10000)-7,""),ROWS($I$19:$I162))),""),$F162*$G162),"")</f>
        <v/>
      </c>
    </row>
    <row r="163" spans="2:9">
      <c r="B163" t="str" cm="1">
        <f t="array" ref="B163">IFERROR(INDEX('Schwab Positions'!$A$8:$A$10000,SMALL(IF('Schwab Positions'!$E$8:$E$10000=$C$2,ROW('Schwab Positions'!$E$8:$E$10000)-7,""),ROWS($B$19:B163))),"")</f>
        <v/>
      </c>
      <c r="C163" t="str">
        <f>IFERROR(VLOOKUP(B163,'Schwab Positions'!$A$8:$B$10000,2,FALSE),"")</f>
        <v/>
      </c>
      <c r="D163" s="34" t="str">
        <f>IFERROR(VLOOKUP(B163,'Security Type'!$A$2:$C$1000,3,FALSE),"")</f>
        <v/>
      </c>
      <c r="E163" s="34" t="str">
        <f>IF(B163="","",IF(ISNUMBER(MATCH(B163,'2022 Port'!$D$6:$D$67,0)),VLOOKUP(B163,'Security Type'!$A$3:$D$1000,4,FALSE),"NOT IN PORT"))</f>
        <v/>
      </c>
      <c r="F163" t="str" cm="1">
        <f t="array" ref="F163">IFERROR(INDEX('Schwab Positions'!$D$8:$D$10000,SMALL(IF('Schwab Positions'!$E$8:$E$10000=$C$2,ROW('Schwab Positions'!$E$8:$E$10000)-7,""),ROWS($F$19:$F163))),"")</f>
        <v/>
      </c>
      <c r="G163" s="1" t="str" cm="1">
        <f t="array" ref="G163">IFERROR(INDEX('Schwab Positions'!$I$8:$I$10000,SMALL(IF('Schwab Positions'!$E$8:$E$10000=$C$2,ROW('Schwab Positions'!$E$8:$E$10000)-7,""),ROWS($G$19:$G163))),"")</f>
        <v/>
      </c>
      <c r="H163" s="100" t="str">
        <f t="shared" si="12"/>
        <v/>
      </c>
      <c r="I163" s="37" t="str" cm="1">
        <f t="array" ref="I163">IFERROR(IF($D163="Bond",IFERROR(INDEX('Schwab Positions'!$J$8:$J$10000,SMALL(IF('Schwab Positions'!$E$8:$E$10000=$C$2,ROW('Schwab Positions'!$E$8:$E$10000)-7,""),ROWS($I$19:$I163))),""),$F163*$G163),"")</f>
        <v/>
      </c>
    </row>
    <row r="164" spans="2:9">
      <c r="B164" t="str" cm="1">
        <f t="array" ref="B164">IFERROR(INDEX('Schwab Positions'!$A$8:$A$10000,SMALL(IF('Schwab Positions'!$E$8:$E$10000=$C$2,ROW('Schwab Positions'!$E$8:$E$10000)-7,""),ROWS($B$19:B164))),"")</f>
        <v/>
      </c>
      <c r="C164" t="str">
        <f>IFERROR(VLOOKUP(B164,'Schwab Positions'!$A$8:$B$10000,2,FALSE),"")</f>
        <v/>
      </c>
      <c r="D164" s="34" t="str">
        <f>IFERROR(VLOOKUP(B164,'Security Type'!$A$2:$C$1000,3,FALSE),"")</f>
        <v/>
      </c>
      <c r="E164" s="34" t="str">
        <f>IF(B164="","",IF(ISNUMBER(MATCH(B164,'2022 Port'!$D$6:$D$67,0)),VLOOKUP(B164,'Security Type'!$A$3:$D$1000,4,FALSE),"NOT IN PORT"))</f>
        <v/>
      </c>
      <c r="F164" t="str" cm="1">
        <f t="array" ref="F164">IFERROR(INDEX('Schwab Positions'!$D$8:$D$10000,SMALL(IF('Schwab Positions'!$E$8:$E$10000=$C$2,ROW('Schwab Positions'!$E$8:$E$10000)-7,""),ROWS($F$19:$F164))),"")</f>
        <v/>
      </c>
      <c r="G164" s="1" t="str" cm="1">
        <f t="array" ref="G164">IFERROR(INDEX('Schwab Positions'!$I$8:$I$10000,SMALL(IF('Schwab Positions'!$E$8:$E$10000=$C$2,ROW('Schwab Positions'!$E$8:$E$10000)-7,""),ROWS($G$19:$G164))),"")</f>
        <v/>
      </c>
      <c r="H164" s="100" t="str">
        <f t="shared" si="12"/>
        <v/>
      </c>
      <c r="I164" s="37" t="str" cm="1">
        <f t="array" ref="I164">IFERROR(IF($D164="Bond",IFERROR(INDEX('Schwab Positions'!$J$8:$J$10000,SMALL(IF('Schwab Positions'!$E$8:$E$10000=$C$2,ROW('Schwab Positions'!$E$8:$E$10000)-7,""),ROWS($I$19:$I164))),""),$F164*$G164),"")</f>
        <v/>
      </c>
    </row>
    <row r="165" spans="2:9">
      <c r="B165" t="str" cm="1">
        <f t="array" ref="B165">IFERROR(INDEX('Schwab Positions'!$A$8:$A$10000,SMALL(IF('Schwab Positions'!$E$8:$E$10000=$C$2,ROW('Schwab Positions'!$E$8:$E$10000)-7,""),ROWS($B$19:B165))),"")</f>
        <v/>
      </c>
      <c r="C165" t="str">
        <f>IFERROR(VLOOKUP(B165,'Schwab Positions'!$A$8:$B$10000,2,FALSE),"")</f>
        <v/>
      </c>
      <c r="D165" s="34" t="str">
        <f>IFERROR(VLOOKUP(B165,'Security Type'!$A$2:$C$1000,3,FALSE),"")</f>
        <v/>
      </c>
      <c r="E165" s="34" t="str">
        <f>IF(B165="","",IF(ISNUMBER(MATCH(B165,'2022 Port'!$D$6:$D$67,0)),VLOOKUP(B165,'Security Type'!$A$3:$D$1000,4,FALSE),"NOT IN PORT"))</f>
        <v/>
      </c>
      <c r="F165" t="str" cm="1">
        <f t="array" ref="F165">IFERROR(INDEX('Schwab Positions'!$D$8:$D$10000,SMALL(IF('Schwab Positions'!$E$8:$E$10000=$C$2,ROW('Schwab Positions'!$E$8:$E$10000)-7,""),ROWS($F$19:$F165))),"")</f>
        <v/>
      </c>
      <c r="G165" s="1" t="str" cm="1">
        <f t="array" ref="G165">IFERROR(INDEX('Schwab Positions'!$I$8:$I$10000,SMALL(IF('Schwab Positions'!$E$8:$E$10000=$C$2,ROW('Schwab Positions'!$E$8:$E$10000)-7,""),ROWS($G$19:$G165))),"")</f>
        <v/>
      </c>
      <c r="H165" s="100" t="str">
        <f t="shared" si="12"/>
        <v/>
      </c>
      <c r="I165" s="37" t="str" cm="1">
        <f t="array" ref="I165">IFERROR(IF($D165="Bond",IFERROR(INDEX('Schwab Positions'!$J$8:$J$10000,SMALL(IF('Schwab Positions'!$E$8:$E$10000=$C$2,ROW('Schwab Positions'!$E$8:$E$10000)-7,""),ROWS($I$19:$I165))),""),$F165*$G165),"")</f>
        <v/>
      </c>
    </row>
    <row r="166" spans="2:9">
      <c r="B166" t="str" cm="1">
        <f t="array" ref="B166">IFERROR(INDEX('Schwab Positions'!$A$8:$A$10000,SMALL(IF('Schwab Positions'!$E$8:$E$10000=$C$2,ROW('Schwab Positions'!$E$8:$E$10000)-7,""),ROWS($B$19:B166))),"")</f>
        <v/>
      </c>
      <c r="C166" t="str">
        <f>IFERROR(VLOOKUP(B166,'Schwab Positions'!$A$8:$B$10000,2,FALSE),"")</f>
        <v/>
      </c>
      <c r="D166" s="34" t="str">
        <f>IFERROR(VLOOKUP(B166,'Security Type'!$A$2:$C$1000,3,FALSE),"")</f>
        <v/>
      </c>
      <c r="E166" s="34" t="str">
        <f>IF(B166="","",IF(ISNUMBER(MATCH(B166,'2022 Port'!$D$6:$D$67,0)),VLOOKUP(B166,'Security Type'!$A$3:$D$1000,4,FALSE),"NOT IN PORT"))</f>
        <v/>
      </c>
      <c r="F166" t="str" cm="1">
        <f t="array" ref="F166">IFERROR(INDEX('Schwab Positions'!$D$8:$D$10000,SMALL(IF('Schwab Positions'!$E$8:$E$10000=$C$2,ROW('Schwab Positions'!$E$8:$E$10000)-7,""),ROWS($F$19:$F166))),"")</f>
        <v/>
      </c>
      <c r="G166" s="1" t="str" cm="1">
        <f t="array" ref="G166">IFERROR(INDEX('Schwab Positions'!$I$8:$I$10000,SMALL(IF('Schwab Positions'!$E$8:$E$10000=$C$2,ROW('Schwab Positions'!$E$8:$E$10000)-7,""),ROWS($G$19:$G166))),"")</f>
        <v/>
      </c>
      <c r="H166" s="100" t="str">
        <f t="shared" si="12"/>
        <v/>
      </c>
      <c r="I166" s="37" t="str" cm="1">
        <f t="array" ref="I166">IFERROR(IF($D166="Bond",IFERROR(INDEX('Schwab Positions'!$J$8:$J$10000,SMALL(IF('Schwab Positions'!$E$8:$E$10000=$C$2,ROW('Schwab Positions'!$E$8:$E$10000)-7,""),ROWS($I$19:$I166))),""),$F166*$G166),"")</f>
        <v/>
      </c>
    </row>
    <row r="167" spans="2:9">
      <c r="B167" t="str" cm="1">
        <f t="array" ref="B167">IFERROR(INDEX('Schwab Positions'!$A$8:$A$10000,SMALL(IF('Schwab Positions'!$E$8:$E$10000=$C$2,ROW('Schwab Positions'!$E$8:$E$10000)-7,""),ROWS($B$19:B167))),"")</f>
        <v/>
      </c>
      <c r="C167" t="str">
        <f>IFERROR(VLOOKUP(B167,'Schwab Positions'!$A$8:$B$10000,2,FALSE),"")</f>
        <v/>
      </c>
      <c r="D167" s="34" t="str">
        <f>IFERROR(VLOOKUP(B167,'Security Type'!$A$2:$C$1000,3,FALSE),"")</f>
        <v/>
      </c>
      <c r="E167" s="34" t="str">
        <f>IF(B167="","",IF(ISNUMBER(MATCH(B167,'2022 Port'!$D$6:$D$67,0)),VLOOKUP(B167,'Security Type'!$A$3:$D$1000,4,FALSE),"NOT IN PORT"))</f>
        <v/>
      </c>
      <c r="F167" t="str" cm="1">
        <f t="array" ref="F167">IFERROR(INDEX('Schwab Positions'!$D$8:$D$10000,SMALL(IF('Schwab Positions'!$E$8:$E$10000=$C$2,ROW('Schwab Positions'!$E$8:$E$10000)-7,""),ROWS($F$19:$F167))),"")</f>
        <v/>
      </c>
      <c r="G167" s="1" t="str" cm="1">
        <f t="array" ref="G167">IFERROR(INDEX('Schwab Positions'!$I$8:$I$10000,SMALL(IF('Schwab Positions'!$E$8:$E$10000=$C$2,ROW('Schwab Positions'!$E$8:$E$10000)-7,""),ROWS($G$19:$G167))),"")</f>
        <v/>
      </c>
      <c r="H167" s="100" t="str">
        <f t="shared" si="12"/>
        <v/>
      </c>
      <c r="I167" s="37" t="str" cm="1">
        <f t="array" ref="I167">IFERROR(IF($D167="Bond",IFERROR(INDEX('Schwab Positions'!$J$8:$J$10000,SMALL(IF('Schwab Positions'!$E$8:$E$10000=$C$2,ROW('Schwab Positions'!$E$8:$E$10000)-7,""),ROWS($I$19:$I167))),""),$F167*$G167),"")</f>
        <v/>
      </c>
    </row>
    <row r="168" spans="2:9">
      <c r="B168" t="str" cm="1">
        <f t="array" ref="B168">IFERROR(INDEX('Schwab Positions'!$A$8:$A$10000,SMALL(IF('Schwab Positions'!$E$8:$E$10000=$C$2,ROW('Schwab Positions'!$E$8:$E$10000)-7,""),ROWS($B$19:B168))),"")</f>
        <v/>
      </c>
      <c r="C168" t="str">
        <f>IFERROR(VLOOKUP(B168,'Schwab Positions'!$A$8:$B$10000,2,FALSE),"")</f>
        <v/>
      </c>
      <c r="D168" s="34" t="str">
        <f>IFERROR(VLOOKUP(B168,'Security Type'!$A$2:$C$1000,3,FALSE),"")</f>
        <v/>
      </c>
      <c r="E168" s="34" t="str">
        <f>IF(B168="","",IF(ISNUMBER(MATCH(B168,'2022 Port'!$D$6:$D$67,0)),VLOOKUP(B168,'Security Type'!$A$3:$D$1000,4,FALSE),"NOT IN PORT"))</f>
        <v/>
      </c>
      <c r="F168" t="str" cm="1">
        <f t="array" ref="F168">IFERROR(INDEX('Schwab Positions'!$D$8:$D$10000,SMALL(IF('Schwab Positions'!$E$8:$E$10000=$C$2,ROW('Schwab Positions'!$E$8:$E$10000)-7,""),ROWS($F$19:$F168))),"")</f>
        <v/>
      </c>
      <c r="G168" s="1" t="str" cm="1">
        <f t="array" ref="G168">IFERROR(INDEX('Schwab Positions'!$I$8:$I$10000,SMALL(IF('Schwab Positions'!$E$8:$E$10000=$C$2,ROW('Schwab Positions'!$E$8:$E$10000)-7,""),ROWS($G$19:$G168))),"")</f>
        <v/>
      </c>
      <c r="H168" s="100" t="str">
        <f t="shared" si="12"/>
        <v/>
      </c>
      <c r="I168" s="37" t="str" cm="1">
        <f t="array" ref="I168">IFERROR(IF($D168="Bond",IFERROR(INDEX('Schwab Positions'!$J$8:$J$10000,SMALL(IF('Schwab Positions'!$E$8:$E$10000=$C$2,ROW('Schwab Positions'!$E$8:$E$10000)-7,""),ROWS($I$19:$I168))),""),$F168*$G168),"")</f>
        <v/>
      </c>
    </row>
    <row r="169" spans="2:9">
      <c r="B169" t="str" cm="1">
        <f t="array" ref="B169">IFERROR(INDEX('Schwab Positions'!$A$8:$A$10000,SMALL(IF('Schwab Positions'!$E$8:$E$10000=$C$2,ROW('Schwab Positions'!$E$8:$E$10000)-7,""),ROWS($B$19:B169))),"")</f>
        <v/>
      </c>
      <c r="C169" t="str">
        <f>IFERROR(VLOOKUP(B169,'Schwab Positions'!$A$8:$B$10000,2,FALSE),"")</f>
        <v/>
      </c>
      <c r="D169" s="34" t="str">
        <f>IFERROR(VLOOKUP(B169,'Security Type'!$A$2:$C$1000,3,FALSE),"")</f>
        <v/>
      </c>
      <c r="E169" s="34" t="str">
        <f>IF(B169="","",IF(ISNUMBER(MATCH(B169,'2022 Port'!$D$6:$D$67,0)),VLOOKUP(B169,'Security Type'!$A$3:$D$1000,4,FALSE),"NOT IN PORT"))</f>
        <v/>
      </c>
      <c r="F169" t="str" cm="1">
        <f t="array" ref="F169">IFERROR(INDEX('Schwab Positions'!$D$8:$D$10000,SMALL(IF('Schwab Positions'!$E$8:$E$10000=$C$2,ROW('Schwab Positions'!$E$8:$E$10000)-7,""),ROWS($F$19:$F169))),"")</f>
        <v/>
      </c>
      <c r="G169" s="1" t="str" cm="1">
        <f t="array" ref="G169">IFERROR(INDEX('Schwab Positions'!$I$8:$I$10000,SMALL(IF('Schwab Positions'!$E$8:$E$10000=$C$2,ROW('Schwab Positions'!$E$8:$E$10000)-7,""),ROWS($G$19:$G169))),"")</f>
        <v/>
      </c>
      <c r="H169" s="100" t="str">
        <f t="shared" si="12"/>
        <v/>
      </c>
      <c r="I169" s="37" t="str" cm="1">
        <f t="array" ref="I169">IFERROR(IF($D169="Bond",IFERROR(INDEX('Schwab Positions'!$J$8:$J$10000,SMALL(IF('Schwab Positions'!$E$8:$E$10000=$C$2,ROW('Schwab Positions'!$E$8:$E$10000)-7,""),ROWS($I$19:$I169))),""),$F169*$G169),"")</f>
        <v/>
      </c>
    </row>
    <row r="170" spans="2:9">
      <c r="B170" t="str" cm="1">
        <f t="array" ref="B170">IFERROR(INDEX('Schwab Positions'!$A$8:$A$10000,SMALL(IF('Schwab Positions'!$E$8:$E$10000=$C$2,ROW('Schwab Positions'!$E$8:$E$10000)-7,""),ROWS($B$19:B170))),"")</f>
        <v/>
      </c>
      <c r="C170" t="str">
        <f>IFERROR(VLOOKUP(B170,'Schwab Positions'!$A$8:$B$10000,2,FALSE),"")</f>
        <v/>
      </c>
      <c r="D170" s="34" t="str">
        <f>IFERROR(VLOOKUP(B170,'Security Type'!$A$2:$C$1000,3,FALSE),"")</f>
        <v/>
      </c>
      <c r="E170" s="34" t="str">
        <f>IF(B170="","",IF(ISNUMBER(MATCH(B170,'2022 Port'!$D$6:$D$67,0)),VLOOKUP(B170,'Security Type'!$A$3:$D$1000,4,FALSE),"NOT IN PORT"))</f>
        <v/>
      </c>
      <c r="F170" t="str" cm="1">
        <f t="array" ref="F170">IFERROR(INDEX('Schwab Positions'!$D$8:$D$10000,SMALL(IF('Schwab Positions'!$E$8:$E$10000=$C$2,ROW('Schwab Positions'!$E$8:$E$10000)-7,""),ROWS($F$19:$F170))),"")</f>
        <v/>
      </c>
      <c r="G170" s="1" t="str" cm="1">
        <f t="array" ref="G170">IFERROR(INDEX('Schwab Positions'!$I$8:$I$10000,SMALL(IF('Schwab Positions'!$E$8:$E$10000=$C$2,ROW('Schwab Positions'!$E$8:$E$10000)-7,""),ROWS($G$19:$G170))),"")</f>
        <v/>
      </c>
      <c r="H170" s="100" t="str">
        <f t="shared" si="12"/>
        <v/>
      </c>
      <c r="I170" s="37" t="str" cm="1">
        <f t="array" ref="I170">IFERROR(IF($D170="Bond",IFERROR(INDEX('Schwab Positions'!$J$8:$J$10000,SMALL(IF('Schwab Positions'!$E$8:$E$10000=$C$2,ROW('Schwab Positions'!$E$8:$E$10000)-7,""),ROWS($I$19:$I170))),""),$F170*$G170),"")</f>
        <v/>
      </c>
    </row>
    <row r="171" spans="2:9">
      <c r="B171" t="str" cm="1">
        <f t="array" ref="B171">IFERROR(INDEX('Schwab Positions'!$A$8:$A$10000,SMALL(IF('Schwab Positions'!$E$8:$E$10000=$C$2,ROW('Schwab Positions'!$E$8:$E$10000)-7,""),ROWS($B$19:B171))),"")</f>
        <v/>
      </c>
      <c r="C171" t="str">
        <f>IFERROR(VLOOKUP(B171,'Schwab Positions'!$A$8:$B$10000,2,FALSE),"")</f>
        <v/>
      </c>
      <c r="D171" s="34" t="str">
        <f>IFERROR(VLOOKUP(B171,'Security Type'!$A$2:$C$1000,3,FALSE),"")</f>
        <v/>
      </c>
      <c r="E171" s="34" t="str">
        <f>IF(B171="","",IF(ISNUMBER(MATCH(B171,'2022 Port'!$D$6:$D$67,0)),VLOOKUP(B171,'Security Type'!$A$3:$D$1000,4,FALSE),"NOT IN PORT"))</f>
        <v/>
      </c>
      <c r="F171" t="str" cm="1">
        <f t="array" ref="F171">IFERROR(INDEX('Schwab Positions'!$D$8:$D$10000,SMALL(IF('Schwab Positions'!$E$8:$E$10000=$C$2,ROW('Schwab Positions'!$E$8:$E$10000)-7,""),ROWS($F$19:$F171))),"")</f>
        <v/>
      </c>
      <c r="G171" s="1" t="str" cm="1">
        <f t="array" ref="G171">IFERROR(INDEX('Schwab Positions'!$I$8:$I$10000,SMALL(IF('Schwab Positions'!$E$8:$E$10000=$C$2,ROW('Schwab Positions'!$E$8:$E$10000)-7,""),ROWS($G$19:$G171))),"")</f>
        <v/>
      </c>
      <c r="H171" s="100" t="str">
        <f t="shared" si="12"/>
        <v/>
      </c>
      <c r="I171" s="37" t="str" cm="1">
        <f t="array" ref="I171">IFERROR(IF($D171="Bond",IFERROR(INDEX('Schwab Positions'!$J$8:$J$10000,SMALL(IF('Schwab Positions'!$E$8:$E$10000=$C$2,ROW('Schwab Positions'!$E$8:$E$10000)-7,""),ROWS($I$19:$I171))),""),$F171*$G171),"")</f>
        <v/>
      </c>
    </row>
    <row r="172" spans="2:9">
      <c r="B172" t="str" cm="1">
        <f t="array" ref="B172">IFERROR(INDEX('Schwab Positions'!$A$8:$A$10000,SMALL(IF('Schwab Positions'!$E$8:$E$10000=$C$2,ROW('Schwab Positions'!$E$8:$E$10000)-7,""),ROWS($B$19:B172))),"")</f>
        <v/>
      </c>
      <c r="C172" t="str">
        <f>IFERROR(VLOOKUP(B172,'Schwab Positions'!$A$8:$B$10000,2,FALSE),"")</f>
        <v/>
      </c>
      <c r="D172" s="34" t="str">
        <f>IFERROR(VLOOKUP(B172,'Security Type'!$A$2:$C$1000,3,FALSE),"")</f>
        <v/>
      </c>
      <c r="E172" s="34" t="str">
        <f>IF(B172="","",IF(ISNUMBER(MATCH(B172,'2022 Port'!$D$6:$D$67,0)),VLOOKUP(B172,'Security Type'!$A$3:$D$1000,4,FALSE),"NOT IN PORT"))</f>
        <v/>
      </c>
      <c r="F172" t="str" cm="1">
        <f t="array" ref="F172">IFERROR(INDEX('Schwab Positions'!$D$8:$D$10000,SMALL(IF('Schwab Positions'!$E$8:$E$10000=$C$2,ROW('Schwab Positions'!$E$8:$E$10000)-7,""),ROWS($F$19:$F172))),"")</f>
        <v/>
      </c>
      <c r="G172" s="1" t="str" cm="1">
        <f t="array" ref="G172">IFERROR(INDEX('Schwab Positions'!$I$8:$I$10000,SMALL(IF('Schwab Positions'!$E$8:$E$10000=$C$2,ROW('Schwab Positions'!$E$8:$E$10000)-7,""),ROWS($G$19:$G172))),"")</f>
        <v/>
      </c>
      <c r="H172" s="100" t="str">
        <f t="shared" si="12"/>
        <v/>
      </c>
      <c r="I172" s="37" t="str" cm="1">
        <f t="array" ref="I172">IFERROR(IF($D172="Bond",IFERROR(INDEX('Schwab Positions'!$J$8:$J$10000,SMALL(IF('Schwab Positions'!$E$8:$E$10000=$C$2,ROW('Schwab Positions'!$E$8:$E$10000)-7,""),ROWS($I$19:$I172))),""),$F172*$G172),"")</f>
        <v/>
      </c>
    </row>
    <row r="173" spans="2:9">
      <c r="B173" t="str" cm="1">
        <f t="array" ref="B173">IFERROR(INDEX('Schwab Positions'!$A$8:$A$10000,SMALL(IF('Schwab Positions'!$E$8:$E$10000=$C$2,ROW('Schwab Positions'!$E$8:$E$10000)-7,""),ROWS($B$19:B173))),"")</f>
        <v/>
      </c>
      <c r="C173" t="str">
        <f>IFERROR(VLOOKUP(B173,'Schwab Positions'!$A$8:$B$10000,2,FALSE),"")</f>
        <v/>
      </c>
      <c r="D173" s="34" t="str">
        <f>IFERROR(VLOOKUP(B173,'Security Type'!$A$2:$C$1000,3,FALSE),"")</f>
        <v/>
      </c>
      <c r="E173" s="34" t="str">
        <f>IF(B173="","",IF(ISNUMBER(MATCH(B173,'2022 Port'!$D$6:$D$67,0)),VLOOKUP(B173,'Security Type'!$A$3:$D$1000,4,FALSE),"NOT IN PORT"))</f>
        <v/>
      </c>
      <c r="F173" t="str" cm="1">
        <f t="array" ref="F173">IFERROR(INDEX('Schwab Positions'!$D$8:$D$10000,SMALL(IF('Schwab Positions'!$E$8:$E$10000=$C$2,ROW('Schwab Positions'!$E$8:$E$10000)-7,""),ROWS($F$19:$F173))),"")</f>
        <v/>
      </c>
      <c r="G173" s="1" t="str" cm="1">
        <f t="array" ref="G173">IFERROR(INDEX('Schwab Positions'!$I$8:$I$10000,SMALL(IF('Schwab Positions'!$E$8:$E$10000=$C$2,ROW('Schwab Positions'!$E$8:$E$10000)-7,""),ROWS($G$19:$G173))),"")</f>
        <v/>
      </c>
      <c r="H173" s="100" t="str">
        <f t="shared" si="12"/>
        <v/>
      </c>
      <c r="I173" s="37" t="str" cm="1">
        <f t="array" ref="I173">IFERROR(IF($D173="Bond",IFERROR(INDEX('Schwab Positions'!$J$8:$J$10000,SMALL(IF('Schwab Positions'!$E$8:$E$10000=$C$2,ROW('Schwab Positions'!$E$8:$E$10000)-7,""),ROWS($I$19:$I173))),""),$F173*$G173),"")</f>
        <v/>
      </c>
    </row>
    <row r="174" spans="2:9">
      <c r="B174" t="str" cm="1">
        <f t="array" ref="B174">IFERROR(INDEX('Schwab Positions'!$A$8:$A$10000,SMALL(IF('Schwab Positions'!$E$8:$E$10000=$C$2,ROW('Schwab Positions'!$E$8:$E$10000)-7,""),ROWS($B$19:B174))),"")</f>
        <v/>
      </c>
      <c r="C174" t="str">
        <f>IFERROR(VLOOKUP(B174,'Schwab Positions'!$A$8:$B$10000,2,FALSE),"")</f>
        <v/>
      </c>
      <c r="D174" s="34" t="str">
        <f>IFERROR(VLOOKUP(B174,'Security Type'!$A$2:$C$1000,3,FALSE),"")</f>
        <v/>
      </c>
      <c r="E174" s="34" t="str">
        <f>IF(B174="","",IF(ISNUMBER(MATCH(B174,'2022 Port'!$D$6:$D$67,0)),VLOOKUP(B174,'Security Type'!$A$3:$D$1000,4,FALSE),"NOT IN PORT"))</f>
        <v/>
      </c>
      <c r="F174" t="str" cm="1">
        <f t="array" ref="F174">IFERROR(INDEX('Schwab Positions'!$D$8:$D$10000,SMALL(IF('Schwab Positions'!$E$8:$E$10000=$C$2,ROW('Schwab Positions'!$E$8:$E$10000)-7,""),ROWS($F$19:$F174))),"")</f>
        <v/>
      </c>
      <c r="G174" s="1" t="str" cm="1">
        <f t="array" ref="G174">IFERROR(INDEX('Schwab Positions'!$I$8:$I$10000,SMALL(IF('Schwab Positions'!$E$8:$E$10000=$C$2,ROW('Schwab Positions'!$E$8:$E$10000)-7,""),ROWS($G$19:$G174))),"")</f>
        <v/>
      </c>
      <c r="H174" s="100" t="str">
        <f t="shared" si="12"/>
        <v/>
      </c>
      <c r="I174" s="37" t="str" cm="1">
        <f t="array" ref="I174">IFERROR(IF($D174="Bond",IFERROR(INDEX('Schwab Positions'!$J$8:$J$10000,SMALL(IF('Schwab Positions'!$E$8:$E$10000=$C$2,ROW('Schwab Positions'!$E$8:$E$10000)-7,""),ROWS($I$19:$I174))),""),$F174*$G174),"")</f>
        <v/>
      </c>
    </row>
    <row r="175" spans="2:9">
      <c r="B175" t="str" cm="1">
        <f t="array" ref="B175">IFERROR(INDEX('Schwab Positions'!$A$8:$A$10000,SMALL(IF('Schwab Positions'!$E$8:$E$10000=$C$2,ROW('Schwab Positions'!$E$8:$E$10000)-7,""),ROWS($B$19:B175))),"")</f>
        <v/>
      </c>
      <c r="C175" t="str">
        <f>IFERROR(VLOOKUP(B175,'Schwab Positions'!$A$8:$B$10000,2,FALSE),"")</f>
        <v/>
      </c>
      <c r="D175" s="34" t="str">
        <f>IFERROR(VLOOKUP(B175,'Security Type'!$A$2:$C$1000,3,FALSE),"")</f>
        <v/>
      </c>
      <c r="E175" s="34" t="str">
        <f>IF(B175="","",IF(ISNUMBER(MATCH(B175,'2022 Port'!$D$6:$D$67,0)),VLOOKUP(B175,'Security Type'!$A$3:$D$1000,4,FALSE),"NOT IN PORT"))</f>
        <v/>
      </c>
      <c r="F175" t="str" cm="1">
        <f t="array" ref="F175">IFERROR(INDEX('Schwab Positions'!$D$8:$D$10000,SMALL(IF('Schwab Positions'!$E$8:$E$10000=$C$2,ROW('Schwab Positions'!$E$8:$E$10000)-7,""),ROWS($F$19:$F175))),"")</f>
        <v/>
      </c>
      <c r="G175" s="1" t="str" cm="1">
        <f t="array" ref="G175">IFERROR(INDEX('Schwab Positions'!$I$8:$I$10000,SMALL(IF('Schwab Positions'!$E$8:$E$10000=$C$2,ROW('Schwab Positions'!$E$8:$E$10000)-7,""),ROWS($G$19:$G175))),"")</f>
        <v/>
      </c>
      <c r="H175" s="100" t="str">
        <f t="shared" si="12"/>
        <v/>
      </c>
      <c r="I175" s="37" t="str" cm="1">
        <f t="array" ref="I175">IFERROR(IF($D175="Bond",IFERROR(INDEX('Schwab Positions'!$J$8:$J$10000,SMALL(IF('Schwab Positions'!$E$8:$E$10000=$C$2,ROW('Schwab Positions'!$E$8:$E$10000)-7,""),ROWS($I$19:$I175))),""),$F175*$G175),"")</f>
        <v/>
      </c>
    </row>
    <row r="176" spans="2:9">
      <c r="B176" t="str" cm="1">
        <f t="array" ref="B176">IFERROR(INDEX('Schwab Positions'!$A$8:$A$10000,SMALL(IF('Schwab Positions'!$E$8:$E$10000=$C$2,ROW('Schwab Positions'!$E$8:$E$10000)-7,""),ROWS($B$19:B176))),"")</f>
        <v/>
      </c>
      <c r="C176" t="str">
        <f>IFERROR(VLOOKUP(B176,'Schwab Positions'!$A$8:$B$10000,2,FALSE),"")</f>
        <v/>
      </c>
      <c r="D176" s="34" t="str">
        <f>IFERROR(VLOOKUP(B176,'Security Type'!$A$2:$C$1000,3,FALSE),"")</f>
        <v/>
      </c>
      <c r="E176" s="34" t="str">
        <f>IF(B176="","",IF(ISNUMBER(MATCH(B176,'2022 Port'!$D$6:$D$67,0)),VLOOKUP(B176,'Security Type'!$A$3:$D$1000,4,FALSE),"NOT IN PORT"))</f>
        <v/>
      </c>
      <c r="F176" t="str" cm="1">
        <f t="array" ref="F176">IFERROR(INDEX('Schwab Positions'!$D$8:$D$10000,SMALL(IF('Schwab Positions'!$E$8:$E$10000=$C$2,ROW('Schwab Positions'!$E$8:$E$10000)-7,""),ROWS($F$19:$F176))),"")</f>
        <v/>
      </c>
      <c r="G176" s="1" t="str" cm="1">
        <f t="array" ref="G176">IFERROR(INDEX('Schwab Positions'!$I$8:$I$10000,SMALL(IF('Schwab Positions'!$E$8:$E$10000=$C$2,ROW('Schwab Positions'!$E$8:$E$10000)-7,""),ROWS($G$19:$G176))),"")</f>
        <v/>
      </c>
      <c r="H176" s="100" t="str">
        <f t="shared" si="12"/>
        <v/>
      </c>
      <c r="I176" s="37" t="str" cm="1">
        <f t="array" ref="I176">IFERROR(IF($D176="Bond",IFERROR(INDEX('Schwab Positions'!$J$8:$J$10000,SMALL(IF('Schwab Positions'!$E$8:$E$10000=$C$2,ROW('Schwab Positions'!$E$8:$E$10000)-7,""),ROWS($I$19:$I176))),""),$F176*$G176),"")</f>
        <v/>
      </c>
    </row>
    <row r="177" spans="2:9">
      <c r="B177" t="str" cm="1">
        <f t="array" ref="B177">IFERROR(INDEX('Schwab Positions'!$A$8:$A$10000,SMALL(IF('Schwab Positions'!$E$8:$E$10000=$C$2,ROW('Schwab Positions'!$E$8:$E$10000)-7,""),ROWS($B$19:B177))),"")</f>
        <v/>
      </c>
      <c r="C177" t="str">
        <f>IFERROR(VLOOKUP(B177,'Schwab Positions'!$A$8:$B$10000,2,FALSE),"")</f>
        <v/>
      </c>
      <c r="D177" s="34" t="str">
        <f>IFERROR(VLOOKUP(B177,'Security Type'!$A$2:$C$1000,3,FALSE),"")</f>
        <v/>
      </c>
      <c r="E177" s="34" t="str">
        <f>IF(B177="","",IF(ISNUMBER(MATCH(B177,'2022 Port'!$D$6:$D$67,0)),VLOOKUP(B177,'Security Type'!$A$3:$D$1000,4,FALSE),"NOT IN PORT"))</f>
        <v/>
      </c>
      <c r="F177" t="str" cm="1">
        <f t="array" ref="F177">IFERROR(INDEX('Schwab Positions'!$D$8:$D$10000,SMALL(IF('Schwab Positions'!$E$8:$E$10000=$C$2,ROW('Schwab Positions'!$E$8:$E$10000)-7,""),ROWS($F$19:$F177))),"")</f>
        <v/>
      </c>
      <c r="G177" s="1" t="str" cm="1">
        <f t="array" ref="G177">IFERROR(INDEX('Schwab Positions'!$I$8:$I$10000,SMALL(IF('Schwab Positions'!$E$8:$E$10000=$C$2,ROW('Schwab Positions'!$E$8:$E$10000)-7,""),ROWS($G$19:$G177))),"")</f>
        <v/>
      </c>
      <c r="H177" s="100" t="str">
        <f t="shared" si="12"/>
        <v/>
      </c>
      <c r="I177" s="37" t="str" cm="1">
        <f t="array" ref="I177">IFERROR(IF($D177="Bond",IFERROR(INDEX('Schwab Positions'!$J$8:$J$10000,SMALL(IF('Schwab Positions'!$E$8:$E$10000=$C$2,ROW('Schwab Positions'!$E$8:$E$10000)-7,""),ROWS($I$19:$I177))),""),$F177*$G177),"")</f>
        <v/>
      </c>
    </row>
    <row r="178" spans="2:9">
      <c r="B178" t="str" cm="1">
        <f t="array" ref="B178">IFERROR(INDEX('Schwab Positions'!$A$8:$A$10000,SMALL(IF('Schwab Positions'!$E$8:$E$10000=$C$2,ROW('Schwab Positions'!$E$8:$E$10000)-7,""),ROWS($B$19:B178))),"")</f>
        <v/>
      </c>
      <c r="C178" t="str">
        <f>IFERROR(VLOOKUP(B178,'Schwab Positions'!$A$8:$B$10000,2,FALSE),"")</f>
        <v/>
      </c>
      <c r="D178" s="34" t="str">
        <f>IFERROR(VLOOKUP(B178,'Security Type'!$A$2:$C$1000,3,FALSE),"")</f>
        <v/>
      </c>
      <c r="E178" s="34" t="str">
        <f>IF(B178="","",IF(ISNUMBER(MATCH(B178,'2022 Port'!$D$6:$D$67,0)),VLOOKUP(B178,'Security Type'!$A$3:$D$1000,4,FALSE),"NOT IN PORT"))</f>
        <v/>
      </c>
      <c r="F178" t="str" cm="1">
        <f t="array" ref="F178">IFERROR(INDEX('Schwab Positions'!$D$8:$D$10000,SMALL(IF('Schwab Positions'!$E$8:$E$10000=$C$2,ROW('Schwab Positions'!$E$8:$E$10000)-7,""),ROWS($F$19:$F178))),"")</f>
        <v/>
      </c>
      <c r="G178" s="1" t="str" cm="1">
        <f t="array" ref="G178">IFERROR(INDEX('Schwab Positions'!$I$8:$I$10000,SMALL(IF('Schwab Positions'!$E$8:$E$10000=$C$2,ROW('Schwab Positions'!$E$8:$E$10000)-7,""),ROWS($G$19:$G178))),"")</f>
        <v/>
      </c>
      <c r="H178" s="100" t="str">
        <f t="shared" si="12"/>
        <v/>
      </c>
      <c r="I178" s="37" t="str" cm="1">
        <f t="array" ref="I178">IFERROR(IF($D178="Bond",IFERROR(INDEX('Schwab Positions'!$J$8:$J$10000,SMALL(IF('Schwab Positions'!$E$8:$E$10000=$C$2,ROW('Schwab Positions'!$E$8:$E$10000)-7,""),ROWS($I$19:$I178))),""),$F178*$G178),"")</f>
        <v/>
      </c>
    </row>
    <row r="179" spans="2:9">
      <c r="B179" t="str" cm="1">
        <f t="array" ref="B179">IFERROR(INDEX('Schwab Positions'!$A$8:$A$10000,SMALL(IF('Schwab Positions'!$E$8:$E$10000=$C$2,ROW('Schwab Positions'!$E$8:$E$10000)-7,""),ROWS($B$19:B179))),"")</f>
        <v/>
      </c>
      <c r="C179" t="str">
        <f>IFERROR(VLOOKUP(B179,'Schwab Positions'!$A$8:$B$10000,2,FALSE),"")</f>
        <v/>
      </c>
      <c r="D179" s="34" t="str">
        <f>IFERROR(VLOOKUP(B179,'Security Type'!$A$2:$C$1000,3,FALSE),"")</f>
        <v/>
      </c>
      <c r="E179" s="34" t="str">
        <f>IF(B179="","",IF(ISNUMBER(MATCH(B179,'2022 Port'!$D$6:$D$67,0)),VLOOKUP(B179,'Security Type'!$A$3:$D$1000,4,FALSE),"NOT IN PORT"))</f>
        <v/>
      </c>
      <c r="F179" t="str" cm="1">
        <f t="array" ref="F179">IFERROR(INDEX('Schwab Positions'!$D$8:$D$10000,SMALL(IF('Schwab Positions'!$E$8:$E$10000=$C$2,ROW('Schwab Positions'!$E$8:$E$10000)-7,""),ROWS($F$19:$F179))),"")</f>
        <v/>
      </c>
      <c r="G179" s="1" t="str" cm="1">
        <f t="array" ref="G179">IFERROR(INDEX('Schwab Positions'!$I$8:$I$10000,SMALL(IF('Schwab Positions'!$E$8:$E$10000=$C$2,ROW('Schwab Positions'!$E$8:$E$10000)-7,""),ROWS($G$19:$G179))),"")</f>
        <v/>
      </c>
      <c r="H179" s="100" t="str">
        <f t="shared" si="12"/>
        <v/>
      </c>
      <c r="I179" s="37" t="str" cm="1">
        <f t="array" ref="I179">IFERROR(IF($D179="Bond",IFERROR(INDEX('Schwab Positions'!$J$8:$J$10000,SMALL(IF('Schwab Positions'!$E$8:$E$10000=$C$2,ROW('Schwab Positions'!$E$8:$E$10000)-7,""),ROWS($I$19:$I179))),""),$F179*$G179),"")</f>
        <v/>
      </c>
    </row>
    <row r="180" spans="2:9">
      <c r="B180" t="str" cm="1">
        <f t="array" ref="B180">IFERROR(INDEX('Schwab Positions'!$A$8:$A$10000,SMALL(IF('Schwab Positions'!$E$8:$E$10000=$C$2,ROW('Schwab Positions'!$E$8:$E$10000)-7,""),ROWS($B$19:B180))),"")</f>
        <v/>
      </c>
      <c r="C180" t="str">
        <f>IFERROR(VLOOKUP(B180,'Schwab Positions'!$A$8:$B$10000,2,FALSE),"")</f>
        <v/>
      </c>
      <c r="D180" s="34" t="str">
        <f>IFERROR(VLOOKUP(B180,'Security Type'!$A$2:$C$1000,3,FALSE),"")</f>
        <v/>
      </c>
      <c r="E180" s="34" t="str">
        <f>IF(B180="","",IF(ISNUMBER(MATCH(B180,'2022 Port'!$D$6:$D$67,0)),VLOOKUP(B180,'Security Type'!$A$3:$D$1000,4,FALSE),"NOT IN PORT"))</f>
        <v/>
      </c>
      <c r="F180" t="str" cm="1">
        <f t="array" ref="F180">IFERROR(INDEX('Schwab Positions'!$D$8:$D$10000,SMALL(IF('Schwab Positions'!$E$8:$E$10000=$C$2,ROW('Schwab Positions'!$E$8:$E$10000)-7,""),ROWS($F$19:$F180))),"")</f>
        <v/>
      </c>
      <c r="G180" s="1" t="str" cm="1">
        <f t="array" ref="G180">IFERROR(INDEX('Schwab Positions'!$I$8:$I$10000,SMALL(IF('Schwab Positions'!$E$8:$E$10000=$C$2,ROW('Schwab Positions'!$E$8:$E$10000)-7,""),ROWS($G$19:$G180))),"")</f>
        <v/>
      </c>
      <c r="H180" s="100" t="str">
        <f t="shared" si="12"/>
        <v/>
      </c>
      <c r="I180" s="37" t="str" cm="1">
        <f t="array" ref="I180">IFERROR(IF($D180="Bond",IFERROR(INDEX('Schwab Positions'!$J$8:$J$10000,SMALL(IF('Schwab Positions'!$E$8:$E$10000=$C$2,ROW('Schwab Positions'!$E$8:$E$10000)-7,""),ROWS($I$19:$I180))),""),$F180*$G180),"")</f>
        <v/>
      </c>
    </row>
    <row r="181" spans="2:9">
      <c r="B181" t="str" cm="1">
        <f t="array" ref="B181">IFERROR(INDEX('Schwab Positions'!$A$8:$A$10000,SMALL(IF('Schwab Positions'!$E$8:$E$10000=$C$2,ROW('Schwab Positions'!$E$8:$E$10000)-7,""),ROWS($B$19:B181))),"")</f>
        <v/>
      </c>
      <c r="C181" t="str">
        <f>IFERROR(VLOOKUP(B181,'Schwab Positions'!$A$8:$B$10000,2,FALSE),"")</f>
        <v/>
      </c>
      <c r="D181" s="34" t="str">
        <f>IFERROR(VLOOKUP(B181,'Security Type'!$A$2:$C$1000,3,FALSE),"")</f>
        <v/>
      </c>
      <c r="E181" s="34" t="str">
        <f>IF(B181="","",IF(ISNUMBER(MATCH(B181,'2022 Port'!$D$6:$D$67,0)),VLOOKUP(B181,'Security Type'!$A$3:$D$1000,4,FALSE),"NOT IN PORT"))</f>
        <v/>
      </c>
      <c r="F181" t="str" cm="1">
        <f t="array" ref="F181">IFERROR(INDEX('Schwab Positions'!$D$8:$D$10000,SMALL(IF('Schwab Positions'!$E$8:$E$10000=$C$2,ROW('Schwab Positions'!$E$8:$E$10000)-7,""),ROWS($F$19:$F181))),"")</f>
        <v/>
      </c>
      <c r="G181" s="1" t="str" cm="1">
        <f t="array" ref="G181">IFERROR(INDEX('Schwab Positions'!$I$8:$I$10000,SMALL(IF('Schwab Positions'!$E$8:$E$10000=$C$2,ROW('Schwab Positions'!$E$8:$E$10000)-7,""),ROWS($G$19:$G181))),"")</f>
        <v/>
      </c>
      <c r="H181" s="100" t="str">
        <f t="shared" si="12"/>
        <v/>
      </c>
      <c r="I181" s="37" t="str" cm="1">
        <f t="array" ref="I181">IFERROR(IF($D181="Bond",IFERROR(INDEX('Schwab Positions'!$J$8:$J$10000,SMALL(IF('Schwab Positions'!$E$8:$E$10000=$C$2,ROW('Schwab Positions'!$E$8:$E$10000)-7,""),ROWS($I$19:$I181))),""),$F181*$G181),"")</f>
        <v/>
      </c>
    </row>
    <row r="182" spans="2:9">
      <c r="B182" t="str" cm="1">
        <f t="array" ref="B182">IFERROR(INDEX('Schwab Positions'!$A$8:$A$10000,SMALL(IF('Schwab Positions'!$E$8:$E$10000=$C$2,ROW('Schwab Positions'!$E$8:$E$10000)-7,""),ROWS($B$19:B182))),"")</f>
        <v/>
      </c>
      <c r="C182" t="str">
        <f>IFERROR(VLOOKUP(B182,'Schwab Positions'!$A$8:$B$10000,2,FALSE),"")</f>
        <v/>
      </c>
      <c r="D182" s="34" t="str">
        <f>IFERROR(VLOOKUP(B182,'Security Type'!$A$2:$C$1000,3,FALSE),"")</f>
        <v/>
      </c>
      <c r="E182" s="34" t="str">
        <f>IF(B182="","",IF(ISNUMBER(MATCH(B182,'2022 Port'!$D$6:$D$67,0)),VLOOKUP(B182,'Security Type'!$A$3:$D$1000,4,FALSE),"NOT IN PORT"))</f>
        <v/>
      </c>
      <c r="F182" t="str" cm="1">
        <f t="array" ref="F182">IFERROR(INDEX('Schwab Positions'!$D$8:$D$10000,SMALL(IF('Schwab Positions'!$E$8:$E$10000=$C$2,ROW('Schwab Positions'!$E$8:$E$10000)-7,""),ROWS($F$19:$F182))),"")</f>
        <v/>
      </c>
      <c r="G182" s="1" t="str" cm="1">
        <f t="array" ref="G182">IFERROR(INDEX('Schwab Positions'!$I$8:$I$10000,SMALL(IF('Schwab Positions'!$E$8:$E$10000=$C$2,ROW('Schwab Positions'!$E$8:$E$10000)-7,""),ROWS($G$19:$G182))),"")</f>
        <v/>
      </c>
      <c r="H182" s="100" t="str">
        <f t="shared" si="12"/>
        <v/>
      </c>
      <c r="I182" s="37" t="str" cm="1">
        <f t="array" ref="I182">IFERROR(IF($D182="Bond",IFERROR(INDEX('Schwab Positions'!$J$8:$J$10000,SMALL(IF('Schwab Positions'!$E$8:$E$10000=$C$2,ROW('Schwab Positions'!$E$8:$E$10000)-7,""),ROWS($I$19:$I182))),""),$F182*$G182),"")</f>
        <v/>
      </c>
    </row>
    <row r="183" spans="2:9">
      <c r="B183" t="str" cm="1">
        <f t="array" ref="B183">IFERROR(INDEX('Schwab Positions'!$A$8:$A$10000,SMALL(IF('Schwab Positions'!$E$8:$E$10000=$C$2,ROW('Schwab Positions'!$E$8:$E$10000)-7,""),ROWS($B$19:B183))),"")</f>
        <v/>
      </c>
      <c r="C183" t="str">
        <f>IFERROR(VLOOKUP(B183,'Schwab Positions'!$A$8:$B$10000,2,FALSE),"")</f>
        <v/>
      </c>
      <c r="D183" s="34" t="str">
        <f>IFERROR(VLOOKUP(B183,'Security Type'!$A$2:$C$1000,3,FALSE),"")</f>
        <v/>
      </c>
      <c r="E183" s="34" t="str">
        <f>IF(B183="","",IF(ISNUMBER(MATCH(B183,'2022 Port'!$D$6:$D$67,0)),VLOOKUP(B183,'Security Type'!$A$3:$D$1000,4,FALSE),"NOT IN PORT"))</f>
        <v/>
      </c>
      <c r="F183" t="str" cm="1">
        <f t="array" ref="F183">IFERROR(INDEX('Schwab Positions'!$D$8:$D$10000,SMALL(IF('Schwab Positions'!$E$8:$E$10000=$C$2,ROW('Schwab Positions'!$E$8:$E$10000)-7,""),ROWS($F$19:$F183))),"")</f>
        <v/>
      </c>
      <c r="G183" s="1" t="str" cm="1">
        <f t="array" ref="G183">IFERROR(INDEX('Schwab Positions'!$I$8:$I$10000,SMALL(IF('Schwab Positions'!$E$8:$E$10000=$C$2,ROW('Schwab Positions'!$E$8:$E$10000)-7,""),ROWS($G$19:$G183))),"")</f>
        <v/>
      </c>
      <c r="H183" s="100" t="str">
        <f t="shared" si="12"/>
        <v/>
      </c>
      <c r="I183" s="37" t="str" cm="1">
        <f t="array" ref="I183">IFERROR(IF($D183="Bond",IFERROR(INDEX('Schwab Positions'!$J$8:$J$10000,SMALL(IF('Schwab Positions'!$E$8:$E$10000=$C$2,ROW('Schwab Positions'!$E$8:$E$10000)-7,""),ROWS($I$19:$I183))),""),$F183*$G183),"")</f>
        <v/>
      </c>
    </row>
    <row r="184" spans="2:9">
      <c r="B184" t="str" cm="1">
        <f t="array" ref="B184">IFERROR(INDEX('Schwab Positions'!$A$8:$A$10000,SMALL(IF('Schwab Positions'!$E$8:$E$10000=$C$2,ROW('Schwab Positions'!$E$8:$E$10000)-7,""),ROWS($B$19:B184))),"")</f>
        <v/>
      </c>
      <c r="C184" t="str">
        <f>IFERROR(VLOOKUP(B184,'Schwab Positions'!$A$8:$B$10000,2,FALSE),"")</f>
        <v/>
      </c>
      <c r="D184" s="34" t="str">
        <f>IFERROR(VLOOKUP(B184,'Security Type'!$A$2:$C$1000,3,FALSE),"")</f>
        <v/>
      </c>
      <c r="E184" s="34" t="str">
        <f>IF(B184="","",IF(ISNUMBER(MATCH(B184,'2022 Port'!$D$6:$D$67,0)),VLOOKUP(B184,'Security Type'!$A$3:$D$1000,4,FALSE),"NOT IN PORT"))</f>
        <v/>
      </c>
      <c r="F184" t="str" cm="1">
        <f t="array" ref="F184">IFERROR(INDEX('Schwab Positions'!$D$8:$D$10000,SMALL(IF('Schwab Positions'!$E$8:$E$10000=$C$2,ROW('Schwab Positions'!$E$8:$E$10000)-7,""),ROWS($F$19:$F184))),"")</f>
        <v/>
      </c>
      <c r="G184" s="1" t="str" cm="1">
        <f t="array" ref="G184">IFERROR(INDEX('Schwab Positions'!$I$8:$I$10000,SMALL(IF('Schwab Positions'!$E$8:$E$10000=$C$2,ROW('Schwab Positions'!$E$8:$E$10000)-7,""),ROWS($G$19:$G184))),"")</f>
        <v/>
      </c>
      <c r="H184" s="100" t="str">
        <f t="shared" si="12"/>
        <v/>
      </c>
      <c r="I184" s="37" t="str" cm="1">
        <f t="array" ref="I184">IFERROR(IF($D184="Bond",IFERROR(INDEX('Schwab Positions'!$J$8:$J$10000,SMALL(IF('Schwab Positions'!$E$8:$E$10000=$C$2,ROW('Schwab Positions'!$E$8:$E$10000)-7,""),ROWS($I$19:$I184))),""),$F184*$G184),"")</f>
        <v/>
      </c>
    </row>
    <row r="185" spans="2:9">
      <c r="B185" t="str" cm="1">
        <f t="array" ref="B185">IFERROR(INDEX('Schwab Positions'!$A$8:$A$10000,SMALL(IF('Schwab Positions'!$E$8:$E$10000=$C$2,ROW('Schwab Positions'!$E$8:$E$10000)-7,""),ROWS($B$19:B185))),"")</f>
        <v/>
      </c>
      <c r="C185" t="str">
        <f>IFERROR(VLOOKUP(B185,'Schwab Positions'!$A$8:$B$10000,2,FALSE),"")</f>
        <v/>
      </c>
      <c r="D185" s="34" t="str">
        <f>IFERROR(VLOOKUP(B185,'Security Type'!$A$2:$C$1000,3,FALSE),"")</f>
        <v/>
      </c>
      <c r="E185" s="34" t="str">
        <f>IF(B185="","",IF(ISNUMBER(MATCH(B185,'2022 Port'!$D$6:$D$67,0)),VLOOKUP(B185,'Security Type'!$A$3:$D$1000,4,FALSE),"NOT IN PORT"))</f>
        <v/>
      </c>
      <c r="F185" t="str" cm="1">
        <f t="array" ref="F185">IFERROR(INDEX('Schwab Positions'!$D$8:$D$10000,SMALL(IF('Schwab Positions'!$E$8:$E$10000=$C$2,ROW('Schwab Positions'!$E$8:$E$10000)-7,""),ROWS($F$19:$F185))),"")</f>
        <v/>
      </c>
      <c r="G185" s="1" t="str" cm="1">
        <f t="array" ref="G185">IFERROR(INDEX('Schwab Positions'!$I$8:$I$10000,SMALL(IF('Schwab Positions'!$E$8:$E$10000=$C$2,ROW('Schwab Positions'!$E$8:$E$10000)-7,""),ROWS($G$19:$G185))),"")</f>
        <v/>
      </c>
      <c r="H185" s="100" t="str">
        <f t="shared" si="12"/>
        <v/>
      </c>
      <c r="I185" s="37" t="str" cm="1">
        <f t="array" ref="I185">IFERROR(IF($D185="Bond",IFERROR(INDEX('Schwab Positions'!$J$8:$J$10000,SMALL(IF('Schwab Positions'!$E$8:$E$10000=$C$2,ROW('Schwab Positions'!$E$8:$E$10000)-7,""),ROWS($I$19:$I185))),""),$F185*$G185),"")</f>
        <v/>
      </c>
    </row>
    <row r="186" spans="2:9">
      <c r="B186" t="str" cm="1">
        <f t="array" ref="B186">IFERROR(INDEX('Schwab Positions'!$A$8:$A$10000,SMALL(IF('Schwab Positions'!$E$8:$E$10000=$C$2,ROW('Schwab Positions'!$E$8:$E$10000)-7,""),ROWS($B$19:B186))),"")</f>
        <v/>
      </c>
      <c r="C186" t="str">
        <f>IFERROR(VLOOKUP(B186,'Schwab Positions'!$A$8:$B$10000,2,FALSE),"")</f>
        <v/>
      </c>
      <c r="D186" s="34" t="str">
        <f>IFERROR(VLOOKUP(B186,'Security Type'!$A$2:$C$1000,3,FALSE),"")</f>
        <v/>
      </c>
      <c r="E186" s="34" t="str">
        <f>IF(B186="","",IF(ISNUMBER(MATCH(B186,'2022 Port'!$D$6:$D$67,0)),VLOOKUP(B186,'Security Type'!$A$3:$D$1000,4,FALSE),"NOT IN PORT"))</f>
        <v/>
      </c>
      <c r="F186" t="str" cm="1">
        <f t="array" ref="F186">IFERROR(INDEX('Schwab Positions'!$D$8:$D$10000,SMALL(IF('Schwab Positions'!$E$8:$E$10000=$C$2,ROW('Schwab Positions'!$E$8:$E$10000)-7,""),ROWS($F$19:$F186))),"")</f>
        <v/>
      </c>
      <c r="G186" s="1" t="str" cm="1">
        <f t="array" ref="G186">IFERROR(INDEX('Schwab Positions'!$I$8:$I$10000,SMALL(IF('Schwab Positions'!$E$8:$E$10000=$C$2,ROW('Schwab Positions'!$E$8:$E$10000)-7,""),ROWS($G$19:$G186))),"")</f>
        <v/>
      </c>
      <c r="H186" s="100" t="str">
        <f t="shared" si="12"/>
        <v/>
      </c>
      <c r="I186" s="37" t="str" cm="1">
        <f t="array" ref="I186">IFERROR(IF($D186="Bond",IFERROR(INDEX('Schwab Positions'!$J$8:$J$10000,SMALL(IF('Schwab Positions'!$E$8:$E$10000=$C$2,ROW('Schwab Positions'!$E$8:$E$10000)-7,""),ROWS($I$19:$I186))),""),$F186*$G186),"")</f>
        <v/>
      </c>
    </row>
    <row r="187" spans="2:9">
      <c r="B187" t="str" cm="1">
        <f t="array" ref="B187">IFERROR(INDEX('Schwab Positions'!$A$8:$A$10000,SMALL(IF('Schwab Positions'!$E$8:$E$10000=$C$2,ROW('Schwab Positions'!$E$8:$E$10000)-7,""),ROWS($B$19:B187))),"")</f>
        <v/>
      </c>
      <c r="C187" t="str">
        <f>IFERROR(VLOOKUP(B187,'Schwab Positions'!$A$8:$B$10000,2,FALSE),"")</f>
        <v/>
      </c>
      <c r="D187" s="34" t="str">
        <f>IFERROR(VLOOKUP(B187,'Security Type'!$A$2:$C$1000,3,FALSE),"")</f>
        <v/>
      </c>
      <c r="E187" s="34" t="str">
        <f>IF(B187="","",IF(ISNUMBER(MATCH(B187,'2022 Port'!$D$6:$D$67,0)),VLOOKUP(B187,'Security Type'!$A$3:$D$1000,4,FALSE),"NOT IN PORT"))</f>
        <v/>
      </c>
      <c r="F187" t="str" cm="1">
        <f t="array" ref="F187">IFERROR(INDEX('Schwab Positions'!$D$8:$D$10000,SMALL(IF('Schwab Positions'!$E$8:$E$10000=$C$2,ROW('Schwab Positions'!$E$8:$E$10000)-7,""),ROWS($F$19:$F187))),"")</f>
        <v/>
      </c>
      <c r="G187" s="1" t="str" cm="1">
        <f t="array" ref="G187">IFERROR(INDEX('Schwab Positions'!$I$8:$I$10000,SMALL(IF('Schwab Positions'!$E$8:$E$10000=$C$2,ROW('Schwab Positions'!$E$8:$E$10000)-7,""),ROWS($G$19:$G187))),"")</f>
        <v/>
      </c>
      <c r="H187" s="100" t="str">
        <f t="shared" si="12"/>
        <v/>
      </c>
      <c r="I187" s="37" t="str" cm="1">
        <f t="array" ref="I187">IFERROR(IF($D187="Bond",IFERROR(INDEX('Schwab Positions'!$J$8:$J$10000,SMALL(IF('Schwab Positions'!$E$8:$E$10000=$C$2,ROW('Schwab Positions'!$E$8:$E$10000)-7,""),ROWS($I$19:$I187))),""),$F187*$G187),"")</f>
        <v/>
      </c>
    </row>
    <row r="188" spans="2:9">
      <c r="B188" t="str" cm="1">
        <f t="array" ref="B188">IFERROR(INDEX('Schwab Positions'!$A$8:$A$10000,SMALL(IF('Schwab Positions'!$E$8:$E$10000=$C$2,ROW('Schwab Positions'!$E$8:$E$10000)-7,""),ROWS($B$19:B188))),"")</f>
        <v/>
      </c>
      <c r="C188" t="str">
        <f>IFERROR(VLOOKUP(B188,'Schwab Positions'!$A$8:$B$10000,2,FALSE),"")</f>
        <v/>
      </c>
      <c r="D188" s="34" t="str">
        <f>IFERROR(VLOOKUP(B188,'Security Type'!$A$2:$C$1000,3,FALSE),"")</f>
        <v/>
      </c>
      <c r="E188" s="34" t="str">
        <f>IF(B188="","",IF(ISNUMBER(MATCH(B188,'2022 Port'!$D$6:$D$67,0)),VLOOKUP(B188,'Security Type'!$A$3:$D$1000,4,FALSE),"NOT IN PORT"))</f>
        <v/>
      </c>
      <c r="F188" t="str" cm="1">
        <f t="array" ref="F188">IFERROR(INDEX('Schwab Positions'!$D$8:$D$10000,SMALL(IF('Schwab Positions'!$E$8:$E$10000=$C$2,ROW('Schwab Positions'!$E$8:$E$10000)-7,""),ROWS($F$19:$F188))),"")</f>
        <v/>
      </c>
      <c r="G188" s="1" t="str" cm="1">
        <f t="array" ref="G188">IFERROR(INDEX('Schwab Positions'!$I$8:$I$10000,SMALL(IF('Schwab Positions'!$E$8:$E$10000=$C$2,ROW('Schwab Positions'!$E$8:$E$10000)-7,""),ROWS($G$19:$G188))),"")</f>
        <v/>
      </c>
      <c r="H188" s="100" t="str">
        <f t="shared" si="12"/>
        <v/>
      </c>
      <c r="I188" s="37" t="str" cm="1">
        <f t="array" ref="I188">IFERROR(IF($D188="Bond",IFERROR(INDEX('Schwab Positions'!$J$8:$J$10000,SMALL(IF('Schwab Positions'!$E$8:$E$10000=$C$2,ROW('Schwab Positions'!$E$8:$E$10000)-7,""),ROWS($I$19:$I188))),""),$F188*$G188),"")</f>
        <v/>
      </c>
    </row>
    <row r="189" spans="2:9">
      <c r="B189" t="str" cm="1">
        <f t="array" ref="B189">IFERROR(INDEX('Schwab Positions'!$A$8:$A$10000,SMALL(IF('Schwab Positions'!$E$8:$E$10000=$C$2,ROW('Schwab Positions'!$E$8:$E$10000)-7,""),ROWS($B$19:B189))),"")</f>
        <v/>
      </c>
      <c r="C189" t="str">
        <f>IFERROR(VLOOKUP(B189,'Schwab Positions'!$A$8:$B$10000,2,FALSE),"")</f>
        <v/>
      </c>
      <c r="D189" s="34" t="str">
        <f>IFERROR(VLOOKUP(B189,'Security Type'!$A$2:$C$1000,3,FALSE),"")</f>
        <v/>
      </c>
      <c r="E189" s="34" t="str">
        <f>IF(B189="","",IF(ISNUMBER(MATCH(B189,'2022 Port'!$D$6:$D$67,0)),VLOOKUP(B189,'Security Type'!$A$3:$D$1000,4,FALSE),"NOT IN PORT"))</f>
        <v/>
      </c>
      <c r="F189" t="str" cm="1">
        <f t="array" ref="F189">IFERROR(INDEX('Schwab Positions'!$D$8:$D$10000,SMALL(IF('Schwab Positions'!$E$8:$E$10000=$C$2,ROW('Schwab Positions'!$E$8:$E$10000)-7,""),ROWS($F$19:$F189))),"")</f>
        <v/>
      </c>
      <c r="G189" s="1" t="str" cm="1">
        <f t="array" ref="G189">IFERROR(INDEX('Schwab Positions'!$I$8:$I$10000,SMALL(IF('Schwab Positions'!$E$8:$E$10000=$C$2,ROW('Schwab Positions'!$E$8:$E$10000)-7,""),ROWS($G$19:$G189))),"")</f>
        <v/>
      </c>
      <c r="H189" s="100" t="str">
        <f t="shared" si="12"/>
        <v/>
      </c>
      <c r="I189" s="37" t="str" cm="1">
        <f t="array" ref="I189">IFERROR(IF($D189="Bond",IFERROR(INDEX('Schwab Positions'!$J$8:$J$10000,SMALL(IF('Schwab Positions'!$E$8:$E$10000=$C$2,ROW('Schwab Positions'!$E$8:$E$10000)-7,""),ROWS($I$19:$I189))),""),$F189*$G189),"")</f>
        <v/>
      </c>
    </row>
    <row r="190" spans="2:9">
      <c r="B190" t="str" cm="1">
        <f t="array" ref="B190">IFERROR(INDEX('Schwab Positions'!$A$8:$A$10000,SMALL(IF('Schwab Positions'!$E$8:$E$10000=$C$2,ROW('Schwab Positions'!$E$8:$E$10000)-7,""),ROWS($B$19:B190))),"")</f>
        <v/>
      </c>
      <c r="C190" t="str">
        <f>IFERROR(VLOOKUP(B190,'Schwab Positions'!$A$8:$B$10000,2,FALSE),"")</f>
        <v/>
      </c>
      <c r="D190" s="34" t="str">
        <f>IFERROR(VLOOKUP(B190,'Security Type'!$A$2:$C$1000,3,FALSE),"")</f>
        <v/>
      </c>
      <c r="E190" s="34" t="str">
        <f>IF(B190="","",IF(ISNUMBER(MATCH(B190,'2022 Port'!$D$6:$D$67,0)),VLOOKUP(B190,'Security Type'!$A$3:$D$1000,4,FALSE),"NOT IN PORT"))</f>
        <v/>
      </c>
      <c r="F190" t="str" cm="1">
        <f t="array" ref="F190">IFERROR(INDEX('Schwab Positions'!$D$8:$D$10000,SMALL(IF('Schwab Positions'!$E$8:$E$10000=$C$2,ROW('Schwab Positions'!$E$8:$E$10000)-7,""),ROWS($F$19:$F190))),"")</f>
        <v/>
      </c>
      <c r="G190" s="1" t="str" cm="1">
        <f t="array" ref="G190">IFERROR(INDEX('Schwab Positions'!$I$8:$I$10000,SMALL(IF('Schwab Positions'!$E$8:$E$10000=$C$2,ROW('Schwab Positions'!$E$8:$E$10000)-7,""),ROWS($G$19:$G190))),"")</f>
        <v/>
      </c>
      <c r="H190" s="100" t="str">
        <f t="shared" si="12"/>
        <v/>
      </c>
      <c r="I190" s="37" t="str" cm="1">
        <f t="array" ref="I190">IFERROR(IF($D190="Bond",IFERROR(INDEX('Schwab Positions'!$J$8:$J$10000,SMALL(IF('Schwab Positions'!$E$8:$E$10000=$C$2,ROW('Schwab Positions'!$E$8:$E$10000)-7,""),ROWS($I$19:$I190))),""),$F190*$G190),"")</f>
        <v/>
      </c>
    </row>
    <row r="191" spans="2:9">
      <c r="B191" t="str" cm="1">
        <f t="array" ref="B191">IFERROR(INDEX('Schwab Positions'!$A$8:$A$10000,SMALL(IF('Schwab Positions'!$E$8:$E$10000=$C$2,ROW('Schwab Positions'!$E$8:$E$10000)-7,""),ROWS($B$19:B191))),"")</f>
        <v/>
      </c>
      <c r="C191" t="str">
        <f>IFERROR(VLOOKUP(B191,'Schwab Positions'!$A$8:$B$10000,2,FALSE),"")</f>
        <v/>
      </c>
      <c r="D191" s="34" t="str">
        <f>IFERROR(VLOOKUP(B191,'Security Type'!$A$2:$C$1000,3,FALSE),"")</f>
        <v/>
      </c>
      <c r="E191" s="34" t="str">
        <f>IF(B191="","",IF(ISNUMBER(MATCH(B191,'2022 Port'!$D$6:$D$67,0)),VLOOKUP(B191,'Security Type'!$A$3:$D$1000,4,FALSE),"NOT IN PORT"))</f>
        <v/>
      </c>
      <c r="F191" t="str" cm="1">
        <f t="array" ref="F191">IFERROR(INDEX('Schwab Positions'!$D$8:$D$10000,SMALL(IF('Schwab Positions'!$E$8:$E$10000=$C$2,ROW('Schwab Positions'!$E$8:$E$10000)-7,""),ROWS($F$19:$F191))),"")</f>
        <v/>
      </c>
      <c r="G191" s="1" t="str" cm="1">
        <f t="array" ref="G191">IFERROR(INDEX('Schwab Positions'!$I$8:$I$10000,SMALL(IF('Schwab Positions'!$E$8:$E$10000=$C$2,ROW('Schwab Positions'!$E$8:$E$10000)-7,""),ROWS($G$19:$G191))),"")</f>
        <v/>
      </c>
      <c r="H191" s="100" t="str">
        <f t="shared" si="12"/>
        <v/>
      </c>
      <c r="I191" s="37" t="str" cm="1">
        <f t="array" ref="I191">IFERROR(IF($D191="Bond",IFERROR(INDEX('Schwab Positions'!$J$8:$J$10000,SMALL(IF('Schwab Positions'!$E$8:$E$10000=$C$2,ROW('Schwab Positions'!$E$8:$E$10000)-7,""),ROWS($I$19:$I191))),""),$F191*$G191),"")</f>
        <v/>
      </c>
    </row>
    <row r="192" spans="2:9">
      <c r="B192" t="str" cm="1">
        <f t="array" ref="B192">IFERROR(INDEX('Schwab Positions'!$A$8:$A$10000,SMALL(IF('Schwab Positions'!$E$8:$E$10000=$C$2,ROW('Schwab Positions'!$E$8:$E$10000)-7,""),ROWS($B$19:B192))),"")</f>
        <v/>
      </c>
      <c r="C192" t="str">
        <f>IFERROR(VLOOKUP(B192,'Schwab Positions'!$A$8:$B$10000,2,FALSE),"")</f>
        <v/>
      </c>
      <c r="D192" s="34" t="str">
        <f>IFERROR(VLOOKUP(B192,'Security Type'!$A$2:$C$1000,3,FALSE),"")</f>
        <v/>
      </c>
      <c r="E192" s="34" t="str">
        <f>IF(B192="","",IF(ISNUMBER(MATCH(B192,'2022 Port'!$D$6:$D$67,0)),VLOOKUP(B192,'Security Type'!$A$3:$D$1000,4,FALSE),"NOT IN PORT"))</f>
        <v/>
      </c>
      <c r="F192" t="str" cm="1">
        <f t="array" ref="F192">IFERROR(INDEX('Schwab Positions'!$D$8:$D$10000,SMALL(IF('Schwab Positions'!$E$8:$E$10000=$C$2,ROW('Schwab Positions'!$E$8:$E$10000)-7,""),ROWS($F$19:$F192))),"")</f>
        <v/>
      </c>
      <c r="G192" s="1" t="str" cm="1">
        <f t="array" ref="G192">IFERROR(INDEX('Schwab Positions'!$I$8:$I$10000,SMALL(IF('Schwab Positions'!$E$8:$E$10000=$C$2,ROW('Schwab Positions'!$E$8:$E$10000)-7,""),ROWS($G$19:$G192))),"")</f>
        <v/>
      </c>
      <c r="H192" s="100" t="str">
        <f t="shared" si="12"/>
        <v/>
      </c>
      <c r="I192" s="37" t="str" cm="1">
        <f t="array" ref="I192">IFERROR(IF($D192="Bond",IFERROR(INDEX('Schwab Positions'!$J$8:$J$10000,SMALL(IF('Schwab Positions'!$E$8:$E$10000=$C$2,ROW('Schwab Positions'!$E$8:$E$10000)-7,""),ROWS($I$19:$I192))),""),$F192*$G192),"")</f>
        <v/>
      </c>
    </row>
    <row r="193" spans="2:9">
      <c r="B193" t="str" cm="1">
        <f t="array" ref="B193">IFERROR(INDEX('Schwab Positions'!$A$8:$A$10000,SMALL(IF('Schwab Positions'!$E$8:$E$10000=$C$2,ROW('Schwab Positions'!$E$8:$E$10000)-7,""),ROWS($B$19:B193))),"")</f>
        <v/>
      </c>
      <c r="C193" t="str">
        <f>IFERROR(VLOOKUP(B193,'Schwab Positions'!$A$8:$B$10000,2,FALSE),"")</f>
        <v/>
      </c>
      <c r="D193" s="34" t="str">
        <f>IFERROR(VLOOKUP(B193,'Security Type'!$A$2:$C$1000,3,FALSE),"")</f>
        <v/>
      </c>
      <c r="E193" s="34" t="str">
        <f>IF(B193="","",IF(ISNUMBER(MATCH(B193,'2022 Port'!$D$6:$D$67,0)),VLOOKUP(B193,'Security Type'!$A$3:$D$1000,4,FALSE),"NOT IN PORT"))</f>
        <v/>
      </c>
      <c r="F193" t="str" cm="1">
        <f t="array" ref="F193">IFERROR(INDEX('Schwab Positions'!$D$8:$D$10000,SMALL(IF('Schwab Positions'!$E$8:$E$10000=$C$2,ROW('Schwab Positions'!$E$8:$E$10000)-7,""),ROWS($F$19:$F193))),"")</f>
        <v/>
      </c>
      <c r="G193" s="1" t="str" cm="1">
        <f t="array" ref="G193">IFERROR(INDEX('Schwab Positions'!$I$8:$I$10000,SMALL(IF('Schwab Positions'!$E$8:$E$10000=$C$2,ROW('Schwab Positions'!$E$8:$E$10000)-7,""),ROWS($G$19:$G193))),"")</f>
        <v/>
      </c>
      <c r="H193" s="100" t="str">
        <f t="shared" si="12"/>
        <v/>
      </c>
      <c r="I193" s="37" t="str" cm="1">
        <f t="array" ref="I193">IFERROR(IF($D193="Bond",IFERROR(INDEX('Schwab Positions'!$J$8:$J$10000,SMALL(IF('Schwab Positions'!$E$8:$E$10000=$C$2,ROW('Schwab Positions'!$E$8:$E$10000)-7,""),ROWS($I$19:$I193))),""),$F193*$G193),"")</f>
        <v/>
      </c>
    </row>
    <row r="194" spans="2:9">
      <c r="B194" t="str" cm="1">
        <f t="array" ref="B194">IFERROR(INDEX('Schwab Positions'!$A$8:$A$10000,SMALL(IF('Schwab Positions'!$E$8:$E$10000=$C$2,ROW('Schwab Positions'!$E$8:$E$10000)-7,""),ROWS($B$19:B194))),"")</f>
        <v/>
      </c>
      <c r="C194" t="str">
        <f>IFERROR(VLOOKUP(B194,'Schwab Positions'!$A$8:$B$10000,2,FALSE),"")</f>
        <v/>
      </c>
      <c r="D194" s="34" t="str">
        <f>IFERROR(VLOOKUP(B194,'Security Type'!$A$2:$C$1000,3,FALSE),"")</f>
        <v/>
      </c>
      <c r="E194" s="34" t="str">
        <f>IF(B194="","",IF(ISNUMBER(MATCH(B194,'2022 Port'!$D$6:$D$67,0)),VLOOKUP(B194,'Security Type'!$A$3:$D$1000,4,FALSE),"NOT IN PORT"))</f>
        <v/>
      </c>
      <c r="F194" t="str" cm="1">
        <f t="array" ref="F194">IFERROR(INDEX('Schwab Positions'!$D$8:$D$10000,SMALL(IF('Schwab Positions'!$E$8:$E$10000=$C$2,ROW('Schwab Positions'!$E$8:$E$10000)-7,""),ROWS($F$19:$F194))),"")</f>
        <v/>
      </c>
      <c r="G194" s="1" t="str" cm="1">
        <f t="array" ref="G194">IFERROR(INDEX('Schwab Positions'!$I$8:$I$10000,SMALL(IF('Schwab Positions'!$E$8:$E$10000=$C$2,ROW('Schwab Positions'!$E$8:$E$10000)-7,""),ROWS($G$19:$G194))),"")</f>
        <v/>
      </c>
      <c r="H194" s="100" t="str">
        <f t="shared" si="12"/>
        <v/>
      </c>
      <c r="I194" s="37" t="str" cm="1">
        <f t="array" ref="I194">IFERROR(IF($D194="Bond",IFERROR(INDEX('Schwab Positions'!$J$8:$J$10000,SMALL(IF('Schwab Positions'!$E$8:$E$10000=$C$2,ROW('Schwab Positions'!$E$8:$E$10000)-7,""),ROWS($I$19:$I194))),""),$F194*$G194),"")</f>
        <v/>
      </c>
    </row>
    <row r="195" spans="2:9">
      <c r="B195" t="str" cm="1">
        <f t="array" ref="B195">IFERROR(INDEX('Schwab Positions'!$A$8:$A$10000,SMALL(IF('Schwab Positions'!$E$8:$E$10000=$C$2,ROW('Schwab Positions'!$E$8:$E$10000)-7,""),ROWS($B$19:B195))),"")</f>
        <v/>
      </c>
      <c r="C195" t="str">
        <f>IFERROR(VLOOKUP(B195,'Schwab Positions'!$A$8:$B$10000,2,FALSE),"")</f>
        <v/>
      </c>
      <c r="D195" s="34" t="str">
        <f>IFERROR(VLOOKUP(B195,'Security Type'!$A$2:$C$1000,3,FALSE),"")</f>
        <v/>
      </c>
      <c r="E195" s="34" t="str">
        <f>IF(B195="","",IF(ISNUMBER(MATCH(B195,'2022 Port'!$D$6:$D$67,0)),VLOOKUP(B195,'Security Type'!$A$3:$D$1000,4,FALSE),"NOT IN PORT"))</f>
        <v/>
      </c>
      <c r="F195" t="str" cm="1">
        <f t="array" ref="F195">IFERROR(INDEX('Schwab Positions'!$D$8:$D$10000,SMALL(IF('Schwab Positions'!$E$8:$E$10000=$C$2,ROW('Schwab Positions'!$E$8:$E$10000)-7,""),ROWS($F$19:$F195))),"")</f>
        <v/>
      </c>
      <c r="G195" s="1" t="str" cm="1">
        <f t="array" ref="G195">IFERROR(INDEX('Schwab Positions'!$I$8:$I$10000,SMALL(IF('Schwab Positions'!$E$8:$E$10000=$C$2,ROW('Schwab Positions'!$E$8:$E$10000)-7,""),ROWS($G$19:$G195))),"")</f>
        <v/>
      </c>
      <c r="H195" s="100" t="str">
        <f t="shared" si="12"/>
        <v/>
      </c>
      <c r="I195" s="37" t="str" cm="1">
        <f t="array" ref="I195">IFERROR(IF($D195="Bond",IFERROR(INDEX('Schwab Positions'!$J$8:$J$10000,SMALL(IF('Schwab Positions'!$E$8:$E$10000=$C$2,ROW('Schwab Positions'!$E$8:$E$10000)-7,""),ROWS($I$19:$I195))),""),$F195*$G195),"")</f>
        <v/>
      </c>
    </row>
    <row r="196" spans="2:9">
      <c r="B196" t="str" cm="1">
        <f t="array" ref="B196">IFERROR(INDEX('Schwab Positions'!$A$8:$A$10000,SMALL(IF('Schwab Positions'!$E$8:$E$10000=$C$2,ROW('Schwab Positions'!$E$8:$E$10000)-7,""),ROWS($B$19:B196))),"")</f>
        <v/>
      </c>
      <c r="C196" t="str">
        <f>IFERROR(VLOOKUP(B196,'Schwab Positions'!$A$8:$B$10000,2,FALSE),"")</f>
        <v/>
      </c>
      <c r="D196" s="34" t="str">
        <f>IFERROR(VLOOKUP(B196,'Security Type'!$A$2:$C$1000,3,FALSE),"")</f>
        <v/>
      </c>
      <c r="E196" s="34" t="str">
        <f>IF(B196="","",IF(ISNUMBER(MATCH(B196,'2022 Port'!$D$6:$D$67,0)),VLOOKUP(B196,'Security Type'!$A$3:$D$1000,4,FALSE),"NOT IN PORT"))</f>
        <v/>
      </c>
      <c r="F196" t="str" cm="1">
        <f t="array" ref="F196">IFERROR(INDEX('Schwab Positions'!$D$8:$D$10000,SMALL(IF('Schwab Positions'!$E$8:$E$10000=$C$2,ROW('Schwab Positions'!$E$8:$E$10000)-7,""),ROWS($F$19:$F196))),"")</f>
        <v/>
      </c>
      <c r="G196" s="1" t="str" cm="1">
        <f t="array" ref="G196">IFERROR(INDEX('Schwab Positions'!$I$8:$I$10000,SMALL(IF('Schwab Positions'!$E$8:$E$10000=$C$2,ROW('Schwab Positions'!$E$8:$E$10000)-7,""),ROWS($G$19:$G196))),"")</f>
        <v/>
      </c>
      <c r="H196" s="100" t="str">
        <f t="shared" si="12"/>
        <v/>
      </c>
      <c r="I196" s="37" t="str" cm="1">
        <f t="array" ref="I196">IFERROR(IF($D196="Bond",IFERROR(INDEX('Schwab Positions'!$J$8:$J$10000,SMALL(IF('Schwab Positions'!$E$8:$E$10000=$C$2,ROW('Schwab Positions'!$E$8:$E$10000)-7,""),ROWS($I$19:$I196))),""),$F196*$G196),"")</f>
        <v/>
      </c>
    </row>
    <row r="197" spans="2:9">
      <c r="B197" t="str" cm="1">
        <f t="array" ref="B197">IFERROR(INDEX('Schwab Positions'!$A$8:$A$10000,SMALL(IF('Schwab Positions'!$E$8:$E$10000=$C$2,ROW('Schwab Positions'!$E$8:$E$10000)-7,""),ROWS($B$19:B197))),"")</f>
        <v/>
      </c>
      <c r="C197" t="str">
        <f>IFERROR(VLOOKUP(B197,'Schwab Positions'!$A$8:$B$10000,2,FALSE),"")</f>
        <v/>
      </c>
      <c r="D197" s="34" t="str">
        <f>IFERROR(VLOOKUP(B197,'Security Type'!$A$2:$C$1000,3,FALSE),"")</f>
        <v/>
      </c>
      <c r="E197" s="34" t="str">
        <f>IF(B197="","",IF(ISNUMBER(MATCH(B197,'2022 Port'!$D$6:$D$67,0)),VLOOKUP(B197,'Security Type'!$A$3:$D$1000,4,FALSE),"NOT IN PORT"))</f>
        <v/>
      </c>
      <c r="F197" t="str" cm="1">
        <f t="array" ref="F197">IFERROR(INDEX('Schwab Positions'!$D$8:$D$10000,SMALL(IF('Schwab Positions'!$E$8:$E$10000=$C$2,ROW('Schwab Positions'!$E$8:$E$10000)-7,""),ROWS($F$19:$F197))),"")</f>
        <v/>
      </c>
      <c r="G197" s="1" t="str" cm="1">
        <f t="array" ref="G197">IFERROR(INDEX('Schwab Positions'!$I$8:$I$10000,SMALL(IF('Schwab Positions'!$E$8:$E$10000=$C$2,ROW('Schwab Positions'!$E$8:$E$10000)-7,""),ROWS($G$19:$G197))),"")</f>
        <v/>
      </c>
      <c r="H197" s="100" t="str">
        <f t="shared" si="12"/>
        <v/>
      </c>
      <c r="I197" s="37" t="str" cm="1">
        <f t="array" ref="I197">IFERROR(IF($D197="Bond",IFERROR(INDEX('Schwab Positions'!$J$8:$J$10000,SMALL(IF('Schwab Positions'!$E$8:$E$10000=$C$2,ROW('Schwab Positions'!$E$8:$E$10000)-7,""),ROWS($I$19:$I197))),""),$F197*$G197),"")</f>
        <v/>
      </c>
    </row>
    <row r="198" spans="2:9">
      <c r="B198" t="str" cm="1">
        <f t="array" ref="B198">IFERROR(INDEX('Schwab Positions'!$A$8:$A$10000,SMALL(IF('Schwab Positions'!$E$8:$E$10000=$C$2,ROW('Schwab Positions'!$E$8:$E$10000)-7,""),ROWS($B$19:B198))),"")</f>
        <v/>
      </c>
      <c r="C198" t="str">
        <f>IFERROR(VLOOKUP(B198,'Schwab Positions'!$A$8:$B$10000,2,FALSE),"")</f>
        <v/>
      </c>
      <c r="D198" s="34" t="str">
        <f>IFERROR(VLOOKUP(B198,'Security Type'!$A$2:$C$1000,3,FALSE),"")</f>
        <v/>
      </c>
      <c r="E198" s="34" t="str">
        <f>IF(B198="","",IF(ISNUMBER(MATCH(B198,'2022 Port'!$D$6:$D$67,0)),VLOOKUP(B198,'Security Type'!$A$3:$D$1000,4,FALSE),"NOT IN PORT"))</f>
        <v/>
      </c>
      <c r="F198" t="str" cm="1">
        <f t="array" ref="F198">IFERROR(INDEX('Schwab Positions'!$D$8:$D$10000,SMALL(IF('Schwab Positions'!$E$8:$E$10000=$C$2,ROW('Schwab Positions'!$E$8:$E$10000)-7,""),ROWS($F$19:$F198))),"")</f>
        <v/>
      </c>
      <c r="G198" s="1" t="str" cm="1">
        <f t="array" ref="G198">IFERROR(INDEX('Schwab Positions'!$I$8:$I$10000,SMALL(IF('Schwab Positions'!$E$8:$E$10000=$C$2,ROW('Schwab Positions'!$E$8:$E$10000)-7,""),ROWS($G$19:$G198))),"")</f>
        <v/>
      </c>
      <c r="H198" s="100" t="str">
        <f t="shared" si="12"/>
        <v/>
      </c>
      <c r="I198" s="37" t="str" cm="1">
        <f t="array" ref="I198">IFERROR(IF($D198="Bond",IFERROR(INDEX('Schwab Positions'!$J$8:$J$10000,SMALL(IF('Schwab Positions'!$E$8:$E$10000=$C$2,ROW('Schwab Positions'!$E$8:$E$10000)-7,""),ROWS($I$19:$I198))),""),$F198*$G198),"")</f>
        <v/>
      </c>
    </row>
    <row r="199" spans="2:9">
      <c r="B199" t="str" cm="1">
        <f t="array" ref="B199">IFERROR(INDEX('Schwab Positions'!$A$8:$A$10000,SMALL(IF('Schwab Positions'!$E$8:$E$10000=$C$2,ROW('Schwab Positions'!$E$8:$E$10000)-7,""),ROWS($B$19:B199))),"")</f>
        <v/>
      </c>
      <c r="C199" t="str">
        <f>IFERROR(VLOOKUP(B199,'Schwab Positions'!$A$8:$B$10000,2,FALSE),"")</f>
        <v/>
      </c>
      <c r="D199" s="34" t="str">
        <f>IFERROR(VLOOKUP(B199,'Security Type'!$A$2:$C$1000,3,FALSE),"")</f>
        <v/>
      </c>
      <c r="E199" s="34" t="str">
        <f>IF(B199="","",IF(ISNUMBER(MATCH(B199,'2022 Port'!$D$6:$D$67,0)),VLOOKUP(B199,'Security Type'!$A$3:$D$1000,4,FALSE),"NOT IN PORT"))</f>
        <v/>
      </c>
      <c r="F199" t="str" cm="1">
        <f t="array" ref="F199">IFERROR(INDEX('Schwab Positions'!$D$8:$D$10000,SMALL(IF('Schwab Positions'!$E$8:$E$10000=$C$2,ROW('Schwab Positions'!$E$8:$E$10000)-7,""),ROWS($F$19:$F199))),"")</f>
        <v/>
      </c>
      <c r="G199" s="1" t="str" cm="1">
        <f t="array" ref="G199">IFERROR(INDEX('Schwab Positions'!$I$8:$I$10000,SMALL(IF('Schwab Positions'!$E$8:$E$10000=$C$2,ROW('Schwab Positions'!$E$8:$E$10000)-7,""),ROWS($G$19:$G199))),"")</f>
        <v/>
      </c>
      <c r="H199" s="100" t="str">
        <f t="shared" si="12"/>
        <v/>
      </c>
      <c r="I199" s="37" t="str" cm="1">
        <f t="array" ref="I199">IFERROR(IF($D199="Bond",IFERROR(INDEX('Schwab Positions'!$J$8:$J$10000,SMALL(IF('Schwab Positions'!$E$8:$E$10000=$C$2,ROW('Schwab Positions'!$E$8:$E$10000)-7,""),ROWS($I$19:$I199))),""),$F199*$G199),"")</f>
        <v/>
      </c>
    </row>
    <row r="200" spans="2:9">
      <c r="B200" t="str" cm="1">
        <f t="array" ref="B200">IFERROR(INDEX('Schwab Positions'!$A$8:$A$10000,SMALL(IF('Schwab Positions'!$E$8:$E$10000=$C$2,ROW('Schwab Positions'!$E$8:$E$10000)-7,""),ROWS($B$19:B200))),"")</f>
        <v/>
      </c>
      <c r="C200" t="str">
        <f>IFERROR(VLOOKUP(B200,'Schwab Positions'!$A$8:$B$10000,2,FALSE),"")</f>
        <v/>
      </c>
      <c r="D200" s="34" t="str">
        <f>IFERROR(VLOOKUP(B200,'Security Type'!$A$2:$C$1000,3,FALSE),"")</f>
        <v/>
      </c>
      <c r="E200" s="34" t="str">
        <f>IF(B200="","",IF(ISNUMBER(MATCH(B200,'2022 Port'!$D$6:$D$67,0)),VLOOKUP(B200,'Security Type'!$A$3:$D$1000,4,FALSE),"NOT IN PORT"))</f>
        <v/>
      </c>
      <c r="F200" t="str" cm="1">
        <f t="array" ref="F200">IFERROR(INDEX('Schwab Positions'!$D$8:$D$10000,SMALL(IF('Schwab Positions'!$E$8:$E$10000=$C$2,ROW('Schwab Positions'!$E$8:$E$10000)-7,""),ROWS($F$19:$F200))),"")</f>
        <v/>
      </c>
      <c r="G200" s="1" t="str" cm="1">
        <f t="array" ref="G200">IFERROR(INDEX('Schwab Positions'!$I$8:$I$10000,SMALL(IF('Schwab Positions'!$E$8:$E$10000=$C$2,ROW('Schwab Positions'!$E$8:$E$10000)-7,""),ROWS($G$19:$G200))),"")</f>
        <v/>
      </c>
      <c r="H200" s="100" t="str">
        <f t="shared" si="12"/>
        <v/>
      </c>
      <c r="I200" s="37" t="str" cm="1">
        <f t="array" ref="I200">IFERROR(IF($D200="Bond",IFERROR(INDEX('Schwab Positions'!$J$8:$J$10000,SMALL(IF('Schwab Positions'!$E$8:$E$10000=$C$2,ROW('Schwab Positions'!$E$8:$E$10000)-7,""),ROWS($I$19:$I200))),""),$F200*$G200),"")</f>
        <v/>
      </c>
    </row>
    <row r="201" spans="2:9">
      <c r="B201" t="str" cm="1">
        <f t="array" ref="B201">IFERROR(INDEX('Schwab Positions'!$A$8:$A$10000,SMALL(IF('Schwab Positions'!$E$8:$E$10000=$C$2,ROW('Schwab Positions'!$E$8:$E$10000)-7,""),ROWS($B$19:B201))),"")</f>
        <v/>
      </c>
      <c r="C201" t="str">
        <f>IFERROR(VLOOKUP(B201,'Schwab Positions'!$A$8:$B$10000,2,FALSE),"")</f>
        <v/>
      </c>
      <c r="D201" s="34" t="str">
        <f>IFERROR(VLOOKUP(B201,'Security Type'!$A$2:$C$1000,3,FALSE),"")</f>
        <v/>
      </c>
      <c r="E201" s="34" t="str">
        <f>IF(B201="","",IF(ISNUMBER(MATCH(B201,'2022 Port'!$D$6:$D$67,0)),VLOOKUP(B201,'Security Type'!$A$3:$D$1000,4,FALSE),"NOT IN PORT"))</f>
        <v/>
      </c>
      <c r="F201" t="str" cm="1">
        <f t="array" ref="F201">IFERROR(INDEX('Schwab Positions'!$D$8:$D$10000,SMALL(IF('Schwab Positions'!$E$8:$E$10000=$C$2,ROW('Schwab Positions'!$E$8:$E$10000)-7,""),ROWS($F$19:$F201))),"")</f>
        <v/>
      </c>
      <c r="G201" s="1" t="str" cm="1">
        <f t="array" ref="G201">IFERROR(INDEX('Schwab Positions'!$I$8:$I$10000,SMALL(IF('Schwab Positions'!$E$8:$E$10000=$C$2,ROW('Schwab Positions'!$E$8:$E$10000)-7,""),ROWS($G$19:$G201))),"")</f>
        <v/>
      </c>
      <c r="H201" s="100" t="str">
        <f t="shared" si="12"/>
        <v/>
      </c>
      <c r="I201" s="37" t="str" cm="1">
        <f t="array" ref="I201">IFERROR(IF($D201="Bond",IFERROR(INDEX('Schwab Positions'!$J$8:$J$10000,SMALL(IF('Schwab Positions'!$E$8:$E$10000=$C$2,ROW('Schwab Positions'!$E$8:$E$10000)-7,""),ROWS($I$19:$I201))),""),$F201*$G201),"")</f>
        <v/>
      </c>
    </row>
    <row r="202" spans="2:9">
      <c r="B202" t="str" cm="1">
        <f t="array" ref="B202">IFERROR(INDEX('Schwab Positions'!$A$8:$A$10000,SMALL(IF('Schwab Positions'!$E$8:$E$10000=$C$2,ROW('Schwab Positions'!$E$8:$E$10000)-7,""),ROWS($B$19:B202))),"")</f>
        <v/>
      </c>
      <c r="C202" t="str">
        <f>IFERROR(VLOOKUP(B202,'Schwab Positions'!$A$8:$B$10000,2,FALSE),"")</f>
        <v/>
      </c>
      <c r="D202" s="34" t="str">
        <f>IFERROR(VLOOKUP(B202,'Security Type'!$A$2:$C$1000,3,FALSE),"")</f>
        <v/>
      </c>
      <c r="E202" s="34" t="str">
        <f>IF(B202="","",IF(ISNUMBER(MATCH(B202,'2022 Port'!$D$6:$D$67,0)),VLOOKUP(B202,'Security Type'!$A$3:$D$1000,4,FALSE),"NOT IN PORT"))</f>
        <v/>
      </c>
      <c r="F202" t="str" cm="1">
        <f t="array" ref="F202">IFERROR(INDEX('Schwab Positions'!$D$8:$D$10000,SMALL(IF('Schwab Positions'!$E$8:$E$10000=$C$2,ROW('Schwab Positions'!$E$8:$E$10000)-7,""),ROWS($F$19:$F202))),"")</f>
        <v/>
      </c>
      <c r="G202" s="1" t="str" cm="1">
        <f t="array" ref="G202">IFERROR(INDEX('Schwab Positions'!$I$8:$I$10000,SMALL(IF('Schwab Positions'!$E$8:$E$10000=$C$2,ROW('Schwab Positions'!$E$8:$E$10000)-7,""),ROWS($G$19:$G202))),"")</f>
        <v/>
      </c>
      <c r="H202" s="100" t="str">
        <f t="shared" si="12"/>
        <v/>
      </c>
      <c r="I202" s="37" t="str" cm="1">
        <f t="array" ref="I202">IFERROR(IF($D202="Bond",IFERROR(INDEX('Schwab Positions'!$J$8:$J$10000,SMALL(IF('Schwab Positions'!$E$8:$E$10000=$C$2,ROW('Schwab Positions'!$E$8:$E$10000)-7,""),ROWS($I$19:$I202))),""),$F202*$G202),"")</f>
        <v/>
      </c>
    </row>
    <row r="203" spans="2:9">
      <c r="B203" t="str" cm="1">
        <f t="array" ref="B203">IFERROR(INDEX('Schwab Positions'!$A$8:$A$10000,SMALL(IF('Schwab Positions'!$E$8:$E$10000=$C$2,ROW('Schwab Positions'!$E$8:$E$10000)-7,""),ROWS($B$19:B203))),"")</f>
        <v/>
      </c>
      <c r="C203" t="str">
        <f>IFERROR(VLOOKUP(B203,'Schwab Positions'!$A$8:$B$10000,2,FALSE),"")</f>
        <v/>
      </c>
      <c r="D203" s="34" t="str">
        <f>IFERROR(VLOOKUP(B203,'Security Type'!$A$2:$C$1000,3,FALSE),"")</f>
        <v/>
      </c>
      <c r="E203" s="34" t="str">
        <f>IF(B203="","",IF(ISNUMBER(MATCH(B203,'2022 Port'!$D$6:$D$67,0)),VLOOKUP(B203,'Security Type'!$A$3:$D$1000,4,FALSE),"NOT IN PORT"))</f>
        <v/>
      </c>
      <c r="F203" t="str" cm="1">
        <f t="array" ref="F203">IFERROR(INDEX('Schwab Positions'!$D$8:$D$10000,SMALL(IF('Schwab Positions'!$E$8:$E$10000=$C$2,ROW('Schwab Positions'!$E$8:$E$10000)-7,""),ROWS($F$19:$F203))),"")</f>
        <v/>
      </c>
      <c r="G203" s="1" t="str" cm="1">
        <f t="array" ref="G203">IFERROR(INDEX('Schwab Positions'!$I$8:$I$10000,SMALL(IF('Schwab Positions'!$E$8:$E$10000=$C$2,ROW('Schwab Positions'!$E$8:$E$10000)-7,""),ROWS($G$19:$G203))),"")</f>
        <v/>
      </c>
      <c r="H203" s="100" t="str">
        <f t="shared" si="12"/>
        <v/>
      </c>
      <c r="I203" s="37" t="str" cm="1">
        <f t="array" ref="I203">IFERROR(IF($D203="Bond",IFERROR(INDEX('Schwab Positions'!$J$8:$J$10000,SMALL(IF('Schwab Positions'!$E$8:$E$10000=$C$2,ROW('Schwab Positions'!$E$8:$E$10000)-7,""),ROWS($I$19:$I203))),""),$F203*$G203),"")</f>
        <v/>
      </c>
    </row>
    <row r="204" spans="2:9">
      <c r="B204" t="str" cm="1">
        <f t="array" ref="B204">IFERROR(INDEX('Schwab Positions'!$A$8:$A$10000,SMALL(IF('Schwab Positions'!$E$8:$E$10000=$C$2,ROW('Schwab Positions'!$E$8:$E$10000)-7,""),ROWS($B$19:B204))),"")</f>
        <v/>
      </c>
      <c r="C204" t="str">
        <f>IFERROR(VLOOKUP(B204,'Schwab Positions'!$A$8:$B$10000,2,FALSE),"")</f>
        <v/>
      </c>
      <c r="D204" s="34" t="str">
        <f>IFERROR(VLOOKUP(B204,'Security Type'!$A$2:$C$1000,3,FALSE),"")</f>
        <v/>
      </c>
      <c r="E204" s="34" t="str">
        <f>IF(B204="","",IF(ISNUMBER(MATCH(B204,'2022 Port'!$D$6:$D$67,0)),VLOOKUP(B204,'Security Type'!$A$3:$D$1000,4,FALSE),"NOT IN PORT"))</f>
        <v/>
      </c>
      <c r="F204" t="str" cm="1">
        <f t="array" ref="F204">IFERROR(INDEX('Schwab Positions'!$D$8:$D$10000,SMALL(IF('Schwab Positions'!$E$8:$E$10000=$C$2,ROW('Schwab Positions'!$E$8:$E$10000)-7,""),ROWS($F$19:$F204))),"")</f>
        <v/>
      </c>
      <c r="G204" s="1" t="str" cm="1">
        <f t="array" ref="G204">IFERROR(INDEX('Schwab Positions'!$I$8:$I$10000,SMALL(IF('Schwab Positions'!$E$8:$E$10000=$C$2,ROW('Schwab Positions'!$E$8:$E$10000)-7,""),ROWS($G$19:$G204))),"")</f>
        <v/>
      </c>
      <c r="H204" s="100" t="str">
        <f t="shared" si="12"/>
        <v/>
      </c>
      <c r="I204" s="37" t="str" cm="1">
        <f t="array" ref="I204">IFERROR(IF($D204="Bond",IFERROR(INDEX('Schwab Positions'!$J$8:$J$10000,SMALL(IF('Schwab Positions'!$E$8:$E$10000=$C$2,ROW('Schwab Positions'!$E$8:$E$10000)-7,""),ROWS($I$19:$I204))),""),$F204*$G204),"")</f>
        <v/>
      </c>
    </row>
    <row r="205" spans="2:9">
      <c r="B205" t="str" cm="1">
        <f t="array" ref="B205">IFERROR(INDEX('Schwab Positions'!$A$8:$A$10000,SMALL(IF('Schwab Positions'!$E$8:$E$10000=$C$2,ROW('Schwab Positions'!$E$8:$E$10000)-7,""),ROWS($B$19:B205))),"")</f>
        <v/>
      </c>
      <c r="C205" t="str">
        <f>IFERROR(VLOOKUP(B205,'Schwab Positions'!$A$8:$B$10000,2,FALSE),"")</f>
        <v/>
      </c>
      <c r="D205" s="34" t="str">
        <f>IFERROR(VLOOKUP(B205,'Security Type'!$A$2:$C$1000,3,FALSE),"")</f>
        <v/>
      </c>
      <c r="E205" s="34" t="str">
        <f>IF(B205="","",IF(ISNUMBER(MATCH(B205,'2022 Port'!$D$6:$D$67,0)),VLOOKUP(B205,'Security Type'!$A$3:$D$1000,4,FALSE),"NOT IN PORT"))</f>
        <v/>
      </c>
      <c r="F205" t="str" cm="1">
        <f t="array" ref="F205">IFERROR(INDEX('Schwab Positions'!$D$8:$D$10000,SMALL(IF('Schwab Positions'!$E$8:$E$10000=$C$2,ROW('Schwab Positions'!$E$8:$E$10000)-7,""),ROWS($F$19:$F205))),"")</f>
        <v/>
      </c>
      <c r="G205" s="1" t="str" cm="1">
        <f t="array" ref="G205">IFERROR(INDEX('Schwab Positions'!$I$8:$I$10000,SMALL(IF('Schwab Positions'!$E$8:$E$10000=$C$2,ROW('Schwab Positions'!$E$8:$E$10000)-7,""),ROWS($G$19:$G205))),"")</f>
        <v/>
      </c>
      <c r="H205" s="100" t="str">
        <f t="shared" si="12"/>
        <v/>
      </c>
      <c r="I205" s="37" t="str" cm="1">
        <f t="array" ref="I205">IFERROR(IF($D205="Bond",IFERROR(INDEX('Schwab Positions'!$J$8:$J$10000,SMALL(IF('Schwab Positions'!$E$8:$E$10000=$C$2,ROW('Schwab Positions'!$E$8:$E$10000)-7,""),ROWS($I$19:$I205))),""),$F205*$G205),"")</f>
        <v/>
      </c>
    </row>
    <row r="206" spans="2:9">
      <c r="B206" t="str" cm="1">
        <f t="array" ref="B206">IFERROR(INDEX('Schwab Positions'!$A$8:$A$10000,SMALL(IF('Schwab Positions'!$E$8:$E$10000=$C$2,ROW('Schwab Positions'!$E$8:$E$10000)-7,""),ROWS($B$19:B206))),"")</f>
        <v/>
      </c>
      <c r="C206" t="str">
        <f>IFERROR(VLOOKUP(B206,'Schwab Positions'!$A$8:$B$10000,2,FALSE),"")</f>
        <v/>
      </c>
      <c r="D206" s="34" t="str">
        <f>IFERROR(VLOOKUP(B206,'Security Type'!$A$2:$C$1000,3,FALSE),"")</f>
        <v/>
      </c>
      <c r="E206" s="34" t="str">
        <f>IF(B206="","",IF(ISNUMBER(MATCH(B206,'2022 Port'!$D$6:$D$67,0)),VLOOKUP(B206,'Security Type'!$A$3:$D$1000,4,FALSE),"NOT IN PORT"))</f>
        <v/>
      </c>
      <c r="F206" t="str" cm="1">
        <f t="array" ref="F206">IFERROR(INDEX('Schwab Positions'!$D$8:$D$10000,SMALL(IF('Schwab Positions'!$E$8:$E$10000=$C$2,ROW('Schwab Positions'!$E$8:$E$10000)-7,""),ROWS($F$19:$F206))),"")</f>
        <v/>
      </c>
      <c r="G206" s="1" t="str" cm="1">
        <f t="array" ref="G206">IFERROR(INDEX('Schwab Positions'!$I$8:$I$10000,SMALL(IF('Schwab Positions'!$E$8:$E$10000=$C$2,ROW('Schwab Positions'!$E$8:$E$10000)-7,""),ROWS($G$19:$G206))),"")</f>
        <v/>
      </c>
      <c r="H206" s="100" t="str">
        <f t="shared" si="12"/>
        <v/>
      </c>
      <c r="I206" s="37" t="str" cm="1">
        <f t="array" ref="I206">IFERROR(IF($D206="Bond",IFERROR(INDEX('Schwab Positions'!$J$8:$J$10000,SMALL(IF('Schwab Positions'!$E$8:$E$10000=$C$2,ROW('Schwab Positions'!$E$8:$E$10000)-7,""),ROWS($I$19:$I206))),""),$F206*$G206),"")</f>
        <v/>
      </c>
    </row>
    <row r="207" spans="2:9">
      <c r="B207" t="str" cm="1">
        <f t="array" ref="B207">IFERROR(INDEX('Schwab Positions'!$A$8:$A$10000,SMALL(IF('Schwab Positions'!$E$8:$E$10000=$C$2,ROW('Schwab Positions'!$E$8:$E$10000)-7,""),ROWS($B$19:B207))),"")</f>
        <v/>
      </c>
      <c r="C207" t="str">
        <f>IFERROR(VLOOKUP(B207,'Schwab Positions'!$A$8:$B$10000,2,FALSE),"")</f>
        <v/>
      </c>
      <c r="D207" s="34" t="str">
        <f>IFERROR(VLOOKUP(B207,'Security Type'!$A$2:$C$1000,3,FALSE),"")</f>
        <v/>
      </c>
      <c r="E207" s="34" t="str">
        <f>IF(B207="","",IF(ISNUMBER(MATCH(B207,'2022 Port'!$D$6:$D$67,0)),VLOOKUP(B207,'Security Type'!$A$3:$D$1000,4,FALSE),"NOT IN PORT"))</f>
        <v/>
      </c>
      <c r="F207" t="str" cm="1">
        <f t="array" ref="F207">IFERROR(INDEX('Schwab Positions'!$D$8:$D$10000,SMALL(IF('Schwab Positions'!$E$8:$E$10000=$C$2,ROW('Schwab Positions'!$E$8:$E$10000)-7,""),ROWS($F$19:$F207))),"")</f>
        <v/>
      </c>
      <c r="G207" s="1" t="str" cm="1">
        <f t="array" ref="G207">IFERROR(INDEX('Schwab Positions'!$I$8:$I$10000,SMALL(IF('Schwab Positions'!$E$8:$E$10000=$C$2,ROW('Schwab Positions'!$E$8:$E$10000)-7,""),ROWS($G$19:$G207))),"")</f>
        <v/>
      </c>
      <c r="H207" s="100" t="str">
        <f t="shared" si="12"/>
        <v/>
      </c>
      <c r="I207" s="37" t="str" cm="1">
        <f t="array" ref="I207">IFERROR(IF($D207="Bond",IFERROR(INDEX('Schwab Positions'!$J$8:$J$10000,SMALL(IF('Schwab Positions'!$E$8:$E$10000=$C$2,ROW('Schwab Positions'!$E$8:$E$10000)-7,""),ROWS($I$19:$I207))),""),$F207*$G207),"")</f>
        <v/>
      </c>
    </row>
    <row r="208" spans="2:9">
      <c r="B208" t="str" cm="1">
        <f t="array" ref="B208">IFERROR(INDEX('Schwab Positions'!$A$8:$A$10000,SMALL(IF('Schwab Positions'!$E$8:$E$10000=$C$2,ROW('Schwab Positions'!$E$8:$E$10000)-7,""),ROWS($B$19:B208))),"")</f>
        <v/>
      </c>
      <c r="C208" t="str">
        <f>IFERROR(VLOOKUP(B208,'Schwab Positions'!$A$8:$B$10000,2,FALSE),"")</f>
        <v/>
      </c>
      <c r="D208" s="34" t="str">
        <f>IFERROR(VLOOKUP(B208,'Security Type'!$A$2:$C$1000,3,FALSE),"")</f>
        <v/>
      </c>
      <c r="E208" s="34" t="str">
        <f>IF(B208="","",IF(ISNUMBER(MATCH(B208,'2022 Port'!$D$6:$D$67,0)),VLOOKUP(B208,'Security Type'!$A$3:$D$1000,4,FALSE),"NOT IN PORT"))</f>
        <v/>
      </c>
      <c r="F208" t="str" cm="1">
        <f t="array" ref="F208">IFERROR(INDEX('Schwab Positions'!$D$8:$D$10000,SMALL(IF('Schwab Positions'!$E$8:$E$10000=$C$2,ROW('Schwab Positions'!$E$8:$E$10000)-7,""),ROWS($F$19:$F208))),"")</f>
        <v/>
      </c>
      <c r="G208" s="1" t="str" cm="1">
        <f t="array" ref="G208">IFERROR(INDEX('Schwab Positions'!$I$8:$I$10000,SMALL(IF('Schwab Positions'!$E$8:$E$10000=$C$2,ROW('Schwab Positions'!$E$8:$E$10000)-7,""),ROWS($G$19:$G208))),"")</f>
        <v/>
      </c>
      <c r="H208" s="100" t="str">
        <f t="shared" si="12"/>
        <v/>
      </c>
      <c r="I208" s="37" t="str" cm="1">
        <f t="array" ref="I208">IFERROR(IF($D208="Bond",IFERROR(INDEX('Schwab Positions'!$J$8:$J$10000,SMALL(IF('Schwab Positions'!$E$8:$E$10000=$C$2,ROW('Schwab Positions'!$E$8:$E$10000)-7,""),ROWS($I$19:$I208))),""),$F208*$G208),"")</f>
        <v/>
      </c>
    </row>
    <row r="209" spans="2:9">
      <c r="B209" t="str" cm="1">
        <f t="array" ref="B209">IFERROR(INDEX('Schwab Positions'!$A$8:$A$10000,SMALL(IF('Schwab Positions'!$E$8:$E$10000=$C$2,ROW('Schwab Positions'!$E$8:$E$10000)-7,""),ROWS($B$19:B209))),"")</f>
        <v/>
      </c>
      <c r="C209" t="str">
        <f>IFERROR(VLOOKUP(B209,'Schwab Positions'!$A$8:$B$10000,2,FALSE),"")</f>
        <v/>
      </c>
      <c r="D209" s="34" t="str">
        <f>IFERROR(VLOOKUP(B209,'Security Type'!$A$2:$C$1000,3,FALSE),"")</f>
        <v/>
      </c>
      <c r="E209" s="34" t="str">
        <f>IF(B209="","",IF(ISNUMBER(MATCH(B209,'2022 Port'!$D$6:$D$67,0)),VLOOKUP(B209,'Security Type'!$A$3:$D$1000,4,FALSE),"NOT IN PORT"))</f>
        <v/>
      </c>
      <c r="F209" t="str" cm="1">
        <f t="array" ref="F209">IFERROR(INDEX('Schwab Positions'!$D$8:$D$10000,SMALL(IF('Schwab Positions'!$E$8:$E$10000=$C$2,ROW('Schwab Positions'!$E$8:$E$10000)-7,""),ROWS($F$19:$F209))),"")</f>
        <v/>
      </c>
      <c r="G209" s="1" t="str" cm="1">
        <f t="array" ref="G209">IFERROR(INDEX('Schwab Positions'!$I$8:$I$10000,SMALL(IF('Schwab Positions'!$E$8:$E$10000=$C$2,ROW('Schwab Positions'!$E$8:$E$10000)-7,""),ROWS($G$19:$G209))),"")</f>
        <v/>
      </c>
      <c r="H209" s="100" t="str">
        <f t="shared" si="12"/>
        <v/>
      </c>
      <c r="I209" s="37" t="str" cm="1">
        <f t="array" ref="I209">IFERROR(IF($D209="Bond",IFERROR(INDEX('Schwab Positions'!$J$8:$J$10000,SMALL(IF('Schwab Positions'!$E$8:$E$10000=$C$2,ROW('Schwab Positions'!$E$8:$E$10000)-7,""),ROWS($I$19:$I209))),""),$F209*$G209),"")</f>
        <v/>
      </c>
    </row>
    <row r="210" spans="2:9">
      <c r="B210" t="str" cm="1">
        <f t="array" ref="B210">IFERROR(INDEX('Schwab Positions'!$A$8:$A$10000,SMALL(IF('Schwab Positions'!$E$8:$E$10000=$C$2,ROW('Schwab Positions'!$E$8:$E$10000)-7,""),ROWS($B$19:B210))),"")</f>
        <v/>
      </c>
      <c r="C210" t="str">
        <f>IFERROR(VLOOKUP(B210,'Schwab Positions'!$A$8:$B$10000,2,FALSE),"")</f>
        <v/>
      </c>
      <c r="D210" s="34" t="str">
        <f>IFERROR(VLOOKUP(B210,'Security Type'!$A$2:$C$1000,3,FALSE),"")</f>
        <v/>
      </c>
      <c r="E210" s="34" t="str">
        <f>IF(B210="","",IF(ISNUMBER(MATCH(B210,'2022 Port'!$D$6:$D$67,0)),VLOOKUP(B210,'Security Type'!$A$3:$D$1000,4,FALSE),"NOT IN PORT"))</f>
        <v/>
      </c>
      <c r="F210" t="str" cm="1">
        <f t="array" ref="F210">IFERROR(INDEX('Schwab Positions'!$D$8:$D$10000,SMALL(IF('Schwab Positions'!$E$8:$E$10000=$C$2,ROW('Schwab Positions'!$E$8:$E$10000)-7,""),ROWS($F$19:$F210))),"")</f>
        <v/>
      </c>
      <c r="G210" s="1" t="str" cm="1">
        <f t="array" ref="G210">IFERROR(INDEX('Schwab Positions'!$I$8:$I$10000,SMALL(IF('Schwab Positions'!$E$8:$E$10000=$C$2,ROW('Schwab Positions'!$E$8:$E$10000)-7,""),ROWS($G$19:$G210))),"")</f>
        <v/>
      </c>
      <c r="H210" s="100" t="str">
        <f t="shared" si="12"/>
        <v/>
      </c>
      <c r="I210" s="37" t="str" cm="1">
        <f t="array" ref="I210">IFERROR(IF($D210="Bond",IFERROR(INDEX('Schwab Positions'!$J$8:$J$10000,SMALL(IF('Schwab Positions'!$E$8:$E$10000=$C$2,ROW('Schwab Positions'!$E$8:$E$10000)-7,""),ROWS($I$19:$I210))),""),$F210*$G210),"")</f>
        <v/>
      </c>
    </row>
    <row r="211" spans="2:9">
      <c r="B211" t="str" cm="1">
        <f t="array" ref="B211">IFERROR(INDEX('Schwab Positions'!$A$8:$A$10000,SMALL(IF('Schwab Positions'!$E$8:$E$10000=$C$2,ROW('Schwab Positions'!$E$8:$E$10000)-7,""),ROWS($B$19:B211))),"")</f>
        <v/>
      </c>
      <c r="C211" t="str">
        <f>IFERROR(VLOOKUP(B211,'Schwab Positions'!$A$8:$B$10000,2,FALSE),"")</f>
        <v/>
      </c>
      <c r="D211" s="34" t="str">
        <f>IFERROR(VLOOKUP(B211,'Security Type'!$A$2:$C$1000,3,FALSE),"")</f>
        <v/>
      </c>
      <c r="E211" s="34" t="str">
        <f>IF(B211="","",IF(ISNUMBER(MATCH(B211,'2022 Port'!$D$6:$D$67,0)),VLOOKUP(B211,'Security Type'!$A$3:$D$1000,4,FALSE),"NOT IN PORT"))</f>
        <v/>
      </c>
      <c r="F211" t="str" cm="1">
        <f t="array" ref="F211">IFERROR(INDEX('Schwab Positions'!$D$8:$D$10000,SMALL(IF('Schwab Positions'!$E$8:$E$10000=$C$2,ROW('Schwab Positions'!$E$8:$E$10000)-7,""),ROWS($F$19:$F211))),"")</f>
        <v/>
      </c>
      <c r="G211" s="1" t="str" cm="1">
        <f t="array" ref="G211">IFERROR(INDEX('Schwab Positions'!$I$8:$I$10000,SMALL(IF('Schwab Positions'!$E$8:$E$10000=$C$2,ROW('Schwab Positions'!$E$8:$E$10000)-7,""),ROWS($G$19:$G211))),"")</f>
        <v/>
      </c>
      <c r="H211" s="100" t="str">
        <f t="shared" si="12"/>
        <v/>
      </c>
      <c r="I211" s="37" t="str" cm="1">
        <f t="array" ref="I211">IFERROR(IF($D211="Bond",IFERROR(INDEX('Schwab Positions'!$J$8:$J$10000,SMALL(IF('Schwab Positions'!$E$8:$E$10000=$C$2,ROW('Schwab Positions'!$E$8:$E$10000)-7,""),ROWS($I$19:$I211))),""),$F211*$G211),"")</f>
        <v/>
      </c>
    </row>
    <row r="212" spans="2:9">
      <c r="B212" t="str" cm="1">
        <f t="array" ref="B212">IFERROR(INDEX('Schwab Positions'!$A$8:$A$10000,SMALL(IF('Schwab Positions'!$E$8:$E$10000=$C$2,ROW('Schwab Positions'!$E$8:$E$10000)-7,""),ROWS($B$19:B212))),"")</f>
        <v/>
      </c>
      <c r="C212" t="str">
        <f>IFERROR(VLOOKUP(B212,'Schwab Positions'!$A$8:$B$10000,2,FALSE),"")</f>
        <v/>
      </c>
      <c r="D212" s="34" t="str">
        <f>IFERROR(VLOOKUP(B212,'Security Type'!$A$2:$C$1000,3,FALSE),"")</f>
        <v/>
      </c>
      <c r="E212" s="34" t="str">
        <f>IF(B212="","",IF(ISNUMBER(MATCH(B212,'2022 Port'!$D$6:$D$67,0)),VLOOKUP(B212,'Security Type'!$A$3:$D$1000,4,FALSE),"NOT IN PORT"))</f>
        <v/>
      </c>
      <c r="F212" t="str" cm="1">
        <f t="array" ref="F212">IFERROR(INDEX('Schwab Positions'!$D$8:$D$10000,SMALL(IF('Schwab Positions'!$E$8:$E$10000=$C$2,ROW('Schwab Positions'!$E$8:$E$10000)-7,""),ROWS($F$19:$F212))),"")</f>
        <v/>
      </c>
      <c r="G212" s="1" t="str" cm="1">
        <f t="array" ref="G212">IFERROR(INDEX('Schwab Positions'!$I$8:$I$10000,SMALL(IF('Schwab Positions'!$E$8:$E$10000=$C$2,ROW('Schwab Positions'!$E$8:$E$10000)-7,""),ROWS($G$19:$G212))),"")</f>
        <v/>
      </c>
      <c r="H212" s="100" t="str">
        <f t="shared" ref="H212:H275" si="13">IFERROR(I212/$C$15,"")</f>
        <v/>
      </c>
      <c r="I212" s="37" t="str" cm="1">
        <f t="array" ref="I212">IFERROR(IF($D212="Bond",IFERROR(INDEX('Schwab Positions'!$J$8:$J$10000,SMALL(IF('Schwab Positions'!$E$8:$E$10000=$C$2,ROW('Schwab Positions'!$E$8:$E$10000)-7,""),ROWS($I$19:$I212))),""),$F212*$G212),"")</f>
        <v/>
      </c>
    </row>
    <row r="213" spans="2:9">
      <c r="B213" t="str" cm="1">
        <f t="array" ref="B213">IFERROR(INDEX('Schwab Positions'!$A$8:$A$10000,SMALL(IF('Schwab Positions'!$E$8:$E$10000=$C$2,ROW('Schwab Positions'!$E$8:$E$10000)-7,""),ROWS($B$19:B213))),"")</f>
        <v/>
      </c>
      <c r="C213" t="str">
        <f>IFERROR(VLOOKUP(B213,'Schwab Positions'!$A$8:$B$10000,2,FALSE),"")</f>
        <v/>
      </c>
      <c r="D213" s="34" t="str">
        <f>IFERROR(VLOOKUP(B213,'Security Type'!$A$2:$C$1000,3,FALSE),"")</f>
        <v/>
      </c>
      <c r="E213" s="34" t="str">
        <f>IF(B213="","",IF(ISNUMBER(MATCH(B213,'2022 Port'!$D$6:$D$67,0)),VLOOKUP(B213,'Security Type'!$A$3:$D$1000,4,FALSE),"NOT IN PORT"))</f>
        <v/>
      </c>
      <c r="F213" t="str" cm="1">
        <f t="array" ref="F213">IFERROR(INDEX('Schwab Positions'!$D$8:$D$10000,SMALL(IF('Schwab Positions'!$E$8:$E$10000=$C$2,ROW('Schwab Positions'!$E$8:$E$10000)-7,""),ROWS($F$19:$F213))),"")</f>
        <v/>
      </c>
      <c r="G213" s="1" t="str" cm="1">
        <f t="array" ref="G213">IFERROR(INDEX('Schwab Positions'!$I$8:$I$10000,SMALL(IF('Schwab Positions'!$E$8:$E$10000=$C$2,ROW('Schwab Positions'!$E$8:$E$10000)-7,""),ROWS($G$19:$G213))),"")</f>
        <v/>
      </c>
      <c r="H213" s="100" t="str">
        <f t="shared" si="13"/>
        <v/>
      </c>
      <c r="I213" s="37" t="str" cm="1">
        <f t="array" ref="I213">IFERROR(IF($D213="Bond",IFERROR(INDEX('Schwab Positions'!$J$8:$J$10000,SMALL(IF('Schwab Positions'!$E$8:$E$10000=$C$2,ROW('Schwab Positions'!$E$8:$E$10000)-7,""),ROWS($I$19:$I213))),""),$F213*$G213),"")</f>
        <v/>
      </c>
    </row>
    <row r="214" spans="2:9">
      <c r="B214" t="str" cm="1">
        <f t="array" ref="B214">IFERROR(INDEX('Schwab Positions'!$A$8:$A$10000,SMALL(IF('Schwab Positions'!$E$8:$E$10000=$C$2,ROW('Schwab Positions'!$E$8:$E$10000)-7,""),ROWS($B$19:B214))),"")</f>
        <v/>
      </c>
      <c r="C214" t="str">
        <f>IFERROR(VLOOKUP(B214,'Schwab Positions'!$A$8:$B$10000,2,FALSE),"")</f>
        <v/>
      </c>
      <c r="D214" s="34" t="str">
        <f>IFERROR(VLOOKUP(B214,'Security Type'!$A$2:$C$1000,3,FALSE),"")</f>
        <v/>
      </c>
      <c r="E214" s="34" t="str">
        <f>IF(B214="","",IF(ISNUMBER(MATCH(B214,'2022 Port'!$D$6:$D$67,0)),VLOOKUP(B214,'Security Type'!$A$3:$D$1000,4,FALSE),"NOT IN PORT"))</f>
        <v/>
      </c>
      <c r="F214" t="str" cm="1">
        <f t="array" ref="F214">IFERROR(INDEX('Schwab Positions'!$D$8:$D$10000,SMALL(IF('Schwab Positions'!$E$8:$E$10000=$C$2,ROW('Schwab Positions'!$E$8:$E$10000)-7,""),ROWS($F$19:$F214))),"")</f>
        <v/>
      </c>
      <c r="G214" s="1" t="str" cm="1">
        <f t="array" ref="G214">IFERROR(INDEX('Schwab Positions'!$I$8:$I$10000,SMALL(IF('Schwab Positions'!$E$8:$E$10000=$C$2,ROW('Schwab Positions'!$E$8:$E$10000)-7,""),ROWS($G$19:$G214))),"")</f>
        <v/>
      </c>
      <c r="H214" s="100" t="str">
        <f t="shared" si="13"/>
        <v/>
      </c>
      <c r="I214" s="37" t="str" cm="1">
        <f t="array" ref="I214">IFERROR(IF($D214="Bond",IFERROR(INDEX('Schwab Positions'!$J$8:$J$10000,SMALL(IF('Schwab Positions'!$E$8:$E$10000=$C$2,ROW('Schwab Positions'!$E$8:$E$10000)-7,""),ROWS($I$19:$I214))),""),$F214*$G214),"")</f>
        <v/>
      </c>
    </row>
    <row r="215" spans="2:9">
      <c r="B215" t="str" cm="1">
        <f t="array" ref="B215">IFERROR(INDEX('Schwab Positions'!$A$8:$A$10000,SMALL(IF('Schwab Positions'!$E$8:$E$10000=$C$2,ROW('Schwab Positions'!$E$8:$E$10000)-7,""),ROWS($B$19:B215))),"")</f>
        <v/>
      </c>
      <c r="C215" t="str">
        <f>IFERROR(VLOOKUP(B215,'Schwab Positions'!$A$8:$B$10000,2,FALSE),"")</f>
        <v/>
      </c>
      <c r="D215" s="34" t="str">
        <f>IFERROR(VLOOKUP(B215,'Security Type'!$A$2:$C$1000,3,FALSE),"")</f>
        <v/>
      </c>
      <c r="E215" s="34" t="str">
        <f>IF(B215="","",IF(ISNUMBER(MATCH(B215,'2022 Port'!$D$6:$D$67,0)),VLOOKUP(B215,'Security Type'!$A$3:$D$1000,4,FALSE),"NOT IN PORT"))</f>
        <v/>
      </c>
      <c r="F215" t="str" cm="1">
        <f t="array" ref="F215">IFERROR(INDEX('Schwab Positions'!$D$8:$D$10000,SMALL(IF('Schwab Positions'!$E$8:$E$10000=$C$2,ROW('Schwab Positions'!$E$8:$E$10000)-7,""),ROWS($F$19:$F215))),"")</f>
        <v/>
      </c>
      <c r="G215" s="1" t="str" cm="1">
        <f t="array" ref="G215">IFERROR(INDEX('Schwab Positions'!$I$8:$I$10000,SMALL(IF('Schwab Positions'!$E$8:$E$10000=$C$2,ROW('Schwab Positions'!$E$8:$E$10000)-7,""),ROWS($G$19:$G215))),"")</f>
        <v/>
      </c>
      <c r="H215" s="100" t="str">
        <f t="shared" si="13"/>
        <v/>
      </c>
      <c r="I215" s="37" t="str" cm="1">
        <f t="array" ref="I215">IFERROR(IF($D215="Bond",IFERROR(INDEX('Schwab Positions'!$J$8:$J$10000,SMALL(IF('Schwab Positions'!$E$8:$E$10000=$C$2,ROW('Schwab Positions'!$E$8:$E$10000)-7,""),ROWS($I$19:$I215))),""),$F215*$G215),"")</f>
        <v/>
      </c>
    </row>
    <row r="216" spans="2:9">
      <c r="B216" t="str" cm="1">
        <f t="array" ref="B216">IFERROR(INDEX('Schwab Positions'!$A$8:$A$10000,SMALL(IF('Schwab Positions'!$E$8:$E$10000=$C$2,ROW('Schwab Positions'!$E$8:$E$10000)-7,""),ROWS($B$19:B216))),"")</f>
        <v/>
      </c>
      <c r="C216" t="str">
        <f>IFERROR(VLOOKUP(B216,'Schwab Positions'!$A$8:$B$10000,2,FALSE),"")</f>
        <v/>
      </c>
      <c r="D216" s="34" t="str">
        <f>IFERROR(VLOOKUP(B216,'Security Type'!$A$2:$C$1000,3,FALSE),"")</f>
        <v/>
      </c>
      <c r="E216" s="34" t="str">
        <f>IF(B216="","",IF(ISNUMBER(MATCH(B216,'2022 Port'!$D$6:$D$67,0)),VLOOKUP(B216,'Security Type'!$A$3:$D$1000,4,FALSE),"NOT IN PORT"))</f>
        <v/>
      </c>
      <c r="F216" t="str" cm="1">
        <f t="array" ref="F216">IFERROR(INDEX('Schwab Positions'!$D$8:$D$10000,SMALL(IF('Schwab Positions'!$E$8:$E$10000=$C$2,ROW('Schwab Positions'!$E$8:$E$10000)-7,""),ROWS($F$19:$F216))),"")</f>
        <v/>
      </c>
      <c r="G216" s="1" t="str" cm="1">
        <f t="array" ref="G216">IFERROR(INDEX('Schwab Positions'!$I$8:$I$10000,SMALL(IF('Schwab Positions'!$E$8:$E$10000=$C$2,ROW('Schwab Positions'!$E$8:$E$10000)-7,""),ROWS($G$19:$G216))),"")</f>
        <v/>
      </c>
      <c r="H216" s="100" t="str">
        <f t="shared" si="13"/>
        <v/>
      </c>
      <c r="I216" s="37" t="str" cm="1">
        <f t="array" ref="I216">IFERROR(IF($D216="Bond",IFERROR(INDEX('Schwab Positions'!$J$8:$J$10000,SMALL(IF('Schwab Positions'!$E$8:$E$10000=$C$2,ROW('Schwab Positions'!$E$8:$E$10000)-7,""),ROWS($I$19:$I216))),""),$F216*$G216),"")</f>
        <v/>
      </c>
    </row>
    <row r="217" spans="2:9">
      <c r="B217" t="str" cm="1">
        <f t="array" ref="B217">IFERROR(INDEX('Schwab Positions'!$A$8:$A$10000,SMALL(IF('Schwab Positions'!$E$8:$E$10000=$C$2,ROW('Schwab Positions'!$E$8:$E$10000)-7,""),ROWS($B$19:B217))),"")</f>
        <v/>
      </c>
      <c r="C217" t="str">
        <f>IFERROR(VLOOKUP(B217,'Schwab Positions'!$A$8:$B$10000,2,FALSE),"")</f>
        <v/>
      </c>
      <c r="D217" s="34" t="str">
        <f>IFERROR(VLOOKUP(B217,'Security Type'!$A$2:$C$1000,3,FALSE),"")</f>
        <v/>
      </c>
      <c r="E217" s="34" t="str">
        <f>IF(B217="","",IF(ISNUMBER(MATCH(B217,'2022 Port'!$D$6:$D$67,0)),VLOOKUP(B217,'Security Type'!$A$3:$D$1000,4,FALSE),"NOT IN PORT"))</f>
        <v/>
      </c>
      <c r="F217" t="str" cm="1">
        <f t="array" ref="F217">IFERROR(INDEX('Schwab Positions'!$D$8:$D$10000,SMALL(IF('Schwab Positions'!$E$8:$E$10000=$C$2,ROW('Schwab Positions'!$E$8:$E$10000)-7,""),ROWS($F$19:$F217))),"")</f>
        <v/>
      </c>
      <c r="G217" s="1" t="str" cm="1">
        <f t="array" ref="G217">IFERROR(INDEX('Schwab Positions'!$I$8:$I$10000,SMALL(IF('Schwab Positions'!$E$8:$E$10000=$C$2,ROW('Schwab Positions'!$E$8:$E$10000)-7,""),ROWS($G$19:$G217))),"")</f>
        <v/>
      </c>
      <c r="H217" s="100" t="str">
        <f t="shared" si="13"/>
        <v/>
      </c>
      <c r="I217" s="37" t="str" cm="1">
        <f t="array" ref="I217">IFERROR(IF($D217="Bond",IFERROR(INDEX('Schwab Positions'!$J$8:$J$10000,SMALL(IF('Schwab Positions'!$E$8:$E$10000=$C$2,ROW('Schwab Positions'!$E$8:$E$10000)-7,""),ROWS($I$19:$I217))),""),$F217*$G217),"")</f>
        <v/>
      </c>
    </row>
    <row r="218" spans="2:9">
      <c r="B218" t="str" cm="1">
        <f t="array" ref="B218">IFERROR(INDEX('Schwab Positions'!$A$8:$A$10000,SMALL(IF('Schwab Positions'!$E$8:$E$10000=$C$2,ROW('Schwab Positions'!$E$8:$E$10000)-7,""),ROWS($B$19:B218))),"")</f>
        <v/>
      </c>
      <c r="C218" t="str">
        <f>IFERROR(VLOOKUP(B218,'Schwab Positions'!$A$8:$B$10000,2,FALSE),"")</f>
        <v/>
      </c>
      <c r="D218" s="34" t="str">
        <f>IFERROR(VLOOKUP(B218,'Security Type'!$A$2:$C$1000,3,FALSE),"")</f>
        <v/>
      </c>
      <c r="E218" s="34" t="str">
        <f>IF(B218="","",IF(ISNUMBER(MATCH(B218,'2022 Port'!$D$6:$D$67,0)),VLOOKUP(B218,'Security Type'!$A$3:$D$1000,4,FALSE),"NOT IN PORT"))</f>
        <v/>
      </c>
      <c r="F218" t="str" cm="1">
        <f t="array" ref="F218">IFERROR(INDEX('Schwab Positions'!$D$8:$D$10000,SMALL(IF('Schwab Positions'!$E$8:$E$10000=$C$2,ROW('Schwab Positions'!$E$8:$E$10000)-7,""),ROWS($F$19:$F218))),"")</f>
        <v/>
      </c>
      <c r="G218" s="1" t="str" cm="1">
        <f t="array" ref="G218">IFERROR(INDEX('Schwab Positions'!$I$8:$I$10000,SMALL(IF('Schwab Positions'!$E$8:$E$10000=$C$2,ROW('Schwab Positions'!$E$8:$E$10000)-7,""),ROWS($G$19:$G218))),"")</f>
        <v/>
      </c>
      <c r="H218" s="100" t="str">
        <f t="shared" si="13"/>
        <v/>
      </c>
      <c r="I218" s="37" t="str" cm="1">
        <f t="array" ref="I218">IFERROR(IF($D218="Bond",IFERROR(INDEX('Schwab Positions'!$J$8:$J$10000,SMALL(IF('Schwab Positions'!$E$8:$E$10000=$C$2,ROW('Schwab Positions'!$E$8:$E$10000)-7,""),ROWS($I$19:$I218))),""),$F218*$G218),"")</f>
        <v/>
      </c>
    </row>
    <row r="219" spans="2:9">
      <c r="B219" t="str" cm="1">
        <f t="array" ref="B219">IFERROR(INDEX('Schwab Positions'!$A$8:$A$10000,SMALL(IF('Schwab Positions'!$E$8:$E$10000=$C$2,ROW('Schwab Positions'!$E$8:$E$10000)-7,""),ROWS($B$19:B219))),"")</f>
        <v/>
      </c>
      <c r="C219" t="str">
        <f>IFERROR(VLOOKUP(B219,'Schwab Positions'!$A$8:$B$10000,2,FALSE),"")</f>
        <v/>
      </c>
      <c r="D219" s="34" t="str">
        <f>IFERROR(VLOOKUP(B219,'Security Type'!$A$2:$C$1000,3,FALSE),"")</f>
        <v/>
      </c>
      <c r="E219" s="34" t="str">
        <f>IF(B219="","",IF(ISNUMBER(MATCH(B219,'2022 Port'!$D$6:$D$67,0)),VLOOKUP(B219,'Security Type'!$A$3:$D$1000,4,FALSE),"NOT IN PORT"))</f>
        <v/>
      </c>
      <c r="F219" t="str" cm="1">
        <f t="array" ref="F219">IFERROR(INDEX('Schwab Positions'!$D$8:$D$10000,SMALL(IF('Schwab Positions'!$E$8:$E$10000=$C$2,ROW('Schwab Positions'!$E$8:$E$10000)-7,""),ROWS($F$19:$F219))),"")</f>
        <v/>
      </c>
      <c r="G219" s="1" t="str" cm="1">
        <f t="array" ref="G219">IFERROR(INDEX('Schwab Positions'!$I$8:$I$10000,SMALL(IF('Schwab Positions'!$E$8:$E$10000=$C$2,ROW('Schwab Positions'!$E$8:$E$10000)-7,""),ROWS($G$19:$G219))),"")</f>
        <v/>
      </c>
      <c r="H219" s="100" t="str">
        <f t="shared" si="13"/>
        <v/>
      </c>
      <c r="I219" s="37" t="str" cm="1">
        <f t="array" ref="I219">IFERROR(IF($D219="Bond",IFERROR(INDEX('Schwab Positions'!$J$8:$J$10000,SMALL(IF('Schwab Positions'!$E$8:$E$10000=$C$2,ROW('Schwab Positions'!$E$8:$E$10000)-7,""),ROWS($I$19:$I219))),""),$F219*$G219),"")</f>
        <v/>
      </c>
    </row>
    <row r="220" spans="2:9">
      <c r="B220" t="str" cm="1">
        <f t="array" ref="B220">IFERROR(INDEX('Schwab Positions'!$A$8:$A$10000,SMALL(IF('Schwab Positions'!$E$8:$E$10000=$C$2,ROW('Schwab Positions'!$E$8:$E$10000)-7,""),ROWS($B$19:B220))),"")</f>
        <v/>
      </c>
      <c r="C220" t="str">
        <f>IFERROR(VLOOKUP(B220,'Schwab Positions'!$A$8:$B$10000,2,FALSE),"")</f>
        <v/>
      </c>
      <c r="D220" s="34" t="str">
        <f>IFERROR(VLOOKUP(B220,'Security Type'!$A$2:$C$1000,3,FALSE),"")</f>
        <v/>
      </c>
      <c r="E220" s="34" t="str">
        <f>IF(B220="","",IF(ISNUMBER(MATCH(B220,'2022 Port'!$D$6:$D$67,0)),VLOOKUP(B220,'Security Type'!$A$3:$D$1000,4,FALSE),"NOT IN PORT"))</f>
        <v/>
      </c>
      <c r="F220" t="str" cm="1">
        <f t="array" ref="F220">IFERROR(INDEX('Schwab Positions'!$D$8:$D$10000,SMALL(IF('Schwab Positions'!$E$8:$E$10000=$C$2,ROW('Schwab Positions'!$E$8:$E$10000)-7,""),ROWS($F$19:$F220))),"")</f>
        <v/>
      </c>
      <c r="G220" s="1" t="str" cm="1">
        <f t="array" ref="G220">IFERROR(INDEX('Schwab Positions'!$I$8:$I$10000,SMALL(IF('Schwab Positions'!$E$8:$E$10000=$C$2,ROW('Schwab Positions'!$E$8:$E$10000)-7,""),ROWS($G$19:$G220))),"")</f>
        <v/>
      </c>
      <c r="H220" s="100" t="str">
        <f t="shared" si="13"/>
        <v/>
      </c>
      <c r="I220" s="37" t="str" cm="1">
        <f t="array" ref="I220">IFERROR(IF($D220="Bond",IFERROR(INDEX('Schwab Positions'!$J$8:$J$10000,SMALL(IF('Schwab Positions'!$E$8:$E$10000=$C$2,ROW('Schwab Positions'!$E$8:$E$10000)-7,""),ROWS($I$19:$I220))),""),$F220*$G220),"")</f>
        <v/>
      </c>
    </row>
    <row r="221" spans="2:9">
      <c r="B221" t="str" cm="1">
        <f t="array" ref="B221">IFERROR(INDEX('Schwab Positions'!$A$8:$A$10000,SMALL(IF('Schwab Positions'!$E$8:$E$10000=$C$2,ROW('Schwab Positions'!$E$8:$E$10000)-7,""),ROWS($B$19:B221))),"")</f>
        <v/>
      </c>
      <c r="C221" t="str">
        <f>IFERROR(VLOOKUP(B221,'Schwab Positions'!$A$8:$B$10000,2,FALSE),"")</f>
        <v/>
      </c>
      <c r="D221" s="34" t="str">
        <f>IFERROR(VLOOKUP(B221,'Security Type'!$A$2:$C$1000,3,FALSE),"")</f>
        <v/>
      </c>
      <c r="E221" s="34" t="str">
        <f>IF(B221="","",IF(ISNUMBER(MATCH(B221,'2022 Port'!$D$6:$D$67,0)),VLOOKUP(B221,'Security Type'!$A$3:$D$1000,4,FALSE),"NOT IN PORT"))</f>
        <v/>
      </c>
      <c r="F221" t="str" cm="1">
        <f t="array" ref="F221">IFERROR(INDEX('Schwab Positions'!$D$8:$D$10000,SMALL(IF('Schwab Positions'!$E$8:$E$10000=$C$2,ROW('Schwab Positions'!$E$8:$E$10000)-7,""),ROWS($F$19:$F221))),"")</f>
        <v/>
      </c>
      <c r="G221" s="1" t="str" cm="1">
        <f t="array" ref="G221">IFERROR(INDEX('Schwab Positions'!$I$8:$I$10000,SMALL(IF('Schwab Positions'!$E$8:$E$10000=$C$2,ROW('Schwab Positions'!$E$8:$E$10000)-7,""),ROWS($G$19:$G221))),"")</f>
        <v/>
      </c>
      <c r="H221" s="100" t="str">
        <f t="shared" si="13"/>
        <v/>
      </c>
      <c r="I221" s="37" t="str" cm="1">
        <f t="array" ref="I221">IFERROR(IF($D221="Bond",IFERROR(INDEX('Schwab Positions'!$J$8:$J$10000,SMALL(IF('Schwab Positions'!$E$8:$E$10000=$C$2,ROW('Schwab Positions'!$E$8:$E$10000)-7,""),ROWS($I$19:$I221))),""),$F221*$G221),"")</f>
        <v/>
      </c>
    </row>
    <row r="222" spans="2:9">
      <c r="B222" t="str" cm="1">
        <f t="array" ref="B222">IFERROR(INDEX('Schwab Positions'!$A$8:$A$10000,SMALL(IF('Schwab Positions'!$E$8:$E$10000=$C$2,ROW('Schwab Positions'!$E$8:$E$10000)-7,""),ROWS($B$19:B222))),"")</f>
        <v/>
      </c>
      <c r="C222" t="str">
        <f>IFERROR(VLOOKUP(B222,'Schwab Positions'!$A$8:$B$10000,2,FALSE),"")</f>
        <v/>
      </c>
      <c r="D222" s="34" t="str">
        <f>IFERROR(VLOOKUP(B222,'Security Type'!$A$2:$C$1000,3,FALSE),"")</f>
        <v/>
      </c>
      <c r="E222" s="34" t="str">
        <f>IF(B222="","",IF(ISNUMBER(MATCH(B222,'2022 Port'!$D$6:$D$67,0)),VLOOKUP(B222,'Security Type'!$A$3:$D$1000,4,FALSE),"NOT IN PORT"))</f>
        <v/>
      </c>
      <c r="F222" t="str" cm="1">
        <f t="array" ref="F222">IFERROR(INDEX('Schwab Positions'!$D$8:$D$10000,SMALL(IF('Schwab Positions'!$E$8:$E$10000=$C$2,ROW('Schwab Positions'!$E$8:$E$10000)-7,""),ROWS($F$19:$F222))),"")</f>
        <v/>
      </c>
      <c r="G222" s="1" t="str" cm="1">
        <f t="array" ref="G222">IFERROR(INDEX('Schwab Positions'!$I$8:$I$10000,SMALL(IF('Schwab Positions'!$E$8:$E$10000=$C$2,ROW('Schwab Positions'!$E$8:$E$10000)-7,""),ROWS($G$19:$G222))),"")</f>
        <v/>
      </c>
      <c r="H222" s="100" t="str">
        <f t="shared" si="13"/>
        <v/>
      </c>
      <c r="I222" s="37" t="str" cm="1">
        <f t="array" ref="I222">IFERROR(IF($D222="Bond",IFERROR(INDEX('Schwab Positions'!$J$8:$J$10000,SMALL(IF('Schwab Positions'!$E$8:$E$10000=$C$2,ROW('Schwab Positions'!$E$8:$E$10000)-7,""),ROWS($I$19:$I222))),""),$F222*$G222),"")</f>
        <v/>
      </c>
    </row>
    <row r="223" spans="2:9">
      <c r="B223" t="str" cm="1">
        <f t="array" ref="B223">IFERROR(INDEX('Schwab Positions'!$A$8:$A$10000,SMALL(IF('Schwab Positions'!$E$8:$E$10000=$C$2,ROW('Schwab Positions'!$E$8:$E$10000)-7,""),ROWS($B$19:B223))),"")</f>
        <v/>
      </c>
      <c r="C223" t="str">
        <f>IFERROR(VLOOKUP(B223,'Schwab Positions'!$A$8:$B$10000,2,FALSE),"")</f>
        <v/>
      </c>
      <c r="D223" s="34" t="str">
        <f>IFERROR(VLOOKUP(B223,'Security Type'!$A$2:$C$1000,3,FALSE),"")</f>
        <v/>
      </c>
      <c r="E223" s="34" t="str">
        <f>IF(B223="","",IF(ISNUMBER(MATCH(B223,'2022 Port'!$D$6:$D$67,0)),VLOOKUP(B223,'Security Type'!$A$3:$D$1000,4,FALSE),"NOT IN PORT"))</f>
        <v/>
      </c>
      <c r="F223" t="str" cm="1">
        <f t="array" ref="F223">IFERROR(INDEX('Schwab Positions'!$D$8:$D$10000,SMALL(IF('Schwab Positions'!$E$8:$E$10000=$C$2,ROW('Schwab Positions'!$E$8:$E$10000)-7,""),ROWS($F$19:$F223))),"")</f>
        <v/>
      </c>
      <c r="G223" s="1" t="str" cm="1">
        <f t="array" ref="G223">IFERROR(INDEX('Schwab Positions'!$I$8:$I$10000,SMALL(IF('Schwab Positions'!$E$8:$E$10000=$C$2,ROW('Schwab Positions'!$E$8:$E$10000)-7,""),ROWS($G$19:$G223))),"")</f>
        <v/>
      </c>
      <c r="H223" s="100" t="str">
        <f t="shared" si="13"/>
        <v/>
      </c>
      <c r="I223" s="37" t="str" cm="1">
        <f t="array" ref="I223">IFERROR(IF($D223="Bond",IFERROR(INDEX('Schwab Positions'!$J$8:$J$10000,SMALL(IF('Schwab Positions'!$E$8:$E$10000=$C$2,ROW('Schwab Positions'!$E$8:$E$10000)-7,""),ROWS($I$19:$I223))),""),$F223*$G223),"")</f>
        <v/>
      </c>
    </row>
    <row r="224" spans="2:9">
      <c r="B224" t="str" cm="1">
        <f t="array" ref="B224">IFERROR(INDEX('Schwab Positions'!$A$8:$A$10000,SMALL(IF('Schwab Positions'!$E$8:$E$10000=$C$2,ROW('Schwab Positions'!$E$8:$E$10000)-7,""),ROWS($B$19:B224))),"")</f>
        <v/>
      </c>
      <c r="C224" t="str">
        <f>IFERROR(VLOOKUP(B224,'Schwab Positions'!$A$8:$B$10000,2,FALSE),"")</f>
        <v/>
      </c>
      <c r="D224" s="34" t="str">
        <f>IFERROR(VLOOKUP(B224,'Security Type'!$A$2:$C$1000,3,FALSE),"")</f>
        <v/>
      </c>
      <c r="E224" s="34" t="str">
        <f>IF(B224="","",IF(ISNUMBER(MATCH(B224,'2022 Port'!$D$6:$D$67,0)),VLOOKUP(B224,'Security Type'!$A$3:$D$1000,4,FALSE),"NOT IN PORT"))</f>
        <v/>
      </c>
      <c r="F224" t="str" cm="1">
        <f t="array" ref="F224">IFERROR(INDEX('Schwab Positions'!$D$8:$D$10000,SMALL(IF('Schwab Positions'!$E$8:$E$10000=$C$2,ROW('Schwab Positions'!$E$8:$E$10000)-7,""),ROWS($F$19:$F224))),"")</f>
        <v/>
      </c>
      <c r="G224" s="1" t="str" cm="1">
        <f t="array" ref="G224">IFERROR(INDEX('Schwab Positions'!$I$8:$I$10000,SMALL(IF('Schwab Positions'!$E$8:$E$10000=$C$2,ROW('Schwab Positions'!$E$8:$E$10000)-7,""),ROWS($G$19:$G224))),"")</f>
        <v/>
      </c>
      <c r="H224" s="100" t="str">
        <f t="shared" si="13"/>
        <v/>
      </c>
      <c r="I224" s="37" t="str" cm="1">
        <f t="array" ref="I224">IFERROR(IF($D224="Bond",IFERROR(INDEX('Schwab Positions'!$J$8:$J$10000,SMALL(IF('Schwab Positions'!$E$8:$E$10000=$C$2,ROW('Schwab Positions'!$E$8:$E$10000)-7,""),ROWS($I$19:$I224))),""),$F224*$G224),"")</f>
        <v/>
      </c>
    </row>
    <row r="225" spans="2:9">
      <c r="B225" t="str" cm="1">
        <f t="array" ref="B225">IFERROR(INDEX('Schwab Positions'!$A$8:$A$10000,SMALL(IF('Schwab Positions'!$E$8:$E$10000=$C$2,ROW('Schwab Positions'!$E$8:$E$10000)-7,""),ROWS($B$19:B225))),"")</f>
        <v/>
      </c>
      <c r="C225" t="str">
        <f>IFERROR(VLOOKUP(B225,'Schwab Positions'!$A$8:$B$10000,2,FALSE),"")</f>
        <v/>
      </c>
      <c r="D225" s="34" t="str">
        <f>IFERROR(VLOOKUP(B225,'Security Type'!$A$2:$C$1000,3,FALSE),"")</f>
        <v/>
      </c>
      <c r="E225" s="34" t="str">
        <f>IF(B225="","",IF(ISNUMBER(MATCH(B225,'2022 Port'!$D$6:$D$67,0)),VLOOKUP(B225,'Security Type'!$A$3:$D$1000,4,FALSE),"NOT IN PORT"))</f>
        <v/>
      </c>
      <c r="F225" t="str" cm="1">
        <f t="array" ref="F225">IFERROR(INDEX('Schwab Positions'!$D$8:$D$10000,SMALL(IF('Schwab Positions'!$E$8:$E$10000=$C$2,ROW('Schwab Positions'!$E$8:$E$10000)-7,""),ROWS($F$19:$F225))),"")</f>
        <v/>
      </c>
      <c r="G225" s="1" t="str" cm="1">
        <f t="array" ref="G225">IFERROR(INDEX('Schwab Positions'!$I$8:$I$10000,SMALL(IF('Schwab Positions'!$E$8:$E$10000=$C$2,ROW('Schwab Positions'!$E$8:$E$10000)-7,""),ROWS($G$19:$G225))),"")</f>
        <v/>
      </c>
      <c r="H225" s="100" t="str">
        <f t="shared" si="13"/>
        <v/>
      </c>
      <c r="I225" s="37" t="str" cm="1">
        <f t="array" ref="I225">IFERROR(IF($D225="Bond",IFERROR(INDEX('Schwab Positions'!$J$8:$J$10000,SMALL(IF('Schwab Positions'!$E$8:$E$10000=$C$2,ROW('Schwab Positions'!$E$8:$E$10000)-7,""),ROWS($I$19:$I225))),""),$F225*$G225),"")</f>
        <v/>
      </c>
    </row>
    <row r="226" spans="2:9">
      <c r="B226" t="str" cm="1">
        <f t="array" ref="B226">IFERROR(INDEX('Schwab Positions'!$A$8:$A$10000,SMALL(IF('Schwab Positions'!$E$8:$E$10000=$C$2,ROW('Schwab Positions'!$E$8:$E$10000)-7,""),ROWS($B$19:B226))),"")</f>
        <v/>
      </c>
      <c r="C226" t="str">
        <f>IFERROR(VLOOKUP(B226,'Schwab Positions'!$A$8:$B$10000,2,FALSE),"")</f>
        <v/>
      </c>
      <c r="D226" s="34" t="str">
        <f>IFERROR(VLOOKUP(B226,'Security Type'!$A$2:$C$1000,3,FALSE),"")</f>
        <v/>
      </c>
      <c r="E226" s="34" t="str">
        <f>IF(B226="","",IF(ISNUMBER(MATCH(B226,'2022 Port'!$D$6:$D$67,0)),VLOOKUP(B226,'Security Type'!$A$3:$D$1000,4,FALSE),"NOT IN PORT"))</f>
        <v/>
      </c>
      <c r="F226" t="str" cm="1">
        <f t="array" ref="F226">IFERROR(INDEX('Schwab Positions'!$D$8:$D$10000,SMALL(IF('Schwab Positions'!$E$8:$E$10000=$C$2,ROW('Schwab Positions'!$E$8:$E$10000)-7,""),ROWS($F$19:$F226))),"")</f>
        <v/>
      </c>
      <c r="G226" s="1" t="str" cm="1">
        <f t="array" ref="G226">IFERROR(INDEX('Schwab Positions'!$I$8:$I$10000,SMALL(IF('Schwab Positions'!$E$8:$E$10000=$C$2,ROW('Schwab Positions'!$E$8:$E$10000)-7,""),ROWS($G$19:$G226))),"")</f>
        <v/>
      </c>
      <c r="H226" s="100" t="str">
        <f t="shared" si="13"/>
        <v/>
      </c>
      <c r="I226" s="37" t="str" cm="1">
        <f t="array" ref="I226">IFERROR(IF($D226="Bond",IFERROR(INDEX('Schwab Positions'!$J$8:$J$10000,SMALL(IF('Schwab Positions'!$E$8:$E$10000=$C$2,ROW('Schwab Positions'!$E$8:$E$10000)-7,""),ROWS($I$19:$I226))),""),$F226*$G226),"")</f>
        <v/>
      </c>
    </row>
    <row r="227" spans="2:9">
      <c r="B227" t="str" cm="1">
        <f t="array" ref="B227">IFERROR(INDEX('Schwab Positions'!$A$8:$A$10000,SMALL(IF('Schwab Positions'!$E$8:$E$10000=$C$2,ROW('Schwab Positions'!$E$8:$E$10000)-7,""),ROWS($B$19:B227))),"")</f>
        <v/>
      </c>
      <c r="C227" t="str">
        <f>IFERROR(VLOOKUP(B227,'Schwab Positions'!$A$8:$B$10000,2,FALSE),"")</f>
        <v/>
      </c>
      <c r="D227" s="34" t="str">
        <f>IFERROR(VLOOKUP(B227,'Security Type'!$A$2:$C$1000,3,FALSE),"")</f>
        <v/>
      </c>
      <c r="E227" s="34" t="str">
        <f>IF(B227="","",IF(ISNUMBER(MATCH(B227,'2022 Port'!$D$6:$D$67,0)),VLOOKUP(B227,'Security Type'!$A$3:$D$1000,4,FALSE),"NOT IN PORT"))</f>
        <v/>
      </c>
      <c r="F227" t="str" cm="1">
        <f t="array" ref="F227">IFERROR(INDEX('Schwab Positions'!$D$8:$D$10000,SMALL(IF('Schwab Positions'!$E$8:$E$10000=$C$2,ROW('Schwab Positions'!$E$8:$E$10000)-7,""),ROWS($F$19:$F227))),"")</f>
        <v/>
      </c>
      <c r="G227" s="1" t="str" cm="1">
        <f t="array" ref="G227">IFERROR(INDEX('Schwab Positions'!$I$8:$I$10000,SMALL(IF('Schwab Positions'!$E$8:$E$10000=$C$2,ROW('Schwab Positions'!$E$8:$E$10000)-7,""),ROWS($G$19:$G227))),"")</f>
        <v/>
      </c>
      <c r="H227" s="100" t="str">
        <f t="shared" si="13"/>
        <v/>
      </c>
      <c r="I227" s="37" t="str" cm="1">
        <f t="array" ref="I227">IFERROR(IF($D227="Bond",IFERROR(INDEX('Schwab Positions'!$J$8:$J$10000,SMALL(IF('Schwab Positions'!$E$8:$E$10000=$C$2,ROW('Schwab Positions'!$E$8:$E$10000)-7,""),ROWS($I$19:$I227))),""),$F227*$G227),"")</f>
        <v/>
      </c>
    </row>
    <row r="228" spans="2:9">
      <c r="B228" t="str" cm="1">
        <f t="array" ref="B228">IFERROR(INDEX('Schwab Positions'!$A$8:$A$10000,SMALL(IF('Schwab Positions'!$E$8:$E$10000=$C$2,ROW('Schwab Positions'!$E$8:$E$10000)-7,""),ROWS($B$19:B228))),"")</f>
        <v/>
      </c>
      <c r="C228" t="str">
        <f>IFERROR(VLOOKUP(B228,'Schwab Positions'!$A$8:$B$10000,2,FALSE),"")</f>
        <v/>
      </c>
      <c r="D228" s="34" t="str">
        <f>IFERROR(VLOOKUP(B228,'Security Type'!$A$2:$C$1000,3,FALSE),"")</f>
        <v/>
      </c>
      <c r="E228" s="34" t="str">
        <f>IF(B228="","",IF(ISNUMBER(MATCH(B228,'2022 Port'!$D$6:$D$67,0)),VLOOKUP(B228,'Security Type'!$A$3:$D$1000,4,FALSE),"NOT IN PORT"))</f>
        <v/>
      </c>
      <c r="F228" t="str" cm="1">
        <f t="array" ref="F228">IFERROR(INDEX('Schwab Positions'!$D$8:$D$10000,SMALL(IF('Schwab Positions'!$E$8:$E$10000=$C$2,ROW('Schwab Positions'!$E$8:$E$10000)-7,""),ROWS($F$19:$F228))),"")</f>
        <v/>
      </c>
      <c r="G228" s="1" t="str" cm="1">
        <f t="array" ref="G228">IFERROR(INDEX('Schwab Positions'!$I$8:$I$10000,SMALL(IF('Schwab Positions'!$E$8:$E$10000=$C$2,ROW('Schwab Positions'!$E$8:$E$10000)-7,""),ROWS($G$19:$G228))),"")</f>
        <v/>
      </c>
      <c r="H228" s="100" t="str">
        <f t="shared" si="13"/>
        <v/>
      </c>
      <c r="I228" s="37" t="str" cm="1">
        <f t="array" ref="I228">IFERROR(IF($D228="Bond",IFERROR(INDEX('Schwab Positions'!$J$8:$J$10000,SMALL(IF('Schwab Positions'!$E$8:$E$10000=$C$2,ROW('Schwab Positions'!$E$8:$E$10000)-7,""),ROWS($I$19:$I228))),""),$F228*$G228),"")</f>
        <v/>
      </c>
    </row>
    <row r="229" spans="2:9">
      <c r="B229" t="str" cm="1">
        <f t="array" ref="B229">IFERROR(INDEX('Schwab Positions'!$A$8:$A$10000,SMALL(IF('Schwab Positions'!$E$8:$E$10000=$C$2,ROW('Schwab Positions'!$E$8:$E$10000)-7,""),ROWS($B$19:B229))),"")</f>
        <v/>
      </c>
      <c r="C229" t="str">
        <f>IFERROR(VLOOKUP(B229,'Schwab Positions'!$A$8:$B$10000,2,FALSE),"")</f>
        <v/>
      </c>
      <c r="D229" s="34" t="str">
        <f>IFERROR(VLOOKUP(B229,'Security Type'!$A$2:$C$1000,3,FALSE),"")</f>
        <v/>
      </c>
      <c r="E229" s="34" t="str">
        <f>IF(B229="","",IF(ISNUMBER(MATCH(B229,'2022 Port'!$D$6:$D$67,0)),VLOOKUP(B229,'Security Type'!$A$3:$D$1000,4,FALSE),"NOT IN PORT"))</f>
        <v/>
      </c>
      <c r="F229" t="str" cm="1">
        <f t="array" ref="F229">IFERROR(INDEX('Schwab Positions'!$D$8:$D$10000,SMALL(IF('Schwab Positions'!$E$8:$E$10000=$C$2,ROW('Schwab Positions'!$E$8:$E$10000)-7,""),ROWS($F$19:$F229))),"")</f>
        <v/>
      </c>
      <c r="G229" s="1" t="str" cm="1">
        <f t="array" ref="G229">IFERROR(INDEX('Schwab Positions'!$I$8:$I$10000,SMALL(IF('Schwab Positions'!$E$8:$E$10000=$C$2,ROW('Schwab Positions'!$E$8:$E$10000)-7,""),ROWS($G$19:$G229))),"")</f>
        <v/>
      </c>
      <c r="H229" s="100" t="str">
        <f t="shared" si="13"/>
        <v/>
      </c>
      <c r="I229" s="37" t="str" cm="1">
        <f t="array" ref="I229">IFERROR(IF($D229="Bond",IFERROR(INDEX('Schwab Positions'!$J$8:$J$10000,SMALL(IF('Schwab Positions'!$E$8:$E$10000=$C$2,ROW('Schwab Positions'!$E$8:$E$10000)-7,""),ROWS($I$19:$I229))),""),$F229*$G229),"")</f>
        <v/>
      </c>
    </row>
    <row r="230" spans="2:9">
      <c r="B230" t="str" cm="1">
        <f t="array" ref="B230">IFERROR(INDEX('Schwab Positions'!$A$8:$A$10000,SMALL(IF('Schwab Positions'!$E$8:$E$10000=$C$2,ROW('Schwab Positions'!$E$8:$E$10000)-7,""),ROWS($B$19:B230))),"")</f>
        <v/>
      </c>
      <c r="C230" t="str">
        <f>IFERROR(VLOOKUP(B230,'Schwab Positions'!$A$8:$B$10000,2,FALSE),"")</f>
        <v/>
      </c>
      <c r="D230" s="34" t="str">
        <f>IFERROR(VLOOKUP(B230,'Security Type'!$A$2:$C$1000,3,FALSE),"")</f>
        <v/>
      </c>
      <c r="E230" s="34" t="str">
        <f>IF(B230="","",IF(ISNUMBER(MATCH(B230,'2022 Port'!$D$6:$D$67,0)),VLOOKUP(B230,'Security Type'!$A$3:$D$1000,4,FALSE),"NOT IN PORT"))</f>
        <v/>
      </c>
      <c r="F230" t="str" cm="1">
        <f t="array" ref="F230">IFERROR(INDEX('Schwab Positions'!$D$8:$D$10000,SMALL(IF('Schwab Positions'!$E$8:$E$10000=$C$2,ROW('Schwab Positions'!$E$8:$E$10000)-7,""),ROWS($F$19:$F230))),"")</f>
        <v/>
      </c>
      <c r="G230" s="1" t="str" cm="1">
        <f t="array" ref="G230">IFERROR(INDEX('Schwab Positions'!$I$8:$I$10000,SMALL(IF('Schwab Positions'!$E$8:$E$10000=$C$2,ROW('Schwab Positions'!$E$8:$E$10000)-7,""),ROWS($G$19:$G230))),"")</f>
        <v/>
      </c>
      <c r="H230" s="100" t="str">
        <f t="shared" si="13"/>
        <v/>
      </c>
      <c r="I230" s="37" t="str" cm="1">
        <f t="array" ref="I230">IFERROR(IF($D230="Bond",IFERROR(INDEX('Schwab Positions'!$J$8:$J$10000,SMALL(IF('Schwab Positions'!$E$8:$E$10000=$C$2,ROW('Schwab Positions'!$E$8:$E$10000)-7,""),ROWS($I$19:$I230))),""),$F230*$G230),"")</f>
        <v/>
      </c>
    </row>
    <row r="231" spans="2:9">
      <c r="B231" t="str" cm="1">
        <f t="array" ref="B231">IFERROR(INDEX('Schwab Positions'!$A$8:$A$10000,SMALL(IF('Schwab Positions'!$E$8:$E$10000=$C$2,ROW('Schwab Positions'!$E$8:$E$10000)-7,""),ROWS($B$19:B231))),"")</f>
        <v/>
      </c>
      <c r="C231" t="str">
        <f>IFERROR(VLOOKUP(B231,'Schwab Positions'!$A$8:$B$10000,2,FALSE),"")</f>
        <v/>
      </c>
      <c r="D231" s="34" t="str">
        <f>IFERROR(VLOOKUP(B231,'Security Type'!$A$2:$C$1000,3,FALSE),"")</f>
        <v/>
      </c>
      <c r="E231" s="34" t="str">
        <f>IF(B231="","",IF(ISNUMBER(MATCH(B231,'2022 Port'!$D$6:$D$67,0)),VLOOKUP(B231,'Security Type'!$A$3:$D$1000,4,FALSE),"NOT IN PORT"))</f>
        <v/>
      </c>
      <c r="F231" t="str" cm="1">
        <f t="array" ref="F231">IFERROR(INDEX('Schwab Positions'!$D$8:$D$10000,SMALL(IF('Schwab Positions'!$E$8:$E$10000=$C$2,ROW('Schwab Positions'!$E$8:$E$10000)-7,""),ROWS($F$19:$F231))),"")</f>
        <v/>
      </c>
      <c r="G231" s="1" t="str" cm="1">
        <f t="array" ref="G231">IFERROR(INDEX('Schwab Positions'!$I$8:$I$10000,SMALL(IF('Schwab Positions'!$E$8:$E$10000=$C$2,ROW('Schwab Positions'!$E$8:$E$10000)-7,""),ROWS($G$19:$G231))),"")</f>
        <v/>
      </c>
      <c r="H231" s="100" t="str">
        <f t="shared" si="13"/>
        <v/>
      </c>
      <c r="I231" s="37" t="str" cm="1">
        <f t="array" ref="I231">IFERROR(IF($D231="Bond",IFERROR(INDEX('Schwab Positions'!$J$8:$J$10000,SMALL(IF('Schwab Positions'!$E$8:$E$10000=$C$2,ROW('Schwab Positions'!$E$8:$E$10000)-7,""),ROWS($I$19:$I231))),""),$F231*$G231),"")</f>
        <v/>
      </c>
    </row>
    <row r="232" spans="2:9">
      <c r="B232" t="str" cm="1">
        <f t="array" ref="B232">IFERROR(INDEX('Schwab Positions'!$A$8:$A$10000,SMALL(IF('Schwab Positions'!$E$8:$E$10000=$C$2,ROW('Schwab Positions'!$E$8:$E$10000)-7,""),ROWS($B$19:B232))),"")</f>
        <v/>
      </c>
      <c r="C232" t="str">
        <f>IFERROR(VLOOKUP(B232,'Schwab Positions'!$A$8:$B$10000,2,FALSE),"")</f>
        <v/>
      </c>
      <c r="D232" s="34" t="str">
        <f>IFERROR(VLOOKUP(B232,'Security Type'!$A$2:$C$1000,3,FALSE),"")</f>
        <v/>
      </c>
      <c r="E232" s="34" t="str">
        <f>IF(B232="","",IF(ISNUMBER(MATCH(B232,'2022 Port'!$D$6:$D$67,0)),VLOOKUP(B232,'Security Type'!$A$3:$D$1000,4,FALSE),"NOT IN PORT"))</f>
        <v/>
      </c>
      <c r="F232" t="str" cm="1">
        <f t="array" ref="F232">IFERROR(INDEX('Schwab Positions'!$D$8:$D$10000,SMALL(IF('Schwab Positions'!$E$8:$E$10000=$C$2,ROW('Schwab Positions'!$E$8:$E$10000)-7,""),ROWS($F$19:$F232))),"")</f>
        <v/>
      </c>
      <c r="G232" s="1" t="str" cm="1">
        <f t="array" ref="G232">IFERROR(INDEX('Schwab Positions'!$I$8:$I$10000,SMALL(IF('Schwab Positions'!$E$8:$E$10000=$C$2,ROW('Schwab Positions'!$E$8:$E$10000)-7,""),ROWS($G$19:$G232))),"")</f>
        <v/>
      </c>
      <c r="H232" s="100" t="str">
        <f t="shared" si="13"/>
        <v/>
      </c>
      <c r="I232" s="37" t="str" cm="1">
        <f t="array" ref="I232">IFERROR(IF($D232="Bond",IFERROR(INDEX('Schwab Positions'!$J$8:$J$10000,SMALL(IF('Schwab Positions'!$E$8:$E$10000=$C$2,ROW('Schwab Positions'!$E$8:$E$10000)-7,""),ROWS($I$19:$I232))),""),$F232*$G232),"")</f>
        <v/>
      </c>
    </row>
    <row r="233" spans="2:9">
      <c r="B233" t="str" cm="1">
        <f t="array" ref="B233">IFERROR(INDEX('Schwab Positions'!$A$8:$A$10000,SMALL(IF('Schwab Positions'!$E$8:$E$10000=$C$2,ROW('Schwab Positions'!$E$8:$E$10000)-7,""),ROWS($B$19:B233))),"")</f>
        <v/>
      </c>
      <c r="C233" t="str">
        <f>IFERROR(VLOOKUP(B233,'Schwab Positions'!$A$8:$B$10000,2,FALSE),"")</f>
        <v/>
      </c>
      <c r="D233" s="34" t="str">
        <f>IFERROR(VLOOKUP(B233,'Security Type'!$A$2:$C$1000,3,FALSE),"")</f>
        <v/>
      </c>
      <c r="E233" s="34" t="str">
        <f>IF(B233="","",IF(ISNUMBER(MATCH(B233,'2022 Port'!$D$6:$D$67,0)),VLOOKUP(B233,'Security Type'!$A$3:$D$1000,4,FALSE),"NOT IN PORT"))</f>
        <v/>
      </c>
      <c r="F233" t="str" cm="1">
        <f t="array" ref="F233">IFERROR(INDEX('Schwab Positions'!$D$8:$D$10000,SMALL(IF('Schwab Positions'!$E$8:$E$10000=$C$2,ROW('Schwab Positions'!$E$8:$E$10000)-7,""),ROWS($F$19:$F233))),"")</f>
        <v/>
      </c>
      <c r="G233" s="1" t="str" cm="1">
        <f t="array" ref="G233">IFERROR(INDEX('Schwab Positions'!$I$8:$I$10000,SMALL(IF('Schwab Positions'!$E$8:$E$10000=$C$2,ROW('Schwab Positions'!$E$8:$E$10000)-7,""),ROWS($G$19:$G233))),"")</f>
        <v/>
      </c>
      <c r="H233" s="100" t="str">
        <f t="shared" si="13"/>
        <v/>
      </c>
      <c r="I233" s="37" t="str" cm="1">
        <f t="array" ref="I233">IFERROR(IF($D233="Bond",IFERROR(INDEX('Schwab Positions'!$J$8:$J$10000,SMALL(IF('Schwab Positions'!$E$8:$E$10000=$C$2,ROW('Schwab Positions'!$E$8:$E$10000)-7,""),ROWS($I$19:$I233))),""),$F233*$G233),"")</f>
        <v/>
      </c>
    </row>
    <row r="234" spans="2:9">
      <c r="B234" t="str" cm="1">
        <f t="array" ref="B234">IFERROR(INDEX('Schwab Positions'!$A$8:$A$10000,SMALL(IF('Schwab Positions'!$E$8:$E$10000=$C$2,ROW('Schwab Positions'!$E$8:$E$10000)-7,""),ROWS($B$19:B234))),"")</f>
        <v/>
      </c>
      <c r="C234" t="str">
        <f>IFERROR(VLOOKUP(B234,'Schwab Positions'!$A$8:$B$10000,2,FALSE),"")</f>
        <v/>
      </c>
      <c r="D234" s="34" t="str">
        <f>IFERROR(VLOOKUP(B234,'Security Type'!$A$2:$C$1000,3,FALSE),"")</f>
        <v/>
      </c>
      <c r="E234" s="34" t="str">
        <f>IF(B234="","",IF(ISNUMBER(MATCH(B234,'2022 Port'!$D$6:$D$67,0)),VLOOKUP(B234,'Security Type'!$A$3:$D$1000,4,FALSE),"NOT IN PORT"))</f>
        <v/>
      </c>
      <c r="F234" t="str" cm="1">
        <f t="array" ref="F234">IFERROR(INDEX('Schwab Positions'!$D$8:$D$10000,SMALL(IF('Schwab Positions'!$E$8:$E$10000=$C$2,ROW('Schwab Positions'!$E$8:$E$10000)-7,""),ROWS($F$19:$F234))),"")</f>
        <v/>
      </c>
      <c r="G234" s="1" t="str" cm="1">
        <f t="array" ref="G234">IFERROR(INDEX('Schwab Positions'!$I$8:$I$10000,SMALL(IF('Schwab Positions'!$E$8:$E$10000=$C$2,ROW('Schwab Positions'!$E$8:$E$10000)-7,""),ROWS($G$19:$G234))),"")</f>
        <v/>
      </c>
      <c r="H234" s="100" t="str">
        <f t="shared" si="13"/>
        <v/>
      </c>
      <c r="I234" s="37" t="str" cm="1">
        <f t="array" ref="I234">IFERROR(IF($D234="Bond",IFERROR(INDEX('Schwab Positions'!$J$8:$J$10000,SMALL(IF('Schwab Positions'!$E$8:$E$10000=$C$2,ROW('Schwab Positions'!$E$8:$E$10000)-7,""),ROWS($I$19:$I234))),""),$F234*$G234),"")</f>
        <v/>
      </c>
    </row>
    <row r="235" spans="2:9">
      <c r="B235" t="str" cm="1">
        <f t="array" ref="B235">IFERROR(INDEX('Schwab Positions'!$A$8:$A$10000,SMALL(IF('Schwab Positions'!$E$8:$E$10000=$C$2,ROW('Schwab Positions'!$E$8:$E$10000)-7,""),ROWS($B$19:B235))),"")</f>
        <v/>
      </c>
      <c r="C235" t="str">
        <f>IFERROR(VLOOKUP(B235,'Schwab Positions'!$A$8:$B$10000,2,FALSE),"")</f>
        <v/>
      </c>
      <c r="D235" s="34" t="str">
        <f>IFERROR(VLOOKUP(B235,'Security Type'!$A$2:$C$1000,3,FALSE),"")</f>
        <v/>
      </c>
      <c r="E235" s="34" t="str">
        <f>IF(B235="","",IF(ISNUMBER(MATCH(B235,'2022 Port'!$D$6:$D$67,0)),VLOOKUP(B235,'Security Type'!$A$3:$D$1000,4,FALSE),"NOT IN PORT"))</f>
        <v/>
      </c>
      <c r="F235" t="str" cm="1">
        <f t="array" ref="F235">IFERROR(INDEX('Schwab Positions'!$D$8:$D$10000,SMALL(IF('Schwab Positions'!$E$8:$E$10000=$C$2,ROW('Schwab Positions'!$E$8:$E$10000)-7,""),ROWS($F$19:$F235))),"")</f>
        <v/>
      </c>
      <c r="G235" s="1" t="str" cm="1">
        <f t="array" ref="G235">IFERROR(INDEX('Schwab Positions'!$I$8:$I$10000,SMALL(IF('Schwab Positions'!$E$8:$E$10000=$C$2,ROW('Schwab Positions'!$E$8:$E$10000)-7,""),ROWS($G$19:$G235))),"")</f>
        <v/>
      </c>
      <c r="H235" s="100" t="str">
        <f t="shared" si="13"/>
        <v/>
      </c>
      <c r="I235" s="37" t="str" cm="1">
        <f t="array" ref="I235">IFERROR(IF($D235="Bond",IFERROR(INDEX('Schwab Positions'!$J$8:$J$10000,SMALL(IF('Schwab Positions'!$E$8:$E$10000=$C$2,ROW('Schwab Positions'!$E$8:$E$10000)-7,""),ROWS($I$19:$I235))),""),$F235*$G235),"")</f>
        <v/>
      </c>
    </row>
    <row r="236" spans="2:9">
      <c r="B236" t="str" cm="1">
        <f t="array" ref="B236">IFERROR(INDEX('Schwab Positions'!$A$8:$A$10000,SMALL(IF('Schwab Positions'!$E$8:$E$10000=$C$2,ROW('Schwab Positions'!$E$8:$E$10000)-7,""),ROWS($B$19:B236))),"")</f>
        <v/>
      </c>
      <c r="C236" t="str">
        <f>IFERROR(VLOOKUP(B236,'Schwab Positions'!$A$8:$B$10000,2,FALSE),"")</f>
        <v/>
      </c>
      <c r="D236" s="34" t="str">
        <f>IFERROR(VLOOKUP(B236,'Security Type'!$A$2:$C$1000,3,FALSE),"")</f>
        <v/>
      </c>
      <c r="E236" s="34" t="str">
        <f>IF(B236="","",IF(ISNUMBER(MATCH(B236,'2022 Port'!$D$6:$D$67,0)),VLOOKUP(B236,'Security Type'!$A$3:$D$1000,4,FALSE),"NOT IN PORT"))</f>
        <v/>
      </c>
      <c r="F236" t="str" cm="1">
        <f t="array" ref="F236">IFERROR(INDEX('Schwab Positions'!$D$8:$D$10000,SMALL(IF('Schwab Positions'!$E$8:$E$10000=$C$2,ROW('Schwab Positions'!$E$8:$E$10000)-7,""),ROWS($F$19:$F236))),"")</f>
        <v/>
      </c>
      <c r="G236" s="1" t="str" cm="1">
        <f t="array" ref="G236">IFERROR(INDEX('Schwab Positions'!$I$8:$I$10000,SMALL(IF('Schwab Positions'!$E$8:$E$10000=$C$2,ROW('Schwab Positions'!$E$8:$E$10000)-7,""),ROWS($G$19:$G236))),"")</f>
        <v/>
      </c>
      <c r="H236" s="100" t="str">
        <f t="shared" si="13"/>
        <v/>
      </c>
      <c r="I236" s="37" t="str" cm="1">
        <f t="array" ref="I236">IFERROR(IF($D236="Bond",IFERROR(INDEX('Schwab Positions'!$J$8:$J$10000,SMALL(IF('Schwab Positions'!$E$8:$E$10000=$C$2,ROW('Schwab Positions'!$E$8:$E$10000)-7,""),ROWS($I$19:$I236))),""),$F236*$G236),"")</f>
        <v/>
      </c>
    </row>
    <row r="237" spans="2:9">
      <c r="B237" t="str" cm="1">
        <f t="array" ref="B237">IFERROR(INDEX('Schwab Positions'!$A$8:$A$10000,SMALL(IF('Schwab Positions'!$E$8:$E$10000=$C$2,ROW('Schwab Positions'!$E$8:$E$10000)-7,""),ROWS($B$19:B237))),"")</f>
        <v/>
      </c>
      <c r="C237" t="str">
        <f>IFERROR(VLOOKUP(B237,'Schwab Positions'!$A$8:$B$10000,2,FALSE),"")</f>
        <v/>
      </c>
      <c r="D237" s="34" t="str">
        <f>IFERROR(VLOOKUP(B237,'Security Type'!$A$2:$C$1000,3,FALSE),"")</f>
        <v/>
      </c>
      <c r="E237" s="34" t="str">
        <f>IF(B237="","",IF(ISNUMBER(MATCH(B237,'2022 Port'!$D$6:$D$67,0)),VLOOKUP(B237,'Security Type'!$A$3:$D$1000,4,FALSE),"NOT IN PORT"))</f>
        <v/>
      </c>
      <c r="F237" t="str" cm="1">
        <f t="array" ref="F237">IFERROR(INDEX('Schwab Positions'!$D$8:$D$10000,SMALL(IF('Schwab Positions'!$E$8:$E$10000=$C$2,ROW('Schwab Positions'!$E$8:$E$10000)-7,""),ROWS($F$19:$F237))),"")</f>
        <v/>
      </c>
      <c r="G237" s="1" t="str" cm="1">
        <f t="array" ref="G237">IFERROR(INDEX('Schwab Positions'!$I$8:$I$10000,SMALL(IF('Schwab Positions'!$E$8:$E$10000=$C$2,ROW('Schwab Positions'!$E$8:$E$10000)-7,""),ROWS($G$19:$G237))),"")</f>
        <v/>
      </c>
      <c r="H237" s="100" t="str">
        <f t="shared" si="13"/>
        <v/>
      </c>
      <c r="I237" s="37" t="str" cm="1">
        <f t="array" ref="I237">IFERROR(IF($D237="Bond",IFERROR(INDEX('Schwab Positions'!$J$8:$J$10000,SMALL(IF('Schwab Positions'!$E$8:$E$10000=$C$2,ROW('Schwab Positions'!$E$8:$E$10000)-7,""),ROWS($I$19:$I237))),""),$F237*$G237),"")</f>
        <v/>
      </c>
    </row>
    <row r="238" spans="2:9">
      <c r="B238" t="str" cm="1">
        <f t="array" ref="B238">IFERROR(INDEX('Schwab Positions'!$A$8:$A$10000,SMALL(IF('Schwab Positions'!$E$8:$E$10000=$C$2,ROW('Schwab Positions'!$E$8:$E$10000)-7,""),ROWS($B$19:B238))),"")</f>
        <v/>
      </c>
      <c r="C238" t="str">
        <f>IFERROR(VLOOKUP(B238,'Schwab Positions'!$A$8:$B$10000,2,FALSE),"")</f>
        <v/>
      </c>
      <c r="D238" s="34" t="str">
        <f>IFERROR(VLOOKUP(B238,'Security Type'!$A$2:$C$1000,3,FALSE),"")</f>
        <v/>
      </c>
      <c r="E238" s="34" t="str">
        <f>IF(B238="","",IF(ISNUMBER(MATCH(B238,'2022 Port'!$D$6:$D$67,0)),VLOOKUP(B238,'Security Type'!$A$3:$D$1000,4,FALSE),"NOT IN PORT"))</f>
        <v/>
      </c>
      <c r="F238" t="str" cm="1">
        <f t="array" ref="F238">IFERROR(INDEX('Schwab Positions'!$D$8:$D$10000,SMALL(IF('Schwab Positions'!$E$8:$E$10000=$C$2,ROW('Schwab Positions'!$E$8:$E$10000)-7,""),ROWS($F$19:$F238))),"")</f>
        <v/>
      </c>
      <c r="G238" s="1" t="str" cm="1">
        <f t="array" ref="G238">IFERROR(INDEX('Schwab Positions'!$I$8:$I$10000,SMALL(IF('Schwab Positions'!$E$8:$E$10000=$C$2,ROW('Schwab Positions'!$E$8:$E$10000)-7,""),ROWS($G$19:$G238))),"")</f>
        <v/>
      </c>
      <c r="H238" s="100" t="str">
        <f t="shared" si="13"/>
        <v/>
      </c>
      <c r="I238" s="37" t="str" cm="1">
        <f t="array" ref="I238">IFERROR(IF($D238="Bond",IFERROR(INDEX('Schwab Positions'!$J$8:$J$10000,SMALL(IF('Schwab Positions'!$E$8:$E$10000=$C$2,ROW('Schwab Positions'!$E$8:$E$10000)-7,""),ROWS($I$19:$I238))),""),$F238*$G238),"")</f>
        <v/>
      </c>
    </row>
    <row r="239" spans="2:9">
      <c r="B239" t="str" cm="1">
        <f t="array" ref="B239">IFERROR(INDEX('Schwab Positions'!$A$8:$A$10000,SMALL(IF('Schwab Positions'!$E$8:$E$10000=$C$2,ROW('Schwab Positions'!$E$8:$E$10000)-7,""),ROWS($B$19:B239))),"")</f>
        <v/>
      </c>
      <c r="C239" t="str">
        <f>IFERROR(VLOOKUP(B239,'Schwab Positions'!$A$8:$B$10000,2,FALSE),"")</f>
        <v/>
      </c>
      <c r="D239" s="34" t="str">
        <f>IFERROR(VLOOKUP(B239,'Security Type'!$A$2:$C$1000,3,FALSE),"")</f>
        <v/>
      </c>
      <c r="E239" s="34" t="str">
        <f>IF(B239="","",IF(ISNUMBER(MATCH(B239,'2022 Port'!$D$6:$D$67,0)),VLOOKUP(B239,'Security Type'!$A$3:$D$1000,4,FALSE),"NOT IN PORT"))</f>
        <v/>
      </c>
      <c r="F239" t="str" cm="1">
        <f t="array" ref="F239">IFERROR(INDEX('Schwab Positions'!$D$8:$D$10000,SMALL(IF('Schwab Positions'!$E$8:$E$10000=$C$2,ROW('Schwab Positions'!$E$8:$E$10000)-7,""),ROWS($F$19:$F239))),"")</f>
        <v/>
      </c>
      <c r="G239" s="1" t="str" cm="1">
        <f t="array" ref="G239">IFERROR(INDEX('Schwab Positions'!$I$8:$I$10000,SMALL(IF('Schwab Positions'!$E$8:$E$10000=$C$2,ROW('Schwab Positions'!$E$8:$E$10000)-7,""),ROWS($G$19:$G239))),"")</f>
        <v/>
      </c>
      <c r="H239" s="100" t="str">
        <f t="shared" si="13"/>
        <v/>
      </c>
      <c r="I239" s="37" t="str" cm="1">
        <f t="array" ref="I239">IFERROR(IF($D239="Bond",IFERROR(INDEX('Schwab Positions'!$J$8:$J$10000,SMALL(IF('Schwab Positions'!$E$8:$E$10000=$C$2,ROW('Schwab Positions'!$E$8:$E$10000)-7,""),ROWS($I$19:$I239))),""),$F239*$G239),"")</f>
        <v/>
      </c>
    </row>
    <row r="240" spans="2:9">
      <c r="B240" t="str" cm="1">
        <f t="array" ref="B240">IFERROR(INDEX('Schwab Positions'!$A$8:$A$10000,SMALL(IF('Schwab Positions'!$E$8:$E$10000=$C$2,ROW('Schwab Positions'!$E$8:$E$10000)-7,""),ROWS($B$19:B240))),"")</f>
        <v/>
      </c>
      <c r="C240" t="str">
        <f>IFERROR(VLOOKUP(B240,'Schwab Positions'!$A$8:$B$10000,2,FALSE),"")</f>
        <v/>
      </c>
      <c r="D240" s="34" t="str">
        <f>IFERROR(VLOOKUP(B240,'Security Type'!$A$2:$C$1000,3,FALSE),"")</f>
        <v/>
      </c>
      <c r="E240" s="34" t="str">
        <f>IF(B240="","",IF(ISNUMBER(MATCH(B240,'2022 Port'!$D$6:$D$67,0)),VLOOKUP(B240,'Security Type'!$A$3:$D$1000,4,FALSE),"NOT IN PORT"))</f>
        <v/>
      </c>
      <c r="F240" t="str" cm="1">
        <f t="array" ref="F240">IFERROR(INDEX('Schwab Positions'!$D$8:$D$10000,SMALL(IF('Schwab Positions'!$E$8:$E$10000=$C$2,ROW('Schwab Positions'!$E$8:$E$10000)-7,""),ROWS($F$19:$F240))),"")</f>
        <v/>
      </c>
      <c r="G240" s="1" t="str" cm="1">
        <f t="array" ref="G240">IFERROR(INDEX('Schwab Positions'!$I$8:$I$10000,SMALL(IF('Schwab Positions'!$E$8:$E$10000=$C$2,ROW('Schwab Positions'!$E$8:$E$10000)-7,""),ROWS($G$19:$G240))),"")</f>
        <v/>
      </c>
      <c r="H240" s="100" t="str">
        <f t="shared" si="13"/>
        <v/>
      </c>
      <c r="I240" s="37" t="str" cm="1">
        <f t="array" ref="I240">IFERROR(IF($D240="Bond",IFERROR(INDEX('Schwab Positions'!$J$8:$J$10000,SMALL(IF('Schwab Positions'!$E$8:$E$10000=$C$2,ROW('Schwab Positions'!$E$8:$E$10000)-7,""),ROWS($I$19:$I240))),""),$F240*$G240),"")</f>
        <v/>
      </c>
    </row>
    <row r="241" spans="2:9">
      <c r="B241" t="str" cm="1">
        <f t="array" ref="B241">IFERROR(INDEX('Schwab Positions'!$A$8:$A$10000,SMALL(IF('Schwab Positions'!$E$8:$E$10000=$C$2,ROW('Schwab Positions'!$E$8:$E$10000)-7,""),ROWS($B$19:B241))),"")</f>
        <v/>
      </c>
      <c r="C241" t="str">
        <f>IFERROR(VLOOKUP(B241,'Schwab Positions'!$A$8:$B$10000,2,FALSE),"")</f>
        <v/>
      </c>
      <c r="D241" s="34" t="str">
        <f>IFERROR(VLOOKUP(B241,'Security Type'!$A$2:$C$1000,3,FALSE),"")</f>
        <v/>
      </c>
      <c r="E241" s="34" t="str">
        <f>IF(B241="","",IF(ISNUMBER(MATCH(B241,'2022 Port'!$D$6:$D$67,0)),VLOOKUP(B241,'Security Type'!$A$3:$D$1000,4,FALSE),"NOT IN PORT"))</f>
        <v/>
      </c>
      <c r="F241" t="str" cm="1">
        <f t="array" ref="F241">IFERROR(INDEX('Schwab Positions'!$D$8:$D$10000,SMALL(IF('Schwab Positions'!$E$8:$E$10000=$C$2,ROW('Schwab Positions'!$E$8:$E$10000)-7,""),ROWS($F$19:$F241))),"")</f>
        <v/>
      </c>
      <c r="G241" s="1" t="str" cm="1">
        <f t="array" ref="G241">IFERROR(INDEX('Schwab Positions'!$I$8:$I$10000,SMALL(IF('Schwab Positions'!$E$8:$E$10000=$C$2,ROW('Schwab Positions'!$E$8:$E$10000)-7,""),ROWS($G$19:$G241))),"")</f>
        <v/>
      </c>
      <c r="H241" s="100" t="str">
        <f t="shared" si="13"/>
        <v/>
      </c>
      <c r="I241" s="37" t="str" cm="1">
        <f t="array" ref="I241">IFERROR(IF($D241="Bond",IFERROR(INDEX('Schwab Positions'!$J$8:$J$10000,SMALL(IF('Schwab Positions'!$E$8:$E$10000=$C$2,ROW('Schwab Positions'!$E$8:$E$10000)-7,""),ROWS($I$19:$I241))),""),$F241*$G241),"")</f>
        <v/>
      </c>
    </row>
    <row r="242" spans="2:9">
      <c r="B242" t="str" cm="1">
        <f t="array" ref="B242">IFERROR(INDEX('Schwab Positions'!$A$8:$A$10000,SMALL(IF('Schwab Positions'!$E$8:$E$10000=$C$2,ROW('Schwab Positions'!$E$8:$E$10000)-7,""),ROWS($B$19:B242))),"")</f>
        <v/>
      </c>
      <c r="C242" t="str">
        <f>IFERROR(VLOOKUP(B242,'Schwab Positions'!$A$8:$B$10000,2,FALSE),"")</f>
        <v/>
      </c>
      <c r="D242" s="34" t="str">
        <f>IFERROR(VLOOKUP(B242,'Security Type'!$A$2:$C$1000,3,FALSE),"")</f>
        <v/>
      </c>
      <c r="E242" s="34" t="str">
        <f>IF(B242="","",IF(ISNUMBER(MATCH(B242,'2022 Port'!$D$6:$D$67,0)),VLOOKUP(B242,'Security Type'!$A$3:$D$1000,4,FALSE),"NOT IN PORT"))</f>
        <v/>
      </c>
      <c r="F242" t="str" cm="1">
        <f t="array" ref="F242">IFERROR(INDEX('Schwab Positions'!$D$8:$D$10000,SMALL(IF('Schwab Positions'!$E$8:$E$10000=$C$2,ROW('Schwab Positions'!$E$8:$E$10000)-7,""),ROWS($F$19:$F242))),"")</f>
        <v/>
      </c>
      <c r="G242" s="1" t="str" cm="1">
        <f t="array" ref="G242">IFERROR(INDEX('Schwab Positions'!$I$8:$I$10000,SMALL(IF('Schwab Positions'!$E$8:$E$10000=$C$2,ROW('Schwab Positions'!$E$8:$E$10000)-7,""),ROWS($G$19:$G242))),"")</f>
        <v/>
      </c>
      <c r="H242" s="100" t="str">
        <f t="shared" si="13"/>
        <v/>
      </c>
      <c r="I242" s="37" t="str" cm="1">
        <f t="array" ref="I242">IFERROR(IF($D242="Bond",IFERROR(INDEX('Schwab Positions'!$J$8:$J$10000,SMALL(IF('Schwab Positions'!$E$8:$E$10000=$C$2,ROW('Schwab Positions'!$E$8:$E$10000)-7,""),ROWS($I$19:$I242))),""),$F242*$G242),"")</f>
        <v/>
      </c>
    </row>
    <row r="243" spans="2:9">
      <c r="B243" t="str" cm="1">
        <f t="array" ref="B243">IFERROR(INDEX('Schwab Positions'!$A$8:$A$10000,SMALL(IF('Schwab Positions'!$E$8:$E$10000=$C$2,ROW('Schwab Positions'!$E$8:$E$10000)-7,""),ROWS($B$19:B243))),"")</f>
        <v/>
      </c>
      <c r="C243" t="str">
        <f>IFERROR(VLOOKUP(B243,'Schwab Positions'!$A$8:$B$10000,2,FALSE),"")</f>
        <v/>
      </c>
      <c r="D243" s="34" t="str">
        <f>IFERROR(VLOOKUP(B243,'Security Type'!$A$2:$C$1000,3,FALSE),"")</f>
        <v/>
      </c>
      <c r="E243" s="34" t="str">
        <f>IF(B243="","",IF(ISNUMBER(MATCH(B243,'2022 Port'!$D$6:$D$67,0)),VLOOKUP(B243,'Security Type'!$A$3:$D$1000,4,FALSE),"NOT IN PORT"))</f>
        <v/>
      </c>
      <c r="F243" t="str" cm="1">
        <f t="array" ref="F243">IFERROR(INDEX('Schwab Positions'!$D$8:$D$10000,SMALL(IF('Schwab Positions'!$E$8:$E$10000=$C$2,ROW('Schwab Positions'!$E$8:$E$10000)-7,""),ROWS($F$19:$F243))),"")</f>
        <v/>
      </c>
      <c r="G243" s="1" t="str" cm="1">
        <f t="array" ref="G243">IFERROR(INDEX('Schwab Positions'!$I$8:$I$10000,SMALL(IF('Schwab Positions'!$E$8:$E$10000=$C$2,ROW('Schwab Positions'!$E$8:$E$10000)-7,""),ROWS($G$19:$G243))),"")</f>
        <v/>
      </c>
      <c r="H243" s="100" t="str">
        <f t="shared" si="13"/>
        <v/>
      </c>
      <c r="I243" s="37" t="str" cm="1">
        <f t="array" ref="I243">IFERROR(IF($D243="Bond",IFERROR(INDEX('Schwab Positions'!$J$8:$J$10000,SMALL(IF('Schwab Positions'!$E$8:$E$10000=$C$2,ROW('Schwab Positions'!$E$8:$E$10000)-7,""),ROWS($I$19:$I243))),""),$F243*$G243),"")</f>
        <v/>
      </c>
    </row>
    <row r="244" spans="2:9">
      <c r="B244" t="str" cm="1">
        <f t="array" ref="B244">IFERROR(INDEX('Schwab Positions'!$A$8:$A$10000,SMALL(IF('Schwab Positions'!$E$8:$E$10000=$C$2,ROW('Schwab Positions'!$E$8:$E$10000)-7,""),ROWS($B$19:B244))),"")</f>
        <v/>
      </c>
      <c r="C244" t="str">
        <f>IFERROR(VLOOKUP(B244,'Schwab Positions'!$A$8:$B$10000,2,FALSE),"")</f>
        <v/>
      </c>
      <c r="D244" s="34" t="str">
        <f>IFERROR(VLOOKUP(B244,'Security Type'!$A$2:$C$1000,3,FALSE),"")</f>
        <v/>
      </c>
      <c r="E244" s="34" t="str">
        <f>IF(B244="","",IF(ISNUMBER(MATCH(B244,'2022 Port'!$D$6:$D$67,0)),VLOOKUP(B244,'Security Type'!$A$3:$D$1000,4,FALSE),"NOT IN PORT"))</f>
        <v/>
      </c>
      <c r="F244" t="str" cm="1">
        <f t="array" ref="F244">IFERROR(INDEX('Schwab Positions'!$D$8:$D$10000,SMALL(IF('Schwab Positions'!$E$8:$E$10000=$C$2,ROW('Schwab Positions'!$E$8:$E$10000)-7,""),ROWS($F$19:$F244))),"")</f>
        <v/>
      </c>
      <c r="G244" s="1" t="str" cm="1">
        <f t="array" ref="G244">IFERROR(INDEX('Schwab Positions'!$I$8:$I$10000,SMALL(IF('Schwab Positions'!$E$8:$E$10000=$C$2,ROW('Schwab Positions'!$E$8:$E$10000)-7,""),ROWS($G$19:$G244))),"")</f>
        <v/>
      </c>
      <c r="H244" s="100" t="str">
        <f t="shared" si="13"/>
        <v/>
      </c>
      <c r="I244" s="37" t="str" cm="1">
        <f t="array" ref="I244">IFERROR(IF($D244="Bond",IFERROR(INDEX('Schwab Positions'!$J$8:$J$10000,SMALL(IF('Schwab Positions'!$E$8:$E$10000=$C$2,ROW('Schwab Positions'!$E$8:$E$10000)-7,""),ROWS($I$19:$I244))),""),$F244*$G244),"")</f>
        <v/>
      </c>
    </row>
    <row r="245" spans="2:9">
      <c r="B245" t="str" cm="1">
        <f t="array" ref="B245">IFERROR(INDEX('Schwab Positions'!$A$8:$A$10000,SMALL(IF('Schwab Positions'!$E$8:$E$10000=$C$2,ROW('Schwab Positions'!$E$8:$E$10000)-7,""),ROWS($B$19:B245))),"")</f>
        <v/>
      </c>
      <c r="C245" t="str">
        <f>IFERROR(VLOOKUP(B245,'Schwab Positions'!$A$8:$B$10000,2,FALSE),"")</f>
        <v/>
      </c>
      <c r="D245" s="34" t="str">
        <f>IFERROR(VLOOKUP(B245,'Security Type'!$A$2:$C$1000,3,FALSE),"")</f>
        <v/>
      </c>
      <c r="E245" s="34" t="str">
        <f>IF(B245="","",IF(ISNUMBER(MATCH(B245,'2022 Port'!$D$6:$D$67,0)),VLOOKUP(B245,'Security Type'!$A$3:$D$1000,4,FALSE),"NOT IN PORT"))</f>
        <v/>
      </c>
      <c r="F245" t="str" cm="1">
        <f t="array" ref="F245">IFERROR(INDEX('Schwab Positions'!$D$8:$D$10000,SMALL(IF('Schwab Positions'!$E$8:$E$10000=$C$2,ROW('Schwab Positions'!$E$8:$E$10000)-7,""),ROWS($F$19:$F245))),"")</f>
        <v/>
      </c>
      <c r="G245" s="1" t="str" cm="1">
        <f t="array" ref="G245">IFERROR(INDEX('Schwab Positions'!$I$8:$I$10000,SMALL(IF('Schwab Positions'!$E$8:$E$10000=$C$2,ROW('Schwab Positions'!$E$8:$E$10000)-7,""),ROWS($G$19:$G245))),"")</f>
        <v/>
      </c>
      <c r="H245" s="100" t="str">
        <f t="shared" si="13"/>
        <v/>
      </c>
      <c r="I245" s="37" t="str" cm="1">
        <f t="array" ref="I245">IFERROR(IF($D245="Bond",IFERROR(INDEX('Schwab Positions'!$J$8:$J$10000,SMALL(IF('Schwab Positions'!$E$8:$E$10000=$C$2,ROW('Schwab Positions'!$E$8:$E$10000)-7,""),ROWS($I$19:$I245))),""),$F245*$G245),"")</f>
        <v/>
      </c>
    </row>
    <row r="246" spans="2:9">
      <c r="B246" t="str" cm="1">
        <f t="array" ref="B246">IFERROR(INDEX('Schwab Positions'!$A$8:$A$10000,SMALL(IF('Schwab Positions'!$E$8:$E$10000=$C$2,ROW('Schwab Positions'!$E$8:$E$10000)-7,""),ROWS($B$19:B246))),"")</f>
        <v/>
      </c>
      <c r="C246" t="str">
        <f>IFERROR(VLOOKUP(B246,'Schwab Positions'!$A$8:$B$10000,2,FALSE),"")</f>
        <v/>
      </c>
      <c r="D246" s="34" t="str">
        <f>IFERROR(VLOOKUP(B246,'Security Type'!$A$2:$C$1000,3,FALSE),"")</f>
        <v/>
      </c>
      <c r="E246" s="34" t="str">
        <f>IF(B246="","",IF(ISNUMBER(MATCH(B246,'2022 Port'!$D$6:$D$67,0)),VLOOKUP(B246,'Security Type'!$A$3:$D$1000,4,FALSE),"NOT IN PORT"))</f>
        <v/>
      </c>
      <c r="F246" t="str" cm="1">
        <f t="array" ref="F246">IFERROR(INDEX('Schwab Positions'!$D$8:$D$10000,SMALL(IF('Schwab Positions'!$E$8:$E$10000=$C$2,ROW('Schwab Positions'!$E$8:$E$10000)-7,""),ROWS($F$19:$F246))),"")</f>
        <v/>
      </c>
      <c r="G246" s="1" t="str" cm="1">
        <f t="array" ref="G246">IFERROR(INDEX('Schwab Positions'!$I$8:$I$10000,SMALL(IF('Schwab Positions'!$E$8:$E$10000=$C$2,ROW('Schwab Positions'!$E$8:$E$10000)-7,""),ROWS($G$19:$G246))),"")</f>
        <v/>
      </c>
      <c r="H246" s="100" t="str">
        <f t="shared" si="13"/>
        <v/>
      </c>
      <c r="I246" s="37" t="str" cm="1">
        <f t="array" ref="I246">IFERROR(IF($D246="Bond",IFERROR(INDEX('Schwab Positions'!$J$8:$J$10000,SMALL(IF('Schwab Positions'!$E$8:$E$10000=$C$2,ROW('Schwab Positions'!$E$8:$E$10000)-7,""),ROWS($I$19:$I246))),""),$F246*$G246),"")</f>
        <v/>
      </c>
    </row>
    <row r="247" spans="2:9">
      <c r="B247" t="str" cm="1">
        <f t="array" ref="B247">IFERROR(INDEX('Schwab Positions'!$A$8:$A$10000,SMALL(IF('Schwab Positions'!$E$8:$E$10000=$C$2,ROW('Schwab Positions'!$E$8:$E$10000)-7,""),ROWS($B$19:B247))),"")</f>
        <v/>
      </c>
      <c r="C247" t="str">
        <f>IFERROR(VLOOKUP(B247,'Schwab Positions'!$A$8:$B$10000,2,FALSE),"")</f>
        <v/>
      </c>
      <c r="D247" s="34" t="str">
        <f>IFERROR(VLOOKUP(B247,'Security Type'!$A$2:$C$1000,3,FALSE),"")</f>
        <v/>
      </c>
      <c r="E247" s="34" t="str">
        <f>IF(B247="","",IF(ISNUMBER(MATCH(B247,'2022 Port'!$D$6:$D$67,0)),VLOOKUP(B247,'Security Type'!$A$3:$D$1000,4,FALSE),"NOT IN PORT"))</f>
        <v/>
      </c>
      <c r="F247" t="str" cm="1">
        <f t="array" ref="F247">IFERROR(INDEX('Schwab Positions'!$D$8:$D$10000,SMALL(IF('Schwab Positions'!$E$8:$E$10000=$C$2,ROW('Schwab Positions'!$E$8:$E$10000)-7,""),ROWS($F$19:$F247))),"")</f>
        <v/>
      </c>
      <c r="G247" s="1" t="str" cm="1">
        <f t="array" ref="G247">IFERROR(INDEX('Schwab Positions'!$I$8:$I$10000,SMALL(IF('Schwab Positions'!$E$8:$E$10000=$C$2,ROW('Schwab Positions'!$E$8:$E$10000)-7,""),ROWS($G$19:$G247))),"")</f>
        <v/>
      </c>
      <c r="H247" s="100" t="str">
        <f t="shared" si="13"/>
        <v/>
      </c>
      <c r="I247" s="37" t="str" cm="1">
        <f t="array" ref="I247">IFERROR(IF($D247="Bond",IFERROR(INDEX('Schwab Positions'!$J$8:$J$10000,SMALL(IF('Schwab Positions'!$E$8:$E$10000=$C$2,ROW('Schwab Positions'!$E$8:$E$10000)-7,""),ROWS($I$19:$I247))),""),$F247*$G247),"")</f>
        <v/>
      </c>
    </row>
    <row r="248" spans="2:9">
      <c r="B248" t="str" cm="1">
        <f t="array" ref="B248">IFERROR(INDEX('Schwab Positions'!$A$8:$A$10000,SMALL(IF('Schwab Positions'!$E$8:$E$10000=$C$2,ROW('Schwab Positions'!$E$8:$E$10000)-7,""),ROWS($B$19:B248))),"")</f>
        <v/>
      </c>
      <c r="C248" t="str">
        <f>IFERROR(VLOOKUP(B248,'Schwab Positions'!$A$8:$B$10000,2,FALSE),"")</f>
        <v/>
      </c>
      <c r="D248" s="34" t="str">
        <f>IFERROR(VLOOKUP(B248,'Security Type'!$A$2:$C$1000,3,FALSE),"")</f>
        <v/>
      </c>
      <c r="E248" s="34" t="str">
        <f>IF(B248="","",IF(ISNUMBER(MATCH(B248,'2022 Port'!$D$6:$D$67,0)),VLOOKUP(B248,'Security Type'!$A$3:$D$1000,4,FALSE),"NOT IN PORT"))</f>
        <v/>
      </c>
      <c r="F248" t="str" cm="1">
        <f t="array" ref="F248">IFERROR(INDEX('Schwab Positions'!$D$8:$D$10000,SMALL(IF('Schwab Positions'!$E$8:$E$10000=$C$2,ROW('Schwab Positions'!$E$8:$E$10000)-7,""),ROWS($F$19:$F248))),"")</f>
        <v/>
      </c>
      <c r="G248" s="1" t="str" cm="1">
        <f t="array" ref="G248">IFERROR(INDEX('Schwab Positions'!$I$8:$I$10000,SMALL(IF('Schwab Positions'!$E$8:$E$10000=$C$2,ROW('Schwab Positions'!$E$8:$E$10000)-7,""),ROWS($G$19:$G248))),"")</f>
        <v/>
      </c>
      <c r="H248" s="100" t="str">
        <f t="shared" si="13"/>
        <v/>
      </c>
      <c r="I248" s="37" t="str" cm="1">
        <f t="array" ref="I248">IFERROR(IF($D248="Bond",IFERROR(INDEX('Schwab Positions'!$J$8:$J$10000,SMALL(IF('Schwab Positions'!$E$8:$E$10000=$C$2,ROW('Schwab Positions'!$E$8:$E$10000)-7,""),ROWS($I$19:$I248))),""),$F248*$G248),"")</f>
        <v/>
      </c>
    </row>
    <row r="249" spans="2:9">
      <c r="B249" t="str" cm="1">
        <f t="array" ref="B249">IFERROR(INDEX('Schwab Positions'!$A$8:$A$10000,SMALL(IF('Schwab Positions'!$E$8:$E$10000=$C$2,ROW('Schwab Positions'!$E$8:$E$10000)-7,""),ROWS($B$19:B249))),"")</f>
        <v/>
      </c>
      <c r="C249" t="str">
        <f>IFERROR(VLOOKUP(B249,'Schwab Positions'!$A$8:$B$10000,2,FALSE),"")</f>
        <v/>
      </c>
      <c r="D249" s="34" t="str">
        <f>IFERROR(VLOOKUP(B249,'Security Type'!$A$2:$C$1000,3,FALSE),"")</f>
        <v/>
      </c>
      <c r="E249" s="34" t="str">
        <f>IF(B249="","",IF(ISNUMBER(MATCH(B249,'2022 Port'!$D$6:$D$67,0)),VLOOKUP(B249,'Security Type'!$A$3:$D$1000,4,FALSE),"NOT IN PORT"))</f>
        <v/>
      </c>
      <c r="F249" t="str" cm="1">
        <f t="array" ref="F249">IFERROR(INDEX('Schwab Positions'!$D$8:$D$10000,SMALL(IF('Schwab Positions'!$E$8:$E$10000=$C$2,ROW('Schwab Positions'!$E$8:$E$10000)-7,""),ROWS($F$19:$F249))),"")</f>
        <v/>
      </c>
      <c r="G249" s="1" t="str" cm="1">
        <f t="array" ref="G249">IFERROR(INDEX('Schwab Positions'!$I$8:$I$10000,SMALL(IF('Schwab Positions'!$E$8:$E$10000=$C$2,ROW('Schwab Positions'!$E$8:$E$10000)-7,""),ROWS($G$19:$G249))),"")</f>
        <v/>
      </c>
      <c r="H249" s="100" t="str">
        <f t="shared" si="13"/>
        <v/>
      </c>
      <c r="I249" s="37" t="str" cm="1">
        <f t="array" ref="I249">IFERROR(IF($D249="Bond",IFERROR(INDEX('Schwab Positions'!$J$8:$J$10000,SMALL(IF('Schwab Positions'!$E$8:$E$10000=$C$2,ROW('Schwab Positions'!$E$8:$E$10000)-7,""),ROWS($I$19:$I249))),""),$F249*$G249),"")</f>
        <v/>
      </c>
    </row>
    <row r="250" spans="2:9">
      <c r="B250" t="str" cm="1">
        <f t="array" ref="B250">IFERROR(INDEX('Schwab Positions'!$A$8:$A$10000,SMALL(IF('Schwab Positions'!$E$8:$E$10000=$C$2,ROW('Schwab Positions'!$E$8:$E$10000)-7,""),ROWS($B$19:B250))),"")</f>
        <v/>
      </c>
      <c r="C250" t="str">
        <f>IFERROR(VLOOKUP(B250,'Schwab Positions'!$A$8:$B$10000,2,FALSE),"")</f>
        <v/>
      </c>
      <c r="D250" s="34" t="str">
        <f>IFERROR(VLOOKUP(B250,'Security Type'!$A$2:$C$1000,3,FALSE),"")</f>
        <v/>
      </c>
      <c r="E250" s="34" t="str">
        <f>IF(B250="","",IF(ISNUMBER(MATCH(B250,'2022 Port'!$D$6:$D$67,0)),VLOOKUP(B250,'Security Type'!$A$3:$D$1000,4,FALSE),"NOT IN PORT"))</f>
        <v/>
      </c>
      <c r="F250" t="str" cm="1">
        <f t="array" ref="F250">IFERROR(INDEX('Schwab Positions'!$D$8:$D$10000,SMALL(IF('Schwab Positions'!$E$8:$E$10000=$C$2,ROW('Schwab Positions'!$E$8:$E$10000)-7,""),ROWS($F$19:$F250))),"")</f>
        <v/>
      </c>
      <c r="G250" s="1" t="str" cm="1">
        <f t="array" ref="G250">IFERROR(INDEX('Schwab Positions'!$I$8:$I$10000,SMALL(IF('Schwab Positions'!$E$8:$E$10000=$C$2,ROW('Schwab Positions'!$E$8:$E$10000)-7,""),ROWS($G$19:$G250))),"")</f>
        <v/>
      </c>
      <c r="H250" s="100" t="str">
        <f t="shared" si="13"/>
        <v/>
      </c>
      <c r="I250" s="37" t="str" cm="1">
        <f t="array" ref="I250">IFERROR(IF($D250="Bond",IFERROR(INDEX('Schwab Positions'!$J$8:$J$10000,SMALL(IF('Schwab Positions'!$E$8:$E$10000=$C$2,ROW('Schwab Positions'!$E$8:$E$10000)-7,""),ROWS($I$19:$I250))),""),$F250*$G250),"")</f>
        <v/>
      </c>
    </row>
    <row r="251" spans="2:9">
      <c r="B251" t="str" cm="1">
        <f t="array" ref="B251">IFERROR(INDEX('Schwab Positions'!$A$8:$A$10000,SMALL(IF('Schwab Positions'!$E$8:$E$10000=$C$2,ROW('Schwab Positions'!$E$8:$E$10000)-7,""),ROWS($B$19:B251))),"")</f>
        <v/>
      </c>
      <c r="C251" t="str">
        <f>IFERROR(VLOOKUP(B251,'Schwab Positions'!$A$8:$B$10000,2,FALSE),"")</f>
        <v/>
      </c>
      <c r="D251" s="34" t="str">
        <f>IFERROR(VLOOKUP(B251,'Security Type'!$A$2:$C$1000,3,FALSE),"")</f>
        <v/>
      </c>
      <c r="E251" s="34" t="str">
        <f>IF(B251="","",IF(ISNUMBER(MATCH(B251,'2022 Port'!$D$6:$D$67,0)),VLOOKUP(B251,'Security Type'!$A$3:$D$1000,4,FALSE),"NOT IN PORT"))</f>
        <v/>
      </c>
      <c r="F251" t="str" cm="1">
        <f t="array" ref="F251">IFERROR(INDEX('Schwab Positions'!$D$8:$D$10000,SMALL(IF('Schwab Positions'!$E$8:$E$10000=$C$2,ROW('Schwab Positions'!$E$8:$E$10000)-7,""),ROWS($F$19:$F251))),"")</f>
        <v/>
      </c>
      <c r="G251" s="1" t="str" cm="1">
        <f t="array" ref="G251">IFERROR(INDEX('Schwab Positions'!$I$8:$I$10000,SMALL(IF('Schwab Positions'!$E$8:$E$10000=$C$2,ROW('Schwab Positions'!$E$8:$E$10000)-7,""),ROWS($G$19:$G251))),"")</f>
        <v/>
      </c>
      <c r="H251" s="100" t="str">
        <f t="shared" si="13"/>
        <v/>
      </c>
      <c r="I251" s="37" t="str" cm="1">
        <f t="array" ref="I251">IFERROR(IF($D251="Bond",IFERROR(INDEX('Schwab Positions'!$J$8:$J$10000,SMALL(IF('Schwab Positions'!$E$8:$E$10000=$C$2,ROW('Schwab Positions'!$E$8:$E$10000)-7,""),ROWS($I$19:$I251))),""),$F251*$G251),"")</f>
        <v/>
      </c>
    </row>
    <row r="252" spans="2:9">
      <c r="B252" t="str" cm="1">
        <f t="array" ref="B252">IFERROR(INDEX('Schwab Positions'!$A$8:$A$10000,SMALL(IF('Schwab Positions'!$E$8:$E$10000=$C$2,ROW('Schwab Positions'!$E$8:$E$10000)-7,""),ROWS($B$19:B252))),"")</f>
        <v/>
      </c>
      <c r="C252" t="str">
        <f>IFERROR(VLOOKUP(B252,'Schwab Positions'!$A$8:$B$10000,2,FALSE),"")</f>
        <v/>
      </c>
      <c r="D252" s="34" t="str">
        <f>IFERROR(VLOOKUP(B252,'Security Type'!$A$2:$C$1000,3,FALSE),"")</f>
        <v/>
      </c>
      <c r="E252" s="34" t="str">
        <f>IF(B252="","",IF(ISNUMBER(MATCH(B252,'2022 Port'!$D$6:$D$67,0)),VLOOKUP(B252,'Security Type'!$A$3:$D$1000,4,FALSE),"NOT IN PORT"))</f>
        <v/>
      </c>
      <c r="F252" t="str" cm="1">
        <f t="array" ref="F252">IFERROR(INDEX('Schwab Positions'!$D$8:$D$10000,SMALL(IF('Schwab Positions'!$E$8:$E$10000=$C$2,ROW('Schwab Positions'!$E$8:$E$10000)-7,""),ROWS($F$19:$F252))),"")</f>
        <v/>
      </c>
      <c r="G252" s="1" t="str" cm="1">
        <f t="array" ref="G252">IFERROR(INDEX('Schwab Positions'!$I$8:$I$10000,SMALL(IF('Schwab Positions'!$E$8:$E$10000=$C$2,ROW('Schwab Positions'!$E$8:$E$10000)-7,""),ROWS($G$19:$G252))),"")</f>
        <v/>
      </c>
      <c r="H252" s="100" t="str">
        <f t="shared" si="13"/>
        <v/>
      </c>
      <c r="I252" s="37" t="str" cm="1">
        <f t="array" ref="I252">IFERROR(IF($D252="Bond",IFERROR(INDEX('Schwab Positions'!$J$8:$J$10000,SMALL(IF('Schwab Positions'!$E$8:$E$10000=$C$2,ROW('Schwab Positions'!$E$8:$E$10000)-7,""),ROWS($I$19:$I252))),""),$F252*$G252),"")</f>
        <v/>
      </c>
    </row>
    <row r="253" spans="2:9">
      <c r="B253" t="str" cm="1">
        <f t="array" ref="B253">IFERROR(INDEX('Schwab Positions'!$A$8:$A$10000,SMALL(IF('Schwab Positions'!$E$8:$E$10000=$C$2,ROW('Schwab Positions'!$E$8:$E$10000)-7,""),ROWS($B$19:B253))),"")</f>
        <v/>
      </c>
      <c r="C253" t="str">
        <f>IFERROR(VLOOKUP(B253,'Schwab Positions'!$A$8:$B$10000,2,FALSE),"")</f>
        <v/>
      </c>
      <c r="D253" s="34" t="str">
        <f>IFERROR(VLOOKUP(B253,'Security Type'!$A$2:$C$1000,3,FALSE),"")</f>
        <v/>
      </c>
      <c r="E253" s="34" t="str">
        <f>IF(B253="","",IF(ISNUMBER(MATCH(B253,'2022 Port'!$D$6:$D$67,0)),VLOOKUP(B253,'Security Type'!$A$3:$D$1000,4,FALSE),"NOT IN PORT"))</f>
        <v/>
      </c>
      <c r="F253" t="str" cm="1">
        <f t="array" ref="F253">IFERROR(INDEX('Schwab Positions'!$D$8:$D$10000,SMALL(IF('Schwab Positions'!$E$8:$E$10000=$C$2,ROW('Schwab Positions'!$E$8:$E$10000)-7,""),ROWS($F$19:$F253))),"")</f>
        <v/>
      </c>
      <c r="G253" s="1" t="str" cm="1">
        <f t="array" ref="G253">IFERROR(INDEX('Schwab Positions'!$I$8:$I$10000,SMALL(IF('Schwab Positions'!$E$8:$E$10000=$C$2,ROW('Schwab Positions'!$E$8:$E$10000)-7,""),ROWS($G$19:$G253))),"")</f>
        <v/>
      </c>
      <c r="H253" s="100" t="str">
        <f t="shared" si="13"/>
        <v/>
      </c>
      <c r="I253" s="37" t="str" cm="1">
        <f t="array" ref="I253">IFERROR(IF($D253="Bond",IFERROR(INDEX('Schwab Positions'!$J$8:$J$10000,SMALL(IF('Schwab Positions'!$E$8:$E$10000=$C$2,ROW('Schwab Positions'!$E$8:$E$10000)-7,""),ROWS($I$19:$I253))),""),$F253*$G253),"")</f>
        <v/>
      </c>
    </row>
    <row r="254" spans="2:9">
      <c r="B254" t="str" cm="1">
        <f t="array" ref="B254">IFERROR(INDEX('Schwab Positions'!$A$8:$A$10000,SMALL(IF('Schwab Positions'!$E$8:$E$10000=$C$2,ROW('Schwab Positions'!$E$8:$E$10000)-7,""),ROWS($B$19:B254))),"")</f>
        <v/>
      </c>
      <c r="C254" t="str">
        <f>IFERROR(VLOOKUP(B254,'Schwab Positions'!$A$8:$B$10000,2,FALSE),"")</f>
        <v/>
      </c>
      <c r="D254" s="34" t="str">
        <f>IFERROR(VLOOKUP(B254,'Security Type'!$A$2:$C$1000,3,FALSE),"")</f>
        <v/>
      </c>
      <c r="E254" s="34" t="str">
        <f>IF(B254="","",IF(ISNUMBER(MATCH(B254,'2022 Port'!$D$6:$D$67,0)),VLOOKUP(B254,'Security Type'!$A$3:$D$1000,4,FALSE),"NOT IN PORT"))</f>
        <v/>
      </c>
      <c r="F254" t="str" cm="1">
        <f t="array" ref="F254">IFERROR(INDEX('Schwab Positions'!$D$8:$D$10000,SMALL(IF('Schwab Positions'!$E$8:$E$10000=$C$2,ROW('Schwab Positions'!$E$8:$E$10000)-7,""),ROWS($F$19:$F254))),"")</f>
        <v/>
      </c>
      <c r="G254" s="1" t="str" cm="1">
        <f t="array" ref="G254">IFERROR(INDEX('Schwab Positions'!$I$8:$I$10000,SMALL(IF('Schwab Positions'!$E$8:$E$10000=$C$2,ROW('Schwab Positions'!$E$8:$E$10000)-7,""),ROWS($G$19:$G254))),"")</f>
        <v/>
      </c>
      <c r="H254" s="100" t="str">
        <f t="shared" si="13"/>
        <v/>
      </c>
      <c r="I254" s="37" t="str" cm="1">
        <f t="array" ref="I254">IFERROR(IF($D254="Bond",IFERROR(INDEX('Schwab Positions'!$J$8:$J$10000,SMALL(IF('Schwab Positions'!$E$8:$E$10000=$C$2,ROW('Schwab Positions'!$E$8:$E$10000)-7,""),ROWS($I$19:$I254))),""),$F254*$G254),"")</f>
        <v/>
      </c>
    </row>
    <row r="255" spans="2:9">
      <c r="B255" t="str" cm="1">
        <f t="array" ref="B255">IFERROR(INDEX('Schwab Positions'!$A$8:$A$10000,SMALL(IF('Schwab Positions'!$E$8:$E$10000=$C$2,ROW('Schwab Positions'!$E$8:$E$10000)-7,""),ROWS($B$19:B255))),"")</f>
        <v/>
      </c>
      <c r="C255" t="str">
        <f>IFERROR(VLOOKUP(B255,'Schwab Positions'!$A$8:$B$10000,2,FALSE),"")</f>
        <v/>
      </c>
      <c r="D255" s="34" t="str">
        <f>IFERROR(VLOOKUP(B255,'Security Type'!$A$2:$C$1000,3,FALSE),"")</f>
        <v/>
      </c>
      <c r="E255" s="34" t="str">
        <f>IF(B255="","",IF(ISNUMBER(MATCH(B255,'2022 Port'!$D$6:$D$67,0)),VLOOKUP(B255,'Security Type'!$A$3:$D$1000,4,FALSE),"NOT IN PORT"))</f>
        <v/>
      </c>
      <c r="F255" t="str" cm="1">
        <f t="array" ref="F255">IFERROR(INDEX('Schwab Positions'!$D$8:$D$10000,SMALL(IF('Schwab Positions'!$E$8:$E$10000=$C$2,ROW('Schwab Positions'!$E$8:$E$10000)-7,""),ROWS($F$19:$F255))),"")</f>
        <v/>
      </c>
      <c r="G255" s="1" t="str" cm="1">
        <f t="array" ref="G255">IFERROR(INDEX('Schwab Positions'!$I$8:$I$10000,SMALL(IF('Schwab Positions'!$E$8:$E$10000=$C$2,ROW('Schwab Positions'!$E$8:$E$10000)-7,""),ROWS($G$19:$G255))),"")</f>
        <v/>
      </c>
      <c r="H255" s="100" t="str">
        <f t="shared" si="13"/>
        <v/>
      </c>
      <c r="I255" s="37" t="str" cm="1">
        <f t="array" ref="I255">IFERROR(IF($D255="Bond",IFERROR(INDEX('Schwab Positions'!$J$8:$J$10000,SMALL(IF('Schwab Positions'!$E$8:$E$10000=$C$2,ROW('Schwab Positions'!$E$8:$E$10000)-7,""),ROWS($I$19:$I255))),""),$F255*$G255),"")</f>
        <v/>
      </c>
    </row>
    <row r="256" spans="2:9">
      <c r="B256" t="str" cm="1">
        <f t="array" ref="B256">IFERROR(INDEX('Schwab Positions'!$A$8:$A$10000,SMALL(IF('Schwab Positions'!$E$8:$E$10000=$C$2,ROW('Schwab Positions'!$E$8:$E$10000)-7,""),ROWS($B$19:B256))),"")</f>
        <v/>
      </c>
      <c r="C256" t="str">
        <f>IFERROR(VLOOKUP(B256,'Schwab Positions'!$A$8:$B$10000,2,FALSE),"")</f>
        <v/>
      </c>
      <c r="D256" s="34" t="str">
        <f>IFERROR(VLOOKUP(B256,'Security Type'!$A$2:$C$1000,3,FALSE),"")</f>
        <v/>
      </c>
      <c r="E256" s="34" t="str">
        <f>IF(B256="","",IF(ISNUMBER(MATCH(B256,'2022 Port'!$D$6:$D$67,0)),VLOOKUP(B256,'Security Type'!$A$3:$D$1000,4,FALSE),"NOT IN PORT"))</f>
        <v/>
      </c>
      <c r="F256" t="str" cm="1">
        <f t="array" ref="F256">IFERROR(INDEX('Schwab Positions'!$D$8:$D$10000,SMALL(IF('Schwab Positions'!$E$8:$E$10000=$C$2,ROW('Schwab Positions'!$E$8:$E$10000)-7,""),ROWS($F$19:$F256))),"")</f>
        <v/>
      </c>
      <c r="G256" s="1" t="str" cm="1">
        <f t="array" ref="G256">IFERROR(INDEX('Schwab Positions'!$I$8:$I$10000,SMALL(IF('Schwab Positions'!$E$8:$E$10000=$C$2,ROW('Schwab Positions'!$E$8:$E$10000)-7,""),ROWS($G$19:$G256))),"")</f>
        <v/>
      </c>
      <c r="H256" s="100" t="str">
        <f t="shared" si="13"/>
        <v/>
      </c>
      <c r="I256" s="37" t="str" cm="1">
        <f t="array" ref="I256">IFERROR(IF($D256="Bond",IFERROR(INDEX('Schwab Positions'!$J$8:$J$10000,SMALL(IF('Schwab Positions'!$E$8:$E$10000=$C$2,ROW('Schwab Positions'!$E$8:$E$10000)-7,""),ROWS($I$19:$I256))),""),$F256*$G256),"")</f>
        <v/>
      </c>
    </row>
    <row r="257" spans="2:9">
      <c r="B257" t="str" cm="1">
        <f t="array" ref="B257">IFERROR(INDEX('Schwab Positions'!$A$8:$A$10000,SMALL(IF('Schwab Positions'!$E$8:$E$10000=$C$2,ROW('Schwab Positions'!$E$8:$E$10000)-7,""),ROWS($B$19:B257))),"")</f>
        <v/>
      </c>
      <c r="C257" t="str">
        <f>IFERROR(VLOOKUP(B257,'Schwab Positions'!$A$8:$B$10000,2,FALSE),"")</f>
        <v/>
      </c>
      <c r="D257" s="34" t="str">
        <f>IFERROR(VLOOKUP(B257,'Security Type'!$A$2:$C$1000,3,FALSE),"")</f>
        <v/>
      </c>
      <c r="E257" s="34" t="str">
        <f>IF(B257="","",IF(ISNUMBER(MATCH(B257,'2022 Port'!$D$6:$D$67,0)),VLOOKUP(B257,'Security Type'!$A$3:$D$1000,4,FALSE),"NOT IN PORT"))</f>
        <v/>
      </c>
      <c r="F257" t="str" cm="1">
        <f t="array" ref="F257">IFERROR(INDEX('Schwab Positions'!$D$8:$D$10000,SMALL(IF('Schwab Positions'!$E$8:$E$10000=$C$2,ROW('Schwab Positions'!$E$8:$E$10000)-7,""),ROWS($F$19:$F257))),"")</f>
        <v/>
      </c>
      <c r="G257" s="1" t="str" cm="1">
        <f t="array" ref="G257">IFERROR(INDEX('Schwab Positions'!$I$8:$I$10000,SMALL(IF('Schwab Positions'!$E$8:$E$10000=$C$2,ROW('Schwab Positions'!$E$8:$E$10000)-7,""),ROWS($G$19:$G257))),"")</f>
        <v/>
      </c>
      <c r="H257" s="100" t="str">
        <f t="shared" si="13"/>
        <v/>
      </c>
      <c r="I257" s="37" t="str" cm="1">
        <f t="array" ref="I257">IFERROR(IF($D257="Bond",IFERROR(INDEX('Schwab Positions'!$J$8:$J$10000,SMALL(IF('Schwab Positions'!$E$8:$E$10000=$C$2,ROW('Schwab Positions'!$E$8:$E$10000)-7,""),ROWS($I$19:$I257))),""),$F257*$G257),"")</f>
        <v/>
      </c>
    </row>
    <row r="258" spans="2:9">
      <c r="B258" t="str" cm="1">
        <f t="array" ref="B258">IFERROR(INDEX('Schwab Positions'!$A$8:$A$10000,SMALL(IF('Schwab Positions'!$E$8:$E$10000=$C$2,ROW('Schwab Positions'!$E$8:$E$10000)-7,""),ROWS($B$19:B258))),"")</f>
        <v/>
      </c>
      <c r="C258" t="str">
        <f>IFERROR(VLOOKUP(B258,'Schwab Positions'!$A$8:$B$10000,2,FALSE),"")</f>
        <v/>
      </c>
      <c r="D258" s="34" t="str">
        <f>IFERROR(VLOOKUP(B258,'Security Type'!$A$2:$C$1000,3,FALSE),"")</f>
        <v/>
      </c>
      <c r="E258" s="34" t="str">
        <f>IF(B258="","",IF(ISNUMBER(MATCH(B258,'2022 Port'!$D$6:$D$67,0)),VLOOKUP(B258,'Security Type'!$A$3:$D$1000,4,FALSE),"NOT IN PORT"))</f>
        <v/>
      </c>
      <c r="F258" t="str" cm="1">
        <f t="array" ref="F258">IFERROR(INDEX('Schwab Positions'!$D$8:$D$10000,SMALL(IF('Schwab Positions'!$E$8:$E$10000=$C$2,ROW('Schwab Positions'!$E$8:$E$10000)-7,""),ROWS($F$19:$F258))),"")</f>
        <v/>
      </c>
      <c r="G258" s="1" t="str" cm="1">
        <f t="array" ref="G258">IFERROR(INDEX('Schwab Positions'!$I$8:$I$10000,SMALL(IF('Schwab Positions'!$E$8:$E$10000=$C$2,ROW('Schwab Positions'!$E$8:$E$10000)-7,""),ROWS($G$19:$G258))),"")</f>
        <v/>
      </c>
      <c r="H258" s="100" t="str">
        <f t="shared" si="13"/>
        <v/>
      </c>
      <c r="I258" s="37" t="str" cm="1">
        <f t="array" ref="I258">IFERROR(IF($D258="Bond",IFERROR(INDEX('Schwab Positions'!$J$8:$J$10000,SMALL(IF('Schwab Positions'!$E$8:$E$10000=$C$2,ROW('Schwab Positions'!$E$8:$E$10000)-7,""),ROWS($I$19:$I258))),""),$F258*$G258),"")</f>
        <v/>
      </c>
    </row>
    <row r="259" spans="2:9">
      <c r="B259" t="str" cm="1">
        <f t="array" ref="B259">IFERROR(INDEX('Schwab Positions'!$A$8:$A$10000,SMALL(IF('Schwab Positions'!$E$8:$E$10000=$C$2,ROW('Schwab Positions'!$E$8:$E$10000)-7,""),ROWS($B$19:B259))),"")</f>
        <v/>
      </c>
      <c r="C259" t="str">
        <f>IFERROR(VLOOKUP(B259,'Schwab Positions'!$A$8:$B$10000,2,FALSE),"")</f>
        <v/>
      </c>
      <c r="D259" s="34" t="str">
        <f>IFERROR(VLOOKUP(B259,'Security Type'!$A$2:$C$1000,3,FALSE),"")</f>
        <v/>
      </c>
      <c r="E259" s="34" t="str">
        <f>IF(B259="","",IF(ISNUMBER(MATCH(B259,'2022 Port'!$D$6:$D$67,0)),VLOOKUP(B259,'Security Type'!$A$3:$D$1000,4,FALSE),"NOT IN PORT"))</f>
        <v/>
      </c>
      <c r="F259" t="str" cm="1">
        <f t="array" ref="F259">IFERROR(INDEX('Schwab Positions'!$D$8:$D$10000,SMALL(IF('Schwab Positions'!$E$8:$E$10000=$C$2,ROW('Schwab Positions'!$E$8:$E$10000)-7,""),ROWS($F$19:$F259))),"")</f>
        <v/>
      </c>
      <c r="G259" s="1" t="str" cm="1">
        <f t="array" ref="G259">IFERROR(INDEX('Schwab Positions'!$I$8:$I$10000,SMALL(IF('Schwab Positions'!$E$8:$E$10000=$C$2,ROW('Schwab Positions'!$E$8:$E$10000)-7,""),ROWS($G$19:$G259))),"")</f>
        <v/>
      </c>
      <c r="H259" s="100" t="str">
        <f t="shared" si="13"/>
        <v/>
      </c>
      <c r="I259" s="37" t="str" cm="1">
        <f t="array" ref="I259">IFERROR(IF($D259="Bond",IFERROR(INDEX('Schwab Positions'!$J$8:$J$10000,SMALL(IF('Schwab Positions'!$E$8:$E$10000=$C$2,ROW('Schwab Positions'!$E$8:$E$10000)-7,""),ROWS($I$19:$I259))),""),$F259*$G259),"")</f>
        <v/>
      </c>
    </row>
    <row r="260" spans="2:9">
      <c r="B260" t="str" cm="1">
        <f t="array" ref="B260">IFERROR(INDEX('Schwab Positions'!$A$8:$A$10000,SMALL(IF('Schwab Positions'!$E$8:$E$10000=$C$2,ROW('Schwab Positions'!$E$8:$E$10000)-7,""),ROWS($B$19:B260))),"")</f>
        <v/>
      </c>
      <c r="C260" t="str">
        <f>IFERROR(VLOOKUP(B260,'Schwab Positions'!$A$8:$B$10000,2,FALSE),"")</f>
        <v/>
      </c>
      <c r="D260" s="34" t="str">
        <f>IFERROR(VLOOKUP(B260,'Security Type'!$A$2:$C$1000,3,FALSE),"")</f>
        <v/>
      </c>
      <c r="E260" s="34" t="str">
        <f>IF(B260="","",IF(ISNUMBER(MATCH(B260,'2022 Port'!$D$6:$D$67,0)),VLOOKUP(B260,'Security Type'!$A$3:$D$1000,4,FALSE),"NOT IN PORT"))</f>
        <v/>
      </c>
      <c r="F260" t="str" cm="1">
        <f t="array" ref="F260">IFERROR(INDEX('Schwab Positions'!$D$8:$D$10000,SMALL(IF('Schwab Positions'!$E$8:$E$10000=$C$2,ROW('Schwab Positions'!$E$8:$E$10000)-7,""),ROWS($F$19:$F260))),"")</f>
        <v/>
      </c>
      <c r="G260" s="1" t="str" cm="1">
        <f t="array" ref="G260">IFERROR(INDEX('Schwab Positions'!$I$8:$I$10000,SMALL(IF('Schwab Positions'!$E$8:$E$10000=$C$2,ROW('Schwab Positions'!$E$8:$E$10000)-7,""),ROWS($G$19:$G260))),"")</f>
        <v/>
      </c>
      <c r="H260" s="100" t="str">
        <f t="shared" si="13"/>
        <v/>
      </c>
      <c r="I260" s="37" t="str" cm="1">
        <f t="array" ref="I260">IFERROR(IF($D260="Bond",IFERROR(INDEX('Schwab Positions'!$J$8:$J$10000,SMALL(IF('Schwab Positions'!$E$8:$E$10000=$C$2,ROW('Schwab Positions'!$E$8:$E$10000)-7,""),ROWS($I$19:$I260))),""),$F260*$G260),"")</f>
        <v/>
      </c>
    </row>
    <row r="261" spans="2:9">
      <c r="B261" t="str" cm="1">
        <f t="array" ref="B261">IFERROR(INDEX('Schwab Positions'!$A$8:$A$10000,SMALL(IF('Schwab Positions'!$E$8:$E$10000=$C$2,ROW('Schwab Positions'!$E$8:$E$10000)-7,""),ROWS($B$19:B261))),"")</f>
        <v/>
      </c>
      <c r="C261" t="str">
        <f>IFERROR(VLOOKUP(B261,'Schwab Positions'!$A$8:$B$10000,2,FALSE),"")</f>
        <v/>
      </c>
      <c r="D261" s="34" t="str">
        <f>IFERROR(VLOOKUP(B261,'Security Type'!$A$2:$C$1000,3,FALSE),"")</f>
        <v/>
      </c>
      <c r="E261" s="34" t="str">
        <f>IF(B261="","",IF(ISNUMBER(MATCH(B261,'2022 Port'!$D$6:$D$67,0)),VLOOKUP(B261,'Security Type'!$A$3:$D$1000,4,FALSE),"NOT IN PORT"))</f>
        <v/>
      </c>
      <c r="F261" t="str" cm="1">
        <f t="array" ref="F261">IFERROR(INDEX('Schwab Positions'!$D$8:$D$10000,SMALL(IF('Schwab Positions'!$E$8:$E$10000=$C$2,ROW('Schwab Positions'!$E$8:$E$10000)-7,""),ROWS($F$19:$F261))),"")</f>
        <v/>
      </c>
      <c r="G261" s="1" t="str" cm="1">
        <f t="array" ref="G261">IFERROR(INDEX('Schwab Positions'!$I$8:$I$10000,SMALL(IF('Schwab Positions'!$E$8:$E$10000=$C$2,ROW('Schwab Positions'!$E$8:$E$10000)-7,""),ROWS($G$19:$G261))),"")</f>
        <v/>
      </c>
      <c r="H261" s="100" t="str">
        <f t="shared" si="13"/>
        <v/>
      </c>
      <c r="I261" s="37" t="str" cm="1">
        <f t="array" ref="I261">IFERROR(IF($D261="Bond",IFERROR(INDEX('Schwab Positions'!$J$8:$J$10000,SMALL(IF('Schwab Positions'!$E$8:$E$10000=$C$2,ROW('Schwab Positions'!$E$8:$E$10000)-7,""),ROWS($I$19:$I261))),""),$F261*$G261),"")</f>
        <v/>
      </c>
    </row>
    <row r="262" spans="2:9">
      <c r="B262" t="str" cm="1">
        <f t="array" ref="B262">IFERROR(INDEX('Schwab Positions'!$A$8:$A$10000,SMALL(IF('Schwab Positions'!$E$8:$E$10000=$C$2,ROW('Schwab Positions'!$E$8:$E$10000)-7,""),ROWS($B$19:B262))),"")</f>
        <v/>
      </c>
      <c r="C262" t="str">
        <f>IFERROR(VLOOKUP(B262,'Schwab Positions'!$A$8:$B$10000,2,FALSE),"")</f>
        <v/>
      </c>
      <c r="D262" s="34" t="str">
        <f>IFERROR(VLOOKUP(B262,'Security Type'!$A$2:$C$1000,3,FALSE),"")</f>
        <v/>
      </c>
      <c r="E262" s="34" t="str">
        <f>IF(B262="","",IF(ISNUMBER(MATCH(B262,'2022 Port'!$D$6:$D$67,0)),VLOOKUP(B262,'Security Type'!$A$3:$D$1000,4,FALSE),"NOT IN PORT"))</f>
        <v/>
      </c>
      <c r="F262" t="str" cm="1">
        <f t="array" ref="F262">IFERROR(INDEX('Schwab Positions'!$D$8:$D$10000,SMALL(IF('Schwab Positions'!$E$8:$E$10000=$C$2,ROW('Schwab Positions'!$E$8:$E$10000)-7,""),ROWS($F$19:$F262))),"")</f>
        <v/>
      </c>
      <c r="G262" s="1" t="str" cm="1">
        <f t="array" ref="G262">IFERROR(INDEX('Schwab Positions'!$I$8:$I$10000,SMALL(IF('Schwab Positions'!$E$8:$E$10000=$C$2,ROW('Schwab Positions'!$E$8:$E$10000)-7,""),ROWS($G$19:$G262))),"")</f>
        <v/>
      </c>
      <c r="H262" s="100" t="str">
        <f t="shared" si="13"/>
        <v/>
      </c>
      <c r="I262" s="37" t="str" cm="1">
        <f t="array" ref="I262">IFERROR(IF($D262="Bond",IFERROR(INDEX('Schwab Positions'!$J$8:$J$10000,SMALL(IF('Schwab Positions'!$E$8:$E$10000=$C$2,ROW('Schwab Positions'!$E$8:$E$10000)-7,""),ROWS($I$19:$I262))),""),$F262*$G262),"")</f>
        <v/>
      </c>
    </row>
    <row r="263" spans="2:9">
      <c r="B263" t="str" cm="1">
        <f t="array" ref="B263">IFERROR(INDEX('Schwab Positions'!$A$8:$A$10000,SMALL(IF('Schwab Positions'!$E$8:$E$10000=$C$2,ROW('Schwab Positions'!$E$8:$E$10000)-7,""),ROWS($B$19:B263))),"")</f>
        <v/>
      </c>
      <c r="C263" t="str">
        <f>IFERROR(VLOOKUP(B263,'Schwab Positions'!$A$8:$B$10000,2,FALSE),"")</f>
        <v/>
      </c>
      <c r="D263" s="34" t="str">
        <f>IFERROR(VLOOKUP(B263,'Security Type'!$A$2:$C$1000,3,FALSE),"")</f>
        <v/>
      </c>
      <c r="E263" s="34" t="str">
        <f>IF(B263="","",IF(ISNUMBER(MATCH(B263,'2022 Port'!$D$6:$D$67,0)),VLOOKUP(B263,'Security Type'!$A$3:$D$1000,4,FALSE),"NOT IN PORT"))</f>
        <v/>
      </c>
      <c r="F263" t="str" cm="1">
        <f t="array" ref="F263">IFERROR(INDEX('Schwab Positions'!$D$8:$D$10000,SMALL(IF('Schwab Positions'!$E$8:$E$10000=$C$2,ROW('Schwab Positions'!$E$8:$E$10000)-7,""),ROWS($F$19:$F263))),"")</f>
        <v/>
      </c>
      <c r="G263" s="1" t="str" cm="1">
        <f t="array" ref="G263">IFERROR(INDEX('Schwab Positions'!$I$8:$I$10000,SMALL(IF('Schwab Positions'!$E$8:$E$10000=$C$2,ROW('Schwab Positions'!$E$8:$E$10000)-7,""),ROWS($G$19:$G263))),"")</f>
        <v/>
      </c>
      <c r="H263" s="100" t="str">
        <f t="shared" si="13"/>
        <v/>
      </c>
      <c r="I263" s="37" t="str" cm="1">
        <f t="array" ref="I263">IFERROR(IF($D263="Bond",IFERROR(INDEX('Schwab Positions'!$J$8:$J$10000,SMALL(IF('Schwab Positions'!$E$8:$E$10000=$C$2,ROW('Schwab Positions'!$E$8:$E$10000)-7,""),ROWS($I$19:$I263))),""),$F263*$G263),"")</f>
        <v/>
      </c>
    </row>
    <row r="264" spans="2:9">
      <c r="B264" t="str" cm="1">
        <f t="array" ref="B264">IFERROR(INDEX('Schwab Positions'!$A$8:$A$10000,SMALL(IF('Schwab Positions'!$E$8:$E$10000=$C$2,ROW('Schwab Positions'!$E$8:$E$10000)-7,""),ROWS($B$19:B264))),"")</f>
        <v/>
      </c>
      <c r="C264" t="str">
        <f>IFERROR(VLOOKUP(B264,'Schwab Positions'!$A$8:$B$10000,2,FALSE),"")</f>
        <v/>
      </c>
      <c r="D264" s="34" t="str">
        <f>IFERROR(VLOOKUP(B264,'Security Type'!$A$2:$C$1000,3,FALSE),"")</f>
        <v/>
      </c>
      <c r="E264" s="34" t="str">
        <f>IF(B264="","",IF(ISNUMBER(MATCH(B264,'2022 Port'!$D$6:$D$67,0)),VLOOKUP(B264,'Security Type'!$A$3:$D$1000,4,FALSE),"NOT IN PORT"))</f>
        <v/>
      </c>
      <c r="F264" t="str" cm="1">
        <f t="array" ref="F264">IFERROR(INDEX('Schwab Positions'!$D$8:$D$10000,SMALL(IF('Schwab Positions'!$E$8:$E$10000=$C$2,ROW('Schwab Positions'!$E$8:$E$10000)-7,""),ROWS($F$19:$F264))),"")</f>
        <v/>
      </c>
      <c r="G264" s="1" t="str" cm="1">
        <f t="array" ref="G264">IFERROR(INDEX('Schwab Positions'!$I$8:$I$10000,SMALL(IF('Schwab Positions'!$E$8:$E$10000=$C$2,ROW('Schwab Positions'!$E$8:$E$10000)-7,""),ROWS($G$19:$G264))),"")</f>
        <v/>
      </c>
      <c r="H264" s="100" t="str">
        <f t="shared" si="13"/>
        <v/>
      </c>
      <c r="I264" s="37" t="str" cm="1">
        <f t="array" ref="I264">IFERROR(IF($D264="Bond",IFERROR(INDEX('Schwab Positions'!$J$8:$J$10000,SMALL(IF('Schwab Positions'!$E$8:$E$10000=$C$2,ROW('Schwab Positions'!$E$8:$E$10000)-7,""),ROWS($I$19:$I264))),""),$F264*$G264),"")</f>
        <v/>
      </c>
    </row>
    <row r="265" spans="2:9">
      <c r="B265" t="str" cm="1">
        <f t="array" ref="B265">IFERROR(INDEX('Schwab Positions'!$A$8:$A$10000,SMALL(IF('Schwab Positions'!$E$8:$E$10000=$C$2,ROW('Schwab Positions'!$E$8:$E$10000)-7,""),ROWS($B$19:B265))),"")</f>
        <v/>
      </c>
      <c r="C265" t="str">
        <f>IFERROR(VLOOKUP(B265,'Schwab Positions'!$A$8:$B$10000,2,FALSE),"")</f>
        <v/>
      </c>
      <c r="D265" s="34" t="str">
        <f>IFERROR(VLOOKUP(B265,'Security Type'!$A$2:$C$1000,3,FALSE),"")</f>
        <v/>
      </c>
      <c r="E265" s="34" t="str">
        <f>IF(B265="","",IF(ISNUMBER(MATCH(B265,'2022 Port'!$D$6:$D$67,0)),VLOOKUP(B265,'Security Type'!$A$3:$D$1000,4,FALSE),"NOT IN PORT"))</f>
        <v/>
      </c>
      <c r="F265" t="str" cm="1">
        <f t="array" ref="F265">IFERROR(INDEX('Schwab Positions'!$D$8:$D$10000,SMALL(IF('Schwab Positions'!$E$8:$E$10000=$C$2,ROW('Schwab Positions'!$E$8:$E$10000)-7,""),ROWS($F$19:$F265))),"")</f>
        <v/>
      </c>
      <c r="G265" s="1" t="str" cm="1">
        <f t="array" ref="G265">IFERROR(INDEX('Schwab Positions'!$I$8:$I$10000,SMALL(IF('Schwab Positions'!$E$8:$E$10000=$C$2,ROW('Schwab Positions'!$E$8:$E$10000)-7,""),ROWS($G$19:$G265))),"")</f>
        <v/>
      </c>
      <c r="H265" s="100" t="str">
        <f t="shared" si="13"/>
        <v/>
      </c>
      <c r="I265" s="37" t="str" cm="1">
        <f t="array" ref="I265">IFERROR(IF($D265="Bond",IFERROR(INDEX('Schwab Positions'!$J$8:$J$10000,SMALL(IF('Schwab Positions'!$E$8:$E$10000=$C$2,ROW('Schwab Positions'!$E$8:$E$10000)-7,""),ROWS($I$19:$I265))),""),$F265*$G265),"")</f>
        <v/>
      </c>
    </row>
    <row r="266" spans="2:9">
      <c r="B266" t="str" cm="1">
        <f t="array" ref="B266">IFERROR(INDEX('Schwab Positions'!$A$8:$A$10000,SMALL(IF('Schwab Positions'!$E$8:$E$10000=$C$2,ROW('Schwab Positions'!$E$8:$E$10000)-7,""),ROWS($B$19:B266))),"")</f>
        <v/>
      </c>
      <c r="C266" t="str">
        <f>IFERROR(VLOOKUP(B266,'Schwab Positions'!$A$8:$B$10000,2,FALSE),"")</f>
        <v/>
      </c>
      <c r="D266" s="34" t="str">
        <f>IFERROR(VLOOKUP(B266,'Security Type'!$A$2:$C$1000,3,FALSE),"")</f>
        <v/>
      </c>
      <c r="E266" s="34" t="str">
        <f>IF(B266="","",IF(ISNUMBER(MATCH(B266,'2022 Port'!$D$6:$D$67,0)),VLOOKUP(B266,'Security Type'!$A$3:$D$1000,4,FALSE),"NOT IN PORT"))</f>
        <v/>
      </c>
      <c r="F266" t="str" cm="1">
        <f t="array" ref="F266">IFERROR(INDEX('Schwab Positions'!$D$8:$D$10000,SMALL(IF('Schwab Positions'!$E$8:$E$10000=$C$2,ROW('Schwab Positions'!$E$8:$E$10000)-7,""),ROWS($F$19:$F266))),"")</f>
        <v/>
      </c>
      <c r="G266" s="1" t="str" cm="1">
        <f t="array" ref="G266">IFERROR(INDEX('Schwab Positions'!$I$8:$I$10000,SMALL(IF('Schwab Positions'!$E$8:$E$10000=$C$2,ROW('Schwab Positions'!$E$8:$E$10000)-7,""),ROWS($G$19:$G266))),"")</f>
        <v/>
      </c>
      <c r="H266" s="100" t="str">
        <f t="shared" si="13"/>
        <v/>
      </c>
      <c r="I266" s="37" t="str" cm="1">
        <f t="array" ref="I266">IFERROR(IF($D266="Bond",IFERROR(INDEX('Schwab Positions'!$J$8:$J$10000,SMALL(IF('Schwab Positions'!$E$8:$E$10000=$C$2,ROW('Schwab Positions'!$E$8:$E$10000)-7,""),ROWS($I$19:$I266))),""),$F266*$G266),"")</f>
        <v/>
      </c>
    </row>
    <row r="267" spans="2:9">
      <c r="B267" t="str" cm="1">
        <f t="array" ref="B267">IFERROR(INDEX('Schwab Positions'!$A$8:$A$10000,SMALL(IF('Schwab Positions'!$E$8:$E$10000=$C$2,ROW('Schwab Positions'!$E$8:$E$10000)-7,""),ROWS($B$19:B267))),"")</f>
        <v/>
      </c>
      <c r="C267" t="str">
        <f>IFERROR(VLOOKUP(B267,'Schwab Positions'!$A$8:$B$10000,2,FALSE),"")</f>
        <v/>
      </c>
      <c r="D267" s="34" t="str">
        <f>IFERROR(VLOOKUP(B267,'Security Type'!$A$2:$C$1000,3,FALSE),"")</f>
        <v/>
      </c>
      <c r="E267" s="34" t="str">
        <f>IF(B267="","",IF(ISNUMBER(MATCH(B267,'2022 Port'!$D$6:$D$67,0)),VLOOKUP(B267,'Security Type'!$A$3:$D$1000,4,FALSE),"NOT IN PORT"))</f>
        <v/>
      </c>
      <c r="F267" t="str" cm="1">
        <f t="array" ref="F267">IFERROR(INDEX('Schwab Positions'!$D$8:$D$10000,SMALL(IF('Schwab Positions'!$E$8:$E$10000=$C$2,ROW('Schwab Positions'!$E$8:$E$10000)-7,""),ROWS($F$19:$F267))),"")</f>
        <v/>
      </c>
      <c r="G267" s="1" t="str" cm="1">
        <f t="array" ref="G267">IFERROR(INDEX('Schwab Positions'!$I$8:$I$10000,SMALL(IF('Schwab Positions'!$E$8:$E$10000=$C$2,ROW('Schwab Positions'!$E$8:$E$10000)-7,""),ROWS($G$19:$G267))),"")</f>
        <v/>
      </c>
      <c r="H267" s="100" t="str">
        <f t="shared" si="13"/>
        <v/>
      </c>
      <c r="I267" s="37" t="str" cm="1">
        <f t="array" ref="I267">IFERROR(IF($D267="Bond",IFERROR(INDEX('Schwab Positions'!$J$8:$J$10000,SMALL(IF('Schwab Positions'!$E$8:$E$10000=$C$2,ROW('Schwab Positions'!$E$8:$E$10000)-7,""),ROWS($I$19:$I267))),""),$F267*$G267),"")</f>
        <v/>
      </c>
    </row>
    <row r="268" spans="2:9">
      <c r="B268" t="str" cm="1">
        <f t="array" ref="B268">IFERROR(INDEX('Schwab Positions'!$A$8:$A$10000,SMALL(IF('Schwab Positions'!$E$8:$E$10000=$C$2,ROW('Schwab Positions'!$E$8:$E$10000)-7,""),ROWS($B$19:B268))),"")</f>
        <v/>
      </c>
      <c r="C268" t="str">
        <f>IFERROR(VLOOKUP(B268,'Schwab Positions'!$A$8:$B$10000,2,FALSE),"")</f>
        <v/>
      </c>
      <c r="D268" s="34" t="str">
        <f>IFERROR(VLOOKUP(B268,'Security Type'!$A$2:$C$1000,3,FALSE),"")</f>
        <v/>
      </c>
      <c r="E268" s="34" t="str">
        <f>IF(B268="","",IF(ISNUMBER(MATCH(B268,'2022 Port'!$D$6:$D$67,0)),VLOOKUP(B268,'Security Type'!$A$3:$D$1000,4,FALSE),"NOT IN PORT"))</f>
        <v/>
      </c>
      <c r="F268" t="str" cm="1">
        <f t="array" ref="F268">IFERROR(INDEX('Schwab Positions'!$D$8:$D$10000,SMALL(IF('Schwab Positions'!$E$8:$E$10000=$C$2,ROW('Schwab Positions'!$E$8:$E$10000)-7,""),ROWS($F$19:$F268))),"")</f>
        <v/>
      </c>
      <c r="G268" s="1" t="str" cm="1">
        <f t="array" ref="G268">IFERROR(INDEX('Schwab Positions'!$I$8:$I$10000,SMALL(IF('Schwab Positions'!$E$8:$E$10000=$C$2,ROW('Schwab Positions'!$E$8:$E$10000)-7,""),ROWS($G$19:$G268))),"")</f>
        <v/>
      </c>
      <c r="H268" s="100" t="str">
        <f t="shared" si="13"/>
        <v/>
      </c>
      <c r="I268" s="37" t="str" cm="1">
        <f t="array" ref="I268">IFERROR(IF($D268="Bond",IFERROR(INDEX('Schwab Positions'!$J$8:$J$10000,SMALL(IF('Schwab Positions'!$E$8:$E$10000=$C$2,ROW('Schwab Positions'!$E$8:$E$10000)-7,""),ROWS($I$19:$I268))),""),$F268*$G268),"")</f>
        <v/>
      </c>
    </row>
    <row r="269" spans="2:9">
      <c r="B269" t="str" cm="1">
        <f t="array" ref="B269">IFERROR(INDEX('Schwab Positions'!$A$8:$A$10000,SMALL(IF('Schwab Positions'!$E$8:$E$10000=$C$2,ROW('Schwab Positions'!$E$8:$E$10000)-7,""),ROWS($B$19:B269))),"")</f>
        <v/>
      </c>
      <c r="C269" t="str">
        <f>IFERROR(VLOOKUP(B269,'Schwab Positions'!$A$8:$B$10000,2,FALSE),"")</f>
        <v/>
      </c>
      <c r="D269" s="34" t="str">
        <f>IFERROR(VLOOKUP(B269,'Security Type'!$A$2:$C$1000,3,FALSE),"")</f>
        <v/>
      </c>
      <c r="E269" s="34" t="str">
        <f>IF(B269="","",IF(ISNUMBER(MATCH(B269,'2022 Port'!$D$6:$D$67,0)),VLOOKUP(B269,'Security Type'!$A$3:$D$1000,4,FALSE),"NOT IN PORT"))</f>
        <v/>
      </c>
      <c r="F269" t="str" cm="1">
        <f t="array" ref="F269">IFERROR(INDEX('Schwab Positions'!$D$8:$D$10000,SMALL(IF('Schwab Positions'!$E$8:$E$10000=$C$2,ROW('Schwab Positions'!$E$8:$E$10000)-7,""),ROWS($F$19:$F269))),"")</f>
        <v/>
      </c>
      <c r="G269" s="1" t="str" cm="1">
        <f t="array" ref="G269">IFERROR(INDEX('Schwab Positions'!$I$8:$I$10000,SMALL(IF('Schwab Positions'!$E$8:$E$10000=$C$2,ROW('Schwab Positions'!$E$8:$E$10000)-7,""),ROWS($G$19:$G269))),"")</f>
        <v/>
      </c>
      <c r="H269" s="100" t="str">
        <f t="shared" si="13"/>
        <v/>
      </c>
      <c r="I269" s="37" t="str" cm="1">
        <f t="array" ref="I269">IFERROR(IF($D269="Bond",IFERROR(INDEX('Schwab Positions'!$J$8:$J$10000,SMALL(IF('Schwab Positions'!$E$8:$E$10000=$C$2,ROW('Schwab Positions'!$E$8:$E$10000)-7,""),ROWS($I$19:$I269))),""),$F269*$G269),"")</f>
        <v/>
      </c>
    </row>
    <row r="270" spans="2:9">
      <c r="B270" t="str" cm="1">
        <f t="array" ref="B270">IFERROR(INDEX('Schwab Positions'!$A$8:$A$10000,SMALL(IF('Schwab Positions'!$E$8:$E$10000=$C$2,ROW('Schwab Positions'!$E$8:$E$10000)-7,""),ROWS($B$19:B270))),"")</f>
        <v/>
      </c>
      <c r="C270" t="str">
        <f>IFERROR(VLOOKUP(B270,'Schwab Positions'!$A$8:$B$10000,2,FALSE),"")</f>
        <v/>
      </c>
      <c r="D270" s="34" t="str">
        <f>IFERROR(VLOOKUP(B270,'Security Type'!$A$2:$C$1000,3,FALSE),"")</f>
        <v/>
      </c>
      <c r="E270" s="34" t="str">
        <f>IF(B270="","",IF(ISNUMBER(MATCH(B270,'2022 Port'!$D$6:$D$67,0)),VLOOKUP(B270,'Security Type'!$A$3:$D$1000,4,FALSE),"NOT IN PORT"))</f>
        <v/>
      </c>
      <c r="F270" t="str" cm="1">
        <f t="array" ref="F270">IFERROR(INDEX('Schwab Positions'!$D$8:$D$10000,SMALL(IF('Schwab Positions'!$E$8:$E$10000=$C$2,ROW('Schwab Positions'!$E$8:$E$10000)-7,""),ROWS($F$19:$F270))),"")</f>
        <v/>
      </c>
      <c r="G270" s="1" t="str" cm="1">
        <f t="array" ref="G270">IFERROR(INDEX('Schwab Positions'!$I$8:$I$10000,SMALL(IF('Schwab Positions'!$E$8:$E$10000=$C$2,ROW('Schwab Positions'!$E$8:$E$10000)-7,""),ROWS($G$19:$G270))),"")</f>
        <v/>
      </c>
      <c r="H270" s="100" t="str">
        <f t="shared" si="13"/>
        <v/>
      </c>
      <c r="I270" s="37" t="str" cm="1">
        <f t="array" ref="I270">IFERROR(IF($D270="Bond",IFERROR(INDEX('Schwab Positions'!$J$8:$J$10000,SMALL(IF('Schwab Positions'!$E$8:$E$10000=$C$2,ROW('Schwab Positions'!$E$8:$E$10000)-7,""),ROWS($I$19:$I270))),""),$F270*$G270),"")</f>
        <v/>
      </c>
    </row>
    <row r="271" spans="2:9">
      <c r="B271" t="str" cm="1">
        <f t="array" ref="B271">IFERROR(INDEX('Schwab Positions'!$A$8:$A$10000,SMALL(IF('Schwab Positions'!$E$8:$E$10000=$C$2,ROW('Schwab Positions'!$E$8:$E$10000)-7,""),ROWS($B$19:B271))),"")</f>
        <v/>
      </c>
      <c r="C271" t="str">
        <f>IFERROR(VLOOKUP(B271,'Schwab Positions'!$A$8:$B$10000,2,FALSE),"")</f>
        <v/>
      </c>
      <c r="D271" s="34" t="str">
        <f>IFERROR(VLOOKUP(B271,'Security Type'!$A$2:$C$1000,3,FALSE),"")</f>
        <v/>
      </c>
      <c r="E271" s="34" t="str">
        <f>IF(B271="","",IF(ISNUMBER(MATCH(B271,'2022 Port'!$D$6:$D$67,0)),VLOOKUP(B271,'Security Type'!$A$3:$D$1000,4,FALSE),"NOT IN PORT"))</f>
        <v/>
      </c>
      <c r="F271" t="str" cm="1">
        <f t="array" ref="F271">IFERROR(INDEX('Schwab Positions'!$D$8:$D$10000,SMALL(IF('Schwab Positions'!$E$8:$E$10000=$C$2,ROW('Schwab Positions'!$E$8:$E$10000)-7,""),ROWS($F$19:$F271))),"")</f>
        <v/>
      </c>
      <c r="G271" s="1" t="str" cm="1">
        <f t="array" ref="G271">IFERROR(INDEX('Schwab Positions'!$I$8:$I$10000,SMALL(IF('Schwab Positions'!$E$8:$E$10000=$C$2,ROW('Schwab Positions'!$E$8:$E$10000)-7,""),ROWS($G$19:$G271))),"")</f>
        <v/>
      </c>
      <c r="H271" s="100" t="str">
        <f t="shared" si="13"/>
        <v/>
      </c>
      <c r="I271" s="37" t="str" cm="1">
        <f t="array" ref="I271">IFERROR(IF($D271="Bond",IFERROR(INDEX('Schwab Positions'!$J$8:$J$10000,SMALL(IF('Schwab Positions'!$E$8:$E$10000=$C$2,ROW('Schwab Positions'!$E$8:$E$10000)-7,""),ROWS($I$19:$I271))),""),$F271*$G271),"")</f>
        <v/>
      </c>
    </row>
    <row r="272" spans="2:9">
      <c r="B272" t="str" cm="1">
        <f t="array" ref="B272">IFERROR(INDEX('Schwab Positions'!$A$8:$A$10000,SMALL(IF('Schwab Positions'!$E$8:$E$10000=$C$2,ROW('Schwab Positions'!$E$8:$E$10000)-7,""),ROWS($B$19:B272))),"")</f>
        <v/>
      </c>
      <c r="C272" t="str">
        <f>IFERROR(VLOOKUP(B272,'Schwab Positions'!$A$8:$B$10000,2,FALSE),"")</f>
        <v/>
      </c>
      <c r="D272" s="34" t="str">
        <f>IFERROR(VLOOKUP(B272,'Security Type'!$A$2:$C$1000,3,FALSE),"")</f>
        <v/>
      </c>
      <c r="E272" s="34" t="str">
        <f>IF(B272="","",IF(ISNUMBER(MATCH(B272,'2022 Port'!$D$6:$D$67,0)),VLOOKUP(B272,'Security Type'!$A$3:$D$1000,4,FALSE),"NOT IN PORT"))</f>
        <v/>
      </c>
      <c r="F272" t="str" cm="1">
        <f t="array" ref="F272">IFERROR(INDEX('Schwab Positions'!$D$8:$D$10000,SMALL(IF('Schwab Positions'!$E$8:$E$10000=$C$2,ROW('Schwab Positions'!$E$8:$E$10000)-7,""),ROWS($F$19:$F272))),"")</f>
        <v/>
      </c>
      <c r="G272" s="1" t="str" cm="1">
        <f t="array" ref="G272">IFERROR(INDEX('Schwab Positions'!$I$8:$I$10000,SMALL(IF('Schwab Positions'!$E$8:$E$10000=$C$2,ROW('Schwab Positions'!$E$8:$E$10000)-7,""),ROWS($G$19:$G272))),"")</f>
        <v/>
      </c>
      <c r="H272" s="100" t="str">
        <f t="shared" si="13"/>
        <v/>
      </c>
      <c r="I272" s="37" t="str" cm="1">
        <f t="array" ref="I272">IFERROR(IF($D272="Bond",IFERROR(INDEX('Schwab Positions'!$J$8:$J$10000,SMALL(IF('Schwab Positions'!$E$8:$E$10000=$C$2,ROW('Schwab Positions'!$E$8:$E$10000)-7,""),ROWS($I$19:$I272))),""),$F272*$G272),"")</f>
        <v/>
      </c>
    </row>
    <row r="273" spans="2:9">
      <c r="B273" t="str" cm="1">
        <f t="array" ref="B273">IFERROR(INDEX('Schwab Positions'!$A$8:$A$10000,SMALL(IF('Schwab Positions'!$E$8:$E$10000=$C$2,ROW('Schwab Positions'!$E$8:$E$10000)-7,""),ROWS($B$19:B273))),"")</f>
        <v/>
      </c>
      <c r="C273" t="str">
        <f>IFERROR(VLOOKUP(B273,'Schwab Positions'!$A$8:$B$10000,2,FALSE),"")</f>
        <v/>
      </c>
      <c r="D273" s="34" t="str">
        <f>IFERROR(VLOOKUP(B273,'Security Type'!$A$2:$C$1000,3,FALSE),"")</f>
        <v/>
      </c>
      <c r="E273" s="34" t="str">
        <f>IF(B273="","",IF(ISNUMBER(MATCH(B273,'2022 Port'!$D$6:$D$67,0)),VLOOKUP(B273,'Security Type'!$A$3:$D$1000,4,FALSE),"NOT IN PORT"))</f>
        <v/>
      </c>
      <c r="F273" t="str" cm="1">
        <f t="array" ref="F273">IFERROR(INDEX('Schwab Positions'!$D$8:$D$10000,SMALL(IF('Schwab Positions'!$E$8:$E$10000=$C$2,ROW('Schwab Positions'!$E$8:$E$10000)-7,""),ROWS($F$19:$F273))),"")</f>
        <v/>
      </c>
      <c r="G273" s="1" t="str" cm="1">
        <f t="array" ref="G273">IFERROR(INDEX('Schwab Positions'!$I$8:$I$10000,SMALL(IF('Schwab Positions'!$E$8:$E$10000=$C$2,ROW('Schwab Positions'!$E$8:$E$10000)-7,""),ROWS($G$19:$G273))),"")</f>
        <v/>
      </c>
      <c r="H273" s="100" t="str">
        <f t="shared" si="13"/>
        <v/>
      </c>
      <c r="I273" s="37" t="str" cm="1">
        <f t="array" ref="I273">IFERROR(IF($D273="Bond",IFERROR(INDEX('Schwab Positions'!$J$8:$J$10000,SMALL(IF('Schwab Positions'!$E$8:$E$10000=$C$2,ROW('Schwab Positions'!$E$8:$E$10000)-7,""),ROWS($I$19:$I273))),""),$F273*$G273),"")</f>
        <v/>
      </c>
    </row>
    <row r="274" spans="2:9">
      <c r="B274" t="str" cm="1">
        <f t="array" ref="B274">IFERROR(INDEX('Schwab Positions'!$A$8:$A$10000,SMALL(IF('Schwab Positions'!$E$8:$E$10000=$C$2,ROW('Schwab Positions'!$E$8:$E$10000)-7,""),ROWS($B$19:B274))),"")</f>
        <v/>
      </c>
      <c r="C274" t="str">
        <f>IFERROR(VLOOKUP(B274,'Schwab Positions'!$A$8:$B$10000,2,FALSE),"")</f>
        <v/>
      </c>
      <c r="D274" s="34" t="str">
        <f>IFERROR(VLOOKUP(B274,'Security Type'!$A$2:$C$1000,3,FALSE),"")</f>
        <v/>
      </c>
      <c r="E274" s="34" t="str">
        <f>IF(B274="","",IF(ISNUMBER(MATCH(B274,'2022 Port'!$D$6:$D$67,0)),VLOOKUP(B274,'Security Type'!$A$3:$D$1000,4,FALSE),"NOT IN PORT"))</f>
        <v/>
      </c>
      <c r="F274" t="str" cm="1">
        <f t="array" ref="F274">IFERROR(INDEX('Schwab Positions'!$D$8:$D$10000,SMALL(IF('Schwab Positions'!$E$8:$E$10000=$C$2,ROW('Schwab Positions'!$E$8:$E$10000)-7,""),ROWS($F$19:$F274))),"")</f>
        <v/>
      </c>
      <c r="G274" s="1" t="str" cm="1">
        <f t="array" ref="G274">IFERROR(INDEX('Schwab Positions'!$I$8:$I$10000,SMALL(IF('Schwab Positions'!$E$8:$E$10000=$C$2,ROW('Schwab Positions'!$E$8:$E$10000)-7,""),ROWS($G$19:$G274))),"")</f>
        <v/>
      </c>
      <c r="H274" s="100" t="str">
        <f t="shared" si="13"/>
        <v/>
      </c>
      <c r="I274" s="37" t="str" cm="1">
        <f t="array" ref="I274">IFERROR(IF($D274="Bond",IFERROR(INDEX('Schwab Positions'!$J$8:$J$10000,SMALL(IF('Schwab Positions'!$E$8:$E$10000=$C$2,ROW('Schwab Positions'!$E$8:$E$10000)-7,""),ROWS($I$19:$I274))),""),$F274*$G274),"")</f>
        <v/>
      </c>
    </row>
    <row r="275" spans="2:9">
      <c r="B275" t="str" cm="1">
        <f t="array" ref="B275">IFERROR(INDEX('Schwab Positions'!$A$8:$A$10000,SMALL(IF('Schwab Positions'!$E$8:$E$10000=$C$2,ROW('Schwab Positions'!$E$8:$E$10000)-7,""),ROWS($B$19:B275))),"")</f>
        <v/>
      </c>
      <c r="C275" t="str">
        <f>IFERROR(VLOOKUP(B275,'Schwab Positions'!$A$8:$B$10000,2,FALSE),"")</f>
        <v/>
      </c>
      <c r="D275" s="34" t="str">
        <f>IFERROR(VLOOKUP(B275,'Security Type'!$A$2:$C$1000,3,FALSE),"")</f>
        <v/>
      </c>
      <c r="E275" s="34" t="str">
        <f>IF(B275="","",IF(ISNUMBER(MATCH(B275,'2022 Port'!$D$6:$D$67,0)),VLOOKUP(B275,'Security Type'!$A$3:$D$1000,4,FALSE),"NOT IN PORT"))</f>
        <v/>
      </c>
      <c r="F275" t="str" cm="1">
        <f t="array" ref="F275">IFERROR(INDEX('Schwab Positions'!$D$8:$D$10000,SMALL(IF('Schwab Positions'!$E$8:$E$10000=$C$2,ROW('Schwab Positions'!$E$8:$E$10000)-7,""),ROWS($F$19:$F275))),"")</f>
        <v/>
      </c>
      <c r="G275" s="1" t="str" cm="1">
        <f t="array" ref="G275">IFERROR(INDEX('Schwab Positions'!$I$8:$I$10000,SMALL(IF('Schwab Positions'!$E$8:$E$10000=$C$2,ROW('Schwab Positions'!$E$8:$E$10000)-7,""),ROWS($G$19:$G275))),"")</f>
        <v/>
      </c>
      <c r="H275" s="100" t="str">
        <f t="shared" si="13"/>
        <v/>
      </c>
      <c r="I275" s="37" t="str" cm="1">
        <f t="array" ref="I275">IFERROR(IF($D275="Bond",IFERROR(INDEX('Schwab Positions'!$J$8:$J$10000,SMALL(IF('Schwab Positions'!$E$8:$E$10000=$C$2,ROW('Schwab Positions'!$E$8:$E$10000)-7,""),ROWS($I$19:$I275))),""),$F275*$G275),"")</f>
        <v/>
      </c>
    </row>
    <row r="276" spans="2:9">
      <c r="B276" t="str" cm="1">
        <f t="array" ref="B276">IFERROR(INDEX('Schwab Positions'!$A$8:$A$10000,SMALL(IF('Schwab Positions'!$E$8:$E$10000=$C$2,ROW('Schwab Positions'!$E$8:$E$10000)-7,""),ROWS($B$19:B276))),"")</f>
        <v/>
      </c>
      <c r="C276" t="str">
        <f>IFERROR(VLOOKUP(B276,'Schwab Positions'!$A$8:$B$10000,2,FALSE),"")</f>
        <v/>
      </c>
      <c r="D276" s="34" t="str">
        <f>IFERROR(VLOOKUP(B276,'Security Type'!$A$2:$C$1000,3,FALSE),"")</f>
        <v/>
      </c>
      <c r="E276" s="34" t="str">
        <f>IF(B276="","",IF(ISNUMBER(MATCH(B276,'2022 Port'!$D$6:$D$67,0)),VLOOKUP(B276,'Security Type'!$A$3:$D$1000,4,FALSE),"NOT IN PORT"))</f>
        <v/>
      </c>
      <c r="F276" t="str" cm="1">
        <f t="array" ref="F276">IFERROR(INDEX('Schwab Positions'!$D$8:$D$10000,SMALL(IF('Schwab Positions'!$E$8:$E$10000=$C$2,ROW('Schwab Positions'!$E$8:$E$10000)-7,""),ROWS($F$19:$F276))),"")</f>
        <v/>
      </c>
      <c r="G276" s="1" t="str" cm="1">
        <f t="array" ref="G276">IFERROR(INDEX('Schwab Positions'!$I$8:$I$10000,SMALL(IF('Schwab Positions'!$E$8:$E$10000=$C$2,ROW('Schwab Positions'!$E$8:$E$10000)-7,""),ROWS($G$19:$G276))),"")</f>
        <v/>
      </c>
      <c r="H276" s="100" t="str">
        <f t="shared" ref="H276:H339" si="14">IFERROR(I276/$C$15,"")</f>
        <v/>
      </c>
      <c r="I276" s="37" t="str" cm="1">
        <f t="array" ref="I276">IFERROR(IF($D276="Bond",IFERROR(INDEX('Schwab Positions'!$J$8:$J$10000,SMALL(IF('Schwab Positions'!$E$8:$E$10000=$C$2,ROW('Schwab Positions'!$E$8:$E$10000)-7,""),ROWS($I$19:$I276))),""),$F276*$G276),"")</f>
        <v/>
      </c>
    </row>
    <row r="277" spans="2:9">
      <c r="B277" t="str" cm="1">
        <f t="array" ref="B277">IFERROR(INDEX('Schwab Positions'!$A$8:$A$10000,SMALL(IF('Schwab Positions'!$E$8:$E$10000=$C$2,ROW('Schwab Positions'!$E$8:$E$10000)-7,""),ROWS($B$19:B277))),"")</f>
        <v/>
      </c>
      <c r="C277" t="str">
        <f>IFERROR(VLOOKUP(B277,'Schwab Positions'!$A$8:$B$10000,2,FALSE),"")</f>
        <v/>
      </c>
      <c r="D277" s="34" t="str">
        <f>IFERROR(VLOOKUP(B277,'Security Type'!$A$2:$C$1000,3,FALSE),"")</f>
        <v/>
      </c>
      <c r="E277" s="34" t="str">
        <f>IF(B277="","",IF(ISNUMBER(MATCH(B277,'2022 Port'!$D$6:$D$67,0)),VLOOKUP(B277,'Security Type'!$A$3:$D$1000,4,FALSE),"NOT IN PORT"))</f>
        <v/>
      </c>
      <c r="F277" t="str" cm="1">
        <f t="array" ref="F277">IFERROR(INDEX('Schwab Positions'!$D$8:$D$10000,SMALL(IF('Schwab Positions'!$E$8:$E$10000=$C$2,ROW('Schwab Positions'!$E$8:$E$10000)-7,""),ROWS($F$19:$F277))),"")</f>
        <v/>
      </c>
      <c r="G277" s="1" t="str" cm="1">
        <f t="array" ref="G277">IFERROR(INDEX('Schwab Positions'!$I$8:$I$10000,SMALL(IF('Schwab Positions'!$E$8:$E$10000=$C$2,ROW('Schwab Positions'!$E$8:$E$10000)-7,""),ROWS($G$19:$G277))),"")</f>
        <v/>
      </c>
      <c r="H277" s="100" t="str">
        <f t="shared" si="14"/>
        <v/>
      </c>
      <c r="I277" s="37" t="str" cm="1">
        <f t="array" ref="I277">IFERROR(IF($D277="Bond",IFERROR(INDEX('Schwab Positions'!$J$8:$J$10000,SMALL(IF('Schwab Positions'!$E$8:$E$10000=$C$2,ROW('Schwab Positions'!$E$8:$E$10000)-7,""),ROWS($I$19:$I277))),""),$F277*$G277),"")</f>
        <v/>
      </c>
    </row>
    <row r="278" spans="2:9">
      <c r="B278" t="str" cm="1">
        <f t="array" ref="B278">IFERROR(INDEX('Schwab Positions'!$A$8:$A$10000,SMALL(IF('Schwab Positions'!$E$8:$E$10000=$C$2,ROW('Schwab Positions'!$E$8:$E$10000)-7,""),ROWS($B$19:B278))),"")</f>
        <v/>
      </c>
      <c r="C278" t="str">
        <f>IFERROR(VLOOKUP(B278,'Schwab Positions'!$A$8:$B$10000,2,FALSE),"")</f>
        <v/>
      </c>
      <c r="D278" s="34" t="str">
        <f>IFERROR(VLOOKUP(B278,'Security Type'!$A$2:$C$1000,3,FALSE),"")</f>
        <v/>
      </c>
      <c r="E278" s="34" t="str">
        <f>IF(B278="","",IF(ISNUMBER(MATCH(B278,'2022 Port'!$D$6:$D$67,0)),VLOOKUP(B278,'Security Type'!$A$3:$D$1000,4,FALSE),"NOT IN PORT"))</f>
        <v/>
      </c>
      <c r="F278" t="str" cm="1">
        <f t="array" ref="F278">IFERROR(INDEX('Schwab Positions'!$D$8:$D$10000,SMALL(IF('Schwab Positions'!$E$8:$E$10000=$C$2,ROW('Schwab Positions'!$E$8:$E$10000)-7,""),ROWS($F$19:$F278))),"")</f>
        <v/>
      </c>
      <c r="G278" s="1" t="str" cm="1">
        <f t="array" ref="G278">IFERROR(INDEX('Schwab Positions'!$I$8:$I$10000,SMALL(IF('Schwab Positions'!$E$8:$E$10000=$C$2,ROW('Schwab Positions'!$E$8:$E$10000)-7,""),ROWS($G$19:$G278))),"")</f>
        <v/>
      </c>
      <c r="H278" s="100" t="str">
        <f t="shared" si="14"/>
        <v/>
      </c>
      <c r="I278" s="37" t="str" cm="1">
        <f t="array" ref="I278">IFERROR(IF($D278="Bond",IFERROR(INDEX('Schwab Positions'!$J$8:$J$10000,SMALL(IF('Schwab Positions'!$E$8:$E$10000=$C$2,ROW('Schwab Positions'!$E$8:$E$10000)-7,""),ROWS($I$19:$I278))),""),$F278*$G278),"")</f>
        <v/>
      </c>
    </row>
    <row r="279" spans="2:9">
      <c r="B279" t="str" cm="1">
        <f t="array" ref="B279">IFERROR(INDEX('Schwab Positions'!$A$8:$A$10000,SMALL(IF('Schwab Positions'!$E$8:$E$10000=$C$2,ROW('Schwab Positions'!$E$8:$E$10000)-7,""),ROWS($B$19:B279))),"")</f>
        <v/>
      </c>
      <c r="C279" t="str">
        <f>IFERROR(VLOOKUP(B279,'Schwab Positions'!$A$8:$B$10000,2,FALSE),"")</f>
        <v/>
      </c>
      <c r="D279" s="34" t="str">
        <f>IFERROR(VLOOKUP(B279,'Security Type'!$A$2:$C$1000,3,FALSE),"")</f>
        <v/>
      </c>
      <c r="E279" s="34" t="str">
        <f>IF(B279="","",IF(ISNUMBER(MATCH(B279,'2022 Port'!$D$6:$D$67,0)),VLOOKUP(B279,'Security Type'!$A$3:$D$1000,4,FALSE),"NOT IN PORT"))</f>
        <v/>
      </c>
      <c r="F279" t="str" cm="1">
        <f t="array" ref="F279">IFERROR(INDEX('Schwab Positions'!$D$8:$D$10000,SMALL(IF('Schwab Positions'!$E$8:$E$10000=$C$2,ROW('Schwab Positions'!$E$8:$E$10000)-7,""),ROWS($F$19:$F279))),"")</f>
        <v/>
      </c>
      <c r="G279" s="1" t="str" cm="1">
        <f t="array" ref="G279">IFERROR(INDEX('Schwab Positions'!$I$8:$I$10000,SMALL(IF('Schwab Positions'!$E$8:$E$10000=$C$2,ROW('Schwab Positions'!$E$8:$E$10000)-7,""),ROWS($G$19:$G279))),"")</f>
        <v/>
      </c>
      <c r="H279" s="100" t="str">
        <f t="shared" si="14"/>
        <v/>
      </c>
      <c r="I279" s="37" t="str" cm="1">
        <f t="array" ref="I279">IFERROR(IF($D279="Bond",IFERROR(INDEX('Schwab Positions'!$J$8:$J$10000,SMALL(IF('Schwab Positions'!$E$8:$E$10000=$C$2,ROW('Schwab Positions'!$E$8:$E$10000)-7,""),ROWS($I$19:$I279))),""),$F279*$G279),"")</f>
        <v/>
      </c>
    </row>
    <row r="280" spans="2:9">
      <c r="B280" t="str" cm="1">
        <f t="array" ref="B280">IFERROR(INDEX('Schwab Positions'!$A$8:$A$10000,SMALL(IF('Schwab Positions'!$E$8:$E$10000=$C$2,ROW('Schwab Positions'!$E$8:$E$10000)-7,""),ROWS($B$19:B280))),"")</f>
        <v/>
      </c>
      <c r="C280" t="str">
        <f>IFERROR(VLOOKUP(B280,'Schwab Positions'!$A$8:$B$10000,2,FALSE),"")</f>
        <v/>
      </c>
      <c r="D280" s="34" t="str">
        <f>IFERROR(VLOOKUP(B280,'Security Type'!$A$2:$C$1000,3,FALSE),"")</f>
        <v/>
      </c>
      <c r="E280" s="34" t="str">
        <f>IF(B280="","",IF(ISNUMBER(MATCH(B280,'2022 Port'!$D$6:$D$67,0)),VLOOKUP(B280,'Security Type'!$A$3:$D$1000,4,FALSE),"NOT IN PORT"))</f>
        <v/>
      </c>
      <c r="F280" t="str" cm="1">
        <f t="array" ref="F280">IFERROR(INDEX('Schwab Positions'!$D$8:$D$10000,SMALL(IF('Schwab Positions'!$E$8:$E$10000=$C$2,ROW('Schwab Positions'!$E$8:$E$10000)-7,""),ROWS($F$19:$F280))),"")</f>
        <v/>
      </c>
      <c r="G280" s="1" t="str" cm="1">
        <f t="array" ref="G280">IFERROR(INDEX('Schwab Positions'!$I$8:$I$10000,SMALL(IF('Schwab Positions'!$E$8:$E$10000=$C$2,ROW('Schwab Positions'!$E$8:$E$10000)-7,""),ROWS($G$19:$G280))),"")</f>
        <v/>
      </c>
      <c r="H280" s="100" t="str">
        <f t="shared" si="14"/>
        <v/>
      </c>
      <c r="I280" s="37" t="str" cm="1">
        <f t="array" ref="I280">IFERROR(IF($D280="Bond",IFERROR(INDEX('Schwab Positions'!$J$8:$J$10000,SMALL(IF('Schwab Positions'!$E$8:$E$10000=$C$2,ROW('Schwab Positions'!$E$8:$E$10000)-7,""),ROWS($I$19:$I280))),""),$F280*$G280),"")</f>
        <v/>
      </c>
    </row>
    <row r="281" spans="2:9">
      <c r="B281" t="str" cm="1">
        <f t="array" ref="B281">IFERROR(INDEX('Schwab Positions'!$A$8:$A$10000,SMALL(IF('Schwab Positions'!$E$8:$E$10000=$C$2,ROW('Schwab Positions'!$E$8:$E$10000)-7,""),ROWS($B$19:B281))),"")</f>
        <v/>
      </c>
      <c r="C281" t="str">
        <f>IFERROR(VLOOKUP(B281,'Schwab Positions'!$A$8:$B$10000,2,FALSE),"")</f>
        <v/>
      </c>
      <c r="D281" s="34" t="str">
        <f>IFERROR(VLOOKUP(B281,'Security Type'!$A$2:$C$1000,3,FALSE),"")</f>
        <v/>
      </c>
      <c r="E281" s="34" t="str">
        <f>IF(B281="","",IF(ISNUMBER(MATCH(B281,'2022 Port'!$D$6:$D$67,0)),VLOOKUP(B281,'Security Type'!$A$3:$D$1000,4,FALSE),"NOT IN PORT"))</f>
        <v/>
      </c>
      <c r="F281" t="str" cm="1">
        <f t="array" ref="F281">IFERROR(INDEX('Schwab Positions'!$D$8:$D$10000,SMALL(IF('Schwab Positions'!$E$8:$E$10000=$C$2,ROW('Schwab Positions'!$E$8:$E$10000)-7,""),ROWS($F$19:$F281))),"")</f>
        <v/>
      </c>
      <c r="G281" s="1" t="str" cm="1">
        <f t="array" ref="G281">IFERROR(INDEX('Schwab Positions'!$I$8:$I$10000,SMALL(IF('Schwab Positions'!$E$8:$E$10000=$C$2,ROW('Schwab Positions'!$E$8:$E$10000)-7,""),ROWS($G$19:$G281))),"")</f>
        <v/>
      </c>
      <c r="H281" s="100" t="str">
        <f t="shared" si="14"/>
        <v/>
      </c>
      <c r="I281" s="37" t="str" cm="1">
        <f t="array" ref="I281">IFERROR(IF($D281="Bond",IFERROR(INDEX('Schwab Positions'!$J$8:$J$10000,SMALL(IF('Schwab Positions'!$E$8:$E$10000=$C$2,ROW('Schwab Positions'!$E$8:$E$10000)-7,""),ROWS($I$19:$I281))),""),$F281*$G281),"")</f>
        <v/>
      </c>
    </row>
    <row r="282" spans="2:9">
      <c r="B282" t="str" cm="1">
        <f t="array" ref="B282">IFERROR(INDEX('Schwab Positions'!$A$8:$A$10000,SMALL(IF('Schwab Positions'!$E$8:$E$10000=$C$2,ROW('Schwab Positions'!$E$8:$E$10000)-7,""),ROWS($B$19:B282))),"")</f>
        <v/>
      </c>
      <c r="C282" t="str">
        <f>IFERROR(VLOOKUP(B282,'Schwab Positions'!$A$8:$B$10000,2,FALSE),"")</f>
        <v/>
      </c>
      <c r="D282" s="34" t="str">
        <f>IFERROR(VLOOKUP(B282,'Security Type'!$A$2:$C$1000,3,FALSE),"")</f>
        <v/>
      </c>
      <c r="E282" s="34" t="str">
        <f>IF(B282="","",IF(ISNUMBER(MATCH(B282,'2022 Port'!$D$6:$D$67,0)),VLOOKUP(B282,'Security Type'!$A$3:$D$1000,4,FALSE),"NOT IN PORT"))</f>
        <v/>
      </c>
      <c r="F282" t="str" cm="1">
        <f t="array" ref="F282">IFERROR(INDEX('Schwab Positions'!$D$8:$D$10000,SMALL(IF('Schwab Positions'!$E$8:$E$10000=$C$2,ROW('Schwab Positions'!$E$8:$E$10000)-7,""),ROWS($F$19:$F282))),"")</f>
        <v/>
      </c>
      <c r="G282" s="1" t="str" cm="1">
        <f t="array" ref="G282">IFERROR(INDEX('Schwab Positions'!$I$8:$I$10000,SMALL(IF('Schwab Positions'!$E$8:$E$10000=$C$2,ROW('Schwab Positions'!$E$8:$E$10000)-7,""),ROWS($G$19:$G282))),"")</f>
        <v/>
      </c>
      <c r="H282" s="100" t="str">
        <f t="shared" si="14"/>
        <v/>
      </c>
      <c r="I282" s="37" t="str" cm="1">
        <f t="array" ref="I282">IFERROR(IF($D282="Bond",IFERROR(INDEX('Schwab Positions'!$J$8:$J$10000,SMALL(IF('Schwab Positions'!$E$8:$E$10000=$C$2,ROW('Schwab Positions'!$E$8:$E$10000)-7,""),ROWS($I$19:$I282))),""),$F282*$G282),"")</f>
        <v/>
      </c>
    </row>
    <row r="283" spans="2:9">
      <c r="B283" t="str" cm="1">
        <f t="array" ref="B283">IFERROR(INDEX('Schwab Positions'!$A$8:$A$10000,SMALL(IF('Schwab Positions'!$E$8:$E$10000=$C$2,ROW('Schwab Positions'!$E$8:$E$10000)-7,""),ROWS($B$19:B283))),"")</f>
        <v/>
      </c>
      <c r="C283" t="str">
        <f>IFERROR(VLOOKUP(B283,'Schwab Positions'!$A$8:$B$10000,2,FALSE),"")</f>
        <v/>
      </c>
      <c r="D283" s="34" t="str">
        <f>IFERROR(VLOOKUP(B283,'Security Type'!$A$2:$C$1000,3,FALSE),"")</f>
        <v/>
      </c>
      <c r="E283" s="34" t="str">
        <f>IF(B283="","",IF(ISNUMBER(MATCH(B283,'2022 Port'!$D$6:$D$67,0)),VLOOKUP(B283,'Security Type'!$A$3:$D$1000,4,FALSE),"NOT IN PORT"))</f>
        <v/>
      </c>
      <c r="F283" t="str" cm="1">
        <f t="array" ref="F283">IFERROR(INDEX('Schwab Positions'!$D$8:$D$10000,SMALL(IF('Schwab Positions'!$E$8:$E$10000=$C$2,ROW('Schwab Positions'!$E$8:$E$10000)-7,""),ROWS($F$19:$F283))),"")</f>
        <v/>
      </c>
      <c r="G283" s="1" t="str" cm="1">
        <f t="array" ref="G283">IFERROR(INDEX('Schwab Positions'!$I$8:$I$10000,SMALL(IF('Schwab Positions'!$E$8:$E$10000=$C$2,ROW('Schwab Positions'!$E$8:$E$10000)-7,""),ROWS($G$19:$G283))),"")</f>
        <v/>
      </c>
      <c r="H283" s="100" t="str">
        <f t="shared" si="14"/>
        <v/>
      </c>
      <c r="I283" s="37" t="str" cm="1">
        <f t="array" ref="I283">IFERROR(IF($D283="Bond",IFERROR(INDEX('Schwab Positions'!$J$8:$J$10000,SMALL(IF('Schwab Positions'!$E$8:$E$10000=$C$2,ROW('Schwab Positions'!$E$8:$E$10000)-7,""),ROWS($I$19:$I283))),""),$F283*$G283),"")</f>
        <v/>
      </c>
    </row>
    <row r="284" spans="2:9">
      <c r="B284" t="str" cm="1">
        <f t="array" ref="B284">IFERROR(INDEX('Schwab Positions'!$A$8:$A$10000,SMALL(IF('Schwab Positions'!$E$8:$E$10000=$C$2,ROW('Schwab Positions'!$E$8:$E$10000)-7,""),ROWS($B$19:B284))),"")</f>
        <v/>
      </c>
      <c r="C284" t="str">
        <f>IFERROR(VLOOKUP(B284,'Schwab Positions'!$A$8:$B$10000,2,FALSE),"")</f>
        <v/>
      </c>
      <c r="D284" s="34" t="str">
        <f>IFERROR(VLOOKUP(B284,'Security Type'!$A$2:$C$1000,3,FALSE),"")</f>
        <v/>
      </c>
      <c r="E284" s="34" t="str">
        <f>IF(B284="","",IF(ISNUMBER(MATCH(B284,'2022 Port'!$D$6:$D$67,0)),VLOOKUP(B284,'Security Type'!$A$3:$D$1000,4,FALSE),"NOT IN PORT"))</f>
        <v/>
      </c>
      <c r="F284" t="str" cm="1">
        <f t="array" ref="F284">IFERROR(INDEX('Schwab Positions'!$D$8:$D$10000,SMALL(IF('Schwab Positions'!$E$8:$E$10000=$C$2,ROW('Schwab Positions'!$E$8:$E$10000)-7,""),ROWS($F$19:$F284))),"")</f>
        <v/>
      </c>
      <c r="G284" s="1" t="str" cm="1">
        <f t="array" ref="G284">IFERROR(INDEX('Schwab Positions'!$I$8:$I$10000,SMALL(IF('Schwab Positions'!$E$8:$E$10000=$C$2,ROW('Schwab Positions'!$E$8:$E$10000)-7,""),ROWS($G$19:$G284))),"")</f>
        <v/>
      </c>
      <c r="H284" s="100" t="str">
        <f t="shared" si="14"/>
        <v/>
      </c>
      <c r="I284" s="37" t="str" cm="1">
        <f t="array" ref="I284">IFERROR(IF($D284="Bond",IFERROR(INDEX('Schwab Positions'!$J$8:$J$10000,SMALL(IF('Schwab Positions'!$E$8:$E$10000=$C$2,ROW('Schwab Positions'!$E$8:$E$10000)-7,""),ROWS($I$19:$I284))),""),$F284*$G284),"")</f>
        <v/>
      </c>
    </row>
    <row r="285" spans="2:9">
      <c r="B285" t="str" cm="1">
        <f t="array" ref="B285">IFERROR(INDEX('Schwab Positions'!$A$8:$A$10000,SMALL(IF('Schwab Positions'!$E$8:$E$10000=$C$2,ROW('Schwab Positions'!$E$8:$E$10000)-7,""),ROWS($B$19:B285))),"")</f>
        <v/>
      </c>
      <c r="C285" t="str">
        <f>IFERROR(VLOOKUP(B285,'Schwab Positions'!$A$8:$B$10000,2,FALSE),"")</f>
        <v/>
      </c>
      <c r="D285" s="34" t="str">
        <f>IFERROR(VLOOKUP(B285,'Security Type'!$A$2:$C$1000,3,FALSE),"")</f>
        <v/>
      </c>
      <c r="E285" s="34" t="str">
        <f>IF(B285="","",IF(ISNUMBER(MATCH(B285,'2022 Port'!$D$6:$D$67,0)),VLOOKUP(B285,'Security Type'!$A$3:$D$1000,4,FALSE),"NOT IN PORT"))</f>
        <v/>
      </c>
      <c r="F285" t="str" cm="1">
        <f t="array" ref="F285">IFERROR(INDEX('Schwab Positions'!$D$8:$D$10000,SMALL(IF('Schwab Positions'!$E$8:$E$10000=$C$2,ROW('Schwab Positions'!$E$8:$E$10000)-7,""),ROWS($F$19:$F285))),"")</f>
        <v/>
      </c>
      <c r="G285" s="1" t="str" cm="1">
        <f t="array" ref="G285">IFERROR(INDEX('Schwab Positions'!$I$8:$I$10000,SMALL(IF('Schwab Positions'!$E$8:$E$10000=$C$2,ROW('Schwab Positions'!$E$8:$E$10000)-7,""),ROWS($G$19:$G285))),"")</f>
        <v/>
      </c>
      <c r="H285" s="100" t="str">
        <f t="shared" si="14"/>
        <v/>
      </c>
      <c r="I285" s="37" t="str" cm="1">
        <f t="array" ref="I285">IFERROR(IF($D285="Bond",IFERROR(INDEX('Schwab Positions'!$J$8:$J$10000,SMALL(IF('Schwab Positions'!$E$8:$E$10000=$C$2,ROW('Schwab Positions'!$E$8:$E$10000)-7,""),ROWS($I$19:$I285))),""),$F285*$G285),"")</f>
        <v/>
      </c>
    </row>
    <row r="286" spans="2:9">
      <c r="B286" t="str" cm="1">
        <f t="array" ref="B286">IFERROR(INDEX('Schwab Positions'!$A$8:$A$10000,SMALL(IF('Schwab Positions'!$E$8:$E$10000=$C$2,ROW('Schwab Positions'!$E$8:$E$10000)-7,""),ROWS($B$19:B286))),"")</f>
        <v/>
      </c>
      <c r="C286" t="str">
        <f>IFERROR(VLOOKUP(B286,'Schwab Positions'!$A$8:$B$10000,2,FALSE),"")</f>
        <v/>
      </c>
      <c r="D286" s="34" t="str">
        <f>IFERROR(VLOOKUP(B286,'Security Type'!$A$2:$C$1000,3,FALSE),"")</f>
        <v/>
      </c>
      <c r="E286" s="34" t="str">
        <f>IF(B286="","",IF(ISNUMBER(MATCH(B286,'2022 Port'!$D$6:$D$67,0)),VLOOKUP(B286,'Security Type'!$A$3:$D$1000,4,FALSE),"NOT IN PORT"))</f>
        <v/>
      </c>
      <c r="F286" t="str" cm="1">
        <f t="array" ref="F286">IFERROR(INDEX('Schwab Positions'!$D$8:$D$10000,SMALL(IF('Schwab Positions'!$E$8:$E$10000=$C$2,ROW('Schwab Positions'!$E$8:$E$10000)-7,""),ROWS($F$19:$F286))),"")</f>
        <v/>
      </c>
      <c r="G286" s="1" t="str" cm="1">
        <f t="array" ref="G286">IFERROR(INDEX('Schwab Positions'!$I$8:$I$10000,SMALL(IF('Schwab Positions'!$E$8:$E$10000=$C$2,ROW('Schwab Positions'!$E$8:$E$10000)-7,""),ROWS($G$19:$G286))),"")</f>
        <v/>
      </c>
      <c r="H286" s="100" t="str">
        <f t="shared" si="14"/>
        <v/>
      </c>
      <c r="I286" s="37" t="str" cm="1">
        <f t="array" ref="I286">IFERROR(IF($D286="Bond",IFERROR(INDEX('Schwab Positions'!$J$8:$J$10000,SMALL(IF('Schwab Positions'!$E$8:$E$10000=$C$2,ROW('Schwab Positions'!$E$8:$E$10000)-7,""),ROWS($I$19:$I286))),""),$F286*$G286),"")</f>
        <v/>
      </c>
    </row>
    <row r="287" spans="2:9">
      <c r="B287" t="str" cm="1">
        <f t="array" ref="B287">IFERROR(INDEX('Schwab Positions'!$A$8:$A$10000,SMALL(IF('Schwab Positions'!$E$8:$E$10000=$C$2,ROW('Schwab Positions'!$E$8:$E$10000)-7,""),ROWS($B$19:B287))),"")</f>
        <v/>
      </c>
      <c r="C287" t="str">
        <f>IFERROR(VLOOKUP(B287,'Schwab Positions'!$A$8:$B$10000,2,FALSE),"")</f>
        <v/>
      </c>
      <c r="D287" s="34" t="str">
        <f>IFERROR(VLOOKUP(B287,'Security Type'!$A$2:$C$1000,3,FALSE),"")</f>
        <v/>
      </c>
      <c r="E287" s="34" t="str">
        <f>IF(B287="","",IF(ISNUMBER(MATCH(B287,'2022 Port'!$D$6:$D$67,0)),VLOOKUP(B287,'Security Type'!$A$3:$D$1000,4,FALSE),"NOT IN PORT"))</f>
        <v/>
      </c>
      <c r="F287" t="str" cm="1">
        <f t="array" ref="F287">IFERROR(INDEX('Schwab Positions'!$D$8:$D$10000,SMALL(IF('Schwab Positions'!$E$8:$E$10000=$C$2,ROW('Schwab Positions'!$E$8:$E$10000)-7,""),ROWS($F$19:$F287))),"")</f>
        <v/>
      </c>
      <c r="G287" s="1" t="str" cm="1">
        <f t="array" ref="G287">IFERROR(INDEX('Schwab Positions'!$I$8:$I$10000,SMALL(IF('Schwab Positions'!$E$8:$E$10000=$C$2,ROW('Schwab Positions'!$E$8:$E$10000)-7,""),ROWS($G$19:$G287))),"")</f>
        <v/>
      </c>
      <c r="H287" s="100" t="str">
        <f t="shared" si="14"/>
        <v/>
      </c>
      <c r="I287" s="37" t="str" cm="1">
        <f t="array" ref="I287">IFERROR(IF($D287="Bond",IFERROR(INDEX('Schwab Positions'!$J$8:$J$10000,SMALL(IF('Schwab Positions'!$E$8:$E$10000=$C$2,ROW('Schwab Positions'!$E$8:$E$10000)-7,""),ROWS($I$19:$I287))),""),$F287*$G287),"")</f>
        <v/>
      </c>
    </row>
    <row r="288" spans="2:9">
      <c r="B288" t="str" cm="1">
        <f t="array" ref="B288">IFERROR(INDEX('Schwab Positions'!$A$8:$A$10000,SMALL(IF('Schwab Positions'!$E$8:$E$10000=$C$2,ROW('Schwab Positions'!$E$8:$E$10000)-7,""),ROWS($B$19:B288))),"")</f>
        <v/>
      </c>
      <c r="C288" t="str">
        <f>IFERROR(VLOOKUP(B288,'Schwab Positions'!$A$8:$B$10000,2,FALSE),"")</f>
        <v/>
      </c>
      <c r="D288" s="34" t="str">
        <f>IFERROR(VLOOKUP(B288,'Security Type'!$A$2:$C$1000,3,FALSE),"")</f>
        <v/>
      </c>
      <c r="E288" s="34" t="str">
        <f>IF(B288="","",IF(ISNUMBER(MATCH(B288,'2022 Port'!$D$6:$D$67,0)),VLOOKUP(B288,'Security Type'!$A$3:$D$1000,4,FALSE),"NOT IN PORT"))</f>
        <v/>
      </c>
      <c r="F288" t="str" cm="1">
        <f t="array" ref="F288">IFERROR(INDEX('Schwab Positions'!$D$8:$D$10000,SMALL(IF('Schwab Positions'!$E$8:$E$10000=$C$2,ROW('Schwab Positions'!$E$8:$E$10000)-7,""),ROWS($F$19:$F288))),"")</f>
        <v/>
      </c>
      <c r="G288" s="1" t="str" cm="1">
        <f t="array" ref="G288">IFERROR(INDEX('Schwab Positions'!$I$8:$I$10000,SMALL(IF('Schwab Positions'!$E$8:$E$10000=$C$2,ROW('Schwab Positions'!$E$8:$E$10000)-7,""),ROWS($G$19:$G288))),"")</f>
        <v/>
      </c>
      <c r="H288" s="100" t="str">
        <f t="shared" si="14"/>
        <v/>
      </c>
      <c r="I288" s="37" t="str" cm="1">
        <f t="array" ref="I288">IFERROR(IF($D288="Bond",IFERROR(INDEX('Schwab Positions'!$J$8:$J$10000,SMALL(IF('Schwab Positions'!$E$8:$E$10000=$C$2,ROW('Schwab Positions'!$E$8:$E$10000)-7,""),ROWS($I$19:$I288))),""),$F288*$G288),"")</f>
        <v/>
      </c>
    </row>
    <row r="289" spans="2:9">
      <c r="B289" t="str" cm="1">
        <f t="array" ref="B289">IFERROR(INDEX('Schwab Positions'!$A$8:$A$10000,SMALL(IF('Schwab Positions'!$E$8:$E$10000=$C$2,ROW('Schwab Positions'!$E$8:$E$10000)-7,""),ROWS($B$19:B289))),"")</f>
        <v/>
      </c>
      <c r="C289" t="str">
        <f>IFERROR(VLOOKUP(B289,'Schwab Positions'!$A$8:$B$10000,2,FALSE),"")</f>
        <v/>
      </c>
      <c r="D289" s="34" t="str">
        <f>IFERROR(VLOOKUP(B289,'Security Type'!$A$2:$C$1000,3,FALSE),"")</f>
        <v/>
      </c>
      <c r="E289" s="34" t="str">
        <f>IF(B289="","",IF(ISNUMBER(MATCH(B289,'2022 Port'!$D$6:$D$67,0)),VLOOKUP(B289,'Security Type'!$A$3:$D$1000,4,FALSE),"NOT IN PORT"))</f>
        <v/>
      </c>
      <c r="F289" t="str" cm="1">
        <f t="array" ref="F289">IFERROR(INDEX('Schwab Positions'!$D$8:$D$10000,SMALL(IF('Schwab Positions'!$E$8:$E$10000=$C$2,ROW('Schwab Positions'!$E$8:$E$10000)-7,""),ROWS($F$19:$F289))),"")</f>
        <v/>
      </c>
      <c r="G289" s="1" t="str" cm="1">
        <f t="array" ref="G289">IFERROR(INDEX('Schwab Positions'!$I$8:$I$10000,SMALL(IF('Schwab Positions'!$E$8:$E$10000=$C$2,ROW('Schwab Positions'!$E$8:$E$10000)-7,""),ROWS($G$19:$G289))),"")</f>
        <v/>
      </c>
      <c r="H289" s="100" t="str">
        <f t="shared" si="14"/>
        <v/>
      </c>
      <c r="I289" s="37" t="str" cm="1">
        <f t="array" ref="I289">IFERROR(IF($D289="Bond",IFERROR(INDEX('Schwab Positions'!$J$8:$J$10000,SMALL(IF('Schwab Positions'!$E$8:$E$10000=$C$2,ROW('Schwab Positions'!$E$8:$E$10000)-7,""),ROWS($I$19:$I289))),""),$F289*$G289),"")</f>
        <v/>
      </c>
    </row>
    <row r="290" spans="2:9">
      <c r="B290" t="str" cm="1">
        <f t="array" ref="B290">IFERROR(INDEX('Schwab Positions'!$A$8:$A$10000,SMALL(IF('Schwab Positions'!$E$8:$E$10000=$C$2,ROW('Schwab Positions'!$E$8:$E$10000)-7,""),ROWS($B$19:B290))),"")</f>
        <v/>
      </c>
      <c r="C290" t="str">
        <f>IFERROR(VLOOKUP(B290,'Schwab Positions'!$A$8:$B$10000,2,FALSE),"")</f>
        <v/>
      </c>
      <c r="D290" s="34" t="str">
        <f>IFERROR(VLOOKUP(B290,'Security Type'!$A$2:$C$1000,3,FALSE),"")</f>
        <v/>
      </c>
      <c r="E290" s="34" t="str">
        <f>IF(B290="","",IF(ISNUMBER(MATCH(B290,'2022 Port'!$D$6:$D$67,0)),VLOOKUP(B290,'Security Type'!$A$3:$D$1000,4,FALSE),"NOT IN PORT"))</f>
        <v/>
      </c>
      <c r="F290" t="str" cm="1">
        <f t="array" ref="F290">IFERROR(INDEX('Schwab Positions'!$D$8:$D$10000,SMALL(IF('Schwab Positions'!$E$8:$E$10000=$C$2,ROW('Schwab Positions'!$E$8:$E$10000)-7,""),ROWS($F$19:$F290))),"")</f>
        <v/>
      </c>
      <c r="G290" s="1" t="str" cm="1">
        <f t="array" ref="G290">IFERROR(INDEX('Schwab Positions'!$I$8:$I$10000,SMALL(IF('Schwab Positions'!$E$8:$E$10000=$C$2,ROW('Schwab Positions'!$E$8:$E$10000)-7,""),ROWS($G$19:$G290))),"")</f>
        <v/>
      </c>
      <c r="H290" s="100" t="str">
        <f t="shared" si="14"/>
        <v/>
      </c>
      <c r="I290" s="37" t="str" cm="1">
        <f t="array" ref="I290">IFERROR(IF($D290="Bond",IFERROR(INDEX('Schwab Positions'!$J$8:$J$10000,SMALL(IF('Schwab Positions'!$E$8:$E$10000=$C$2,ROW('Schwab Positions'!$E$8:$E$10000)-7,""),ROWS($I$19:$I290))),""),$F290*$G290),"")</f>
        <v/>
      </c>
    </row>
    <row r="291" spans="2:9">
      <c r="B291" t="str" cm="1">
        <f t="array" ref="B291">IFERROR(INDEX('Schwab Positions'!$A$8:$A$10000,SMALL(IF('Schwab Positions'!$E$8:$E$10000=$C$2,ROW('Schwab Positions'!$E$8:$E$10000)-7,""),ROWS($B$19:B291))),"")</f>
        <v/>
      </c>
      <c r="C291" t="str">
        <f>IFERROR(VLOOKUP(B291,'Schwab Positions'!$A$8:$B$10000,2,FALSE),"")</f>
        <v/>
      </c>
      <c r="D291" s="34" t="str">
        <f>IFERROR(VLOOKUP(B291,'Security Type'!$A$2:$C$1000,3,FALSE),"")</f>
        <v/>
      </c>
      <c r="E291" s="34" t="str">
        <f>IF(B291="","",IF(ISNUMBER(MATCH(B291,'2022 Port'!$D$6:$D$67,0)),VLOOKUP(B291,'Security Type'!$A$3:$D$1000,4,FALSE),"NOT IN PORT"))</f>
        <v/>
      </c>
      <c r="F291" t="str" cm="1">
        <f t="array" ref="F291">IFERROR(INDEX('Schwab Positions'!$D$8:$D$10000,SMALL(IF('Schwab Positions'!$E$8:$E$10000=$C$2,ROW('Schwab Positions'!$E$8:$E$10000)-7,""),ROWS($F$19:$F291))),"")</f>
        <v/>
      </c>
      <c r="G291" s="1" t="str" cm="1">
        <f t="array" ref="G291">IFERROR(INDEX('Schwab Positions'!$I$8:$I$10000,SMALL(IF('Schwab Positions'!$E$8:$E$10000=$C$2,ROW('Schwab Positions'!$E$8:$E$10000)-7,""),ROWS($G$19:$G291))),"")</f>
        <v/>
      </c>
      <c r="H291" s="100" t="str">
        <f t="shared" si="14"/>
        <v/>
      </c>
      <c r="I291" s="37" t="str" cm="1">
        <f t="array" ref="I291">IFERROR(IF($D291="Bond",IFERROR(INDEX('Schwab Positions'!$J$8:$J$10000,SMALL(IF('Schwab Positions'!$E$8:$E$10000=$C$2,ROW('Schwab Positions'!$E$8:$E$10000)-7,""),ROWS($I$19:$I291))),""),$F291*$G291),"")</f>
        <v/>
      </c>
    </row>
    <row r="292" spans="2:9">
      <c r="B292" t="str" cm="1">
        <f t="array" ref="B292">IFERROR(INDEX('Schwab Positions'!$A$8:$A$10000,SMALL(IF('Schwab Positions'!$E$8:$E$10000=$C$2,ROW('Schwab Positions'!$E$8:$E$10000)-7,""),ROWS($B$19:B292))),"")</f>
        <v/>
      </c>
      <c r="C292" t="str">
        <f>IFERROR(VLOOKUP(B292,'Schwab Positions'!$A$8:$B$10000,2,FALSE),"")</f>
        <v/>
      </c>
      <c r="D292" s="34" t="str">
        <f>IFERROR(VLOOKUP(B292,'Security Type'!$A$2:$C$1000,3,FALSE),"")</f>
        <v/>
      </c>
      <c r="E292" s="34" t="str">
        <f>IF(B292="","",IF(ISNUMBER(MATCH(B292,'2022 Port'!$D$6:$D$67,0)),VLOOKUP(B292,'Security Type'!$A$3:$D$1000,4,FALSE),"NOT IN PORT"))</f>
        <v/>
      </c>
      <c r="F292" t="str" cm="1">
        <f t="array" ref="F292">IFERROR(INDEX('Schwab Positions'!$D$8:$D$10000,SMALL(IF('Schwab Positions'!$E$8:$E$10000=$C$2,ROW('Schwab Positions'!$E$8:$E$10000)-7,""),ROWS($F$19:$F292))),"")</f>
        <v/>
      </c>
      <c r="G292" s="1" t="str" cm="1">
        <f t="array" ref="G292">IFERROR(INDEX('Schwab Positions'!$I$8:$I$10000,SMALL(IF('Schwab Positions'!$E$8:$E$10000=$C$2,ROW('Schwab Positions'!$E$8:$E$10000)-7,""),ROWS($G$19:$G292))),"")</f>
        <v/>
      </c>
      <c r="H292" s="100" t="str">
        <f t="shared" si="14"/>
        <v/>
      </c>
      <c r="I292" s="37" t="str" cm="1">
        <f t="array" ref="I292">IFERROR(IF($D292="Bond",IFERROR(INDEX('Schwab Positions'!$J$8:$J$10000,SMALL(IF('Schwab Positions'!$E$8:$E$10000=$C$2,ROW('Schwab Positions'!$E$8:$E$10000)-7,""),ROWS($I$19:$I292))),""),$F292*$G292),"")</f>
        <v/>
      </c>
    </row>
    <row r="293" spans="2:9">
      <c r="B293" t="str" cm="1">
        <f t="array" ref="B293">IFERROR(INDEX('Schwab Positions'!$A$8:$A$10000,SMALL(IF('Schwab Positions'!$E$8:$E$10000=$C$2,ROW('Schwab Positions'!$E$8:$E$10000)-7,""),ROWS($B$19:B293))),"")</f>
        <v/>
      </c>
      <c r="C293" t="str">
        <f>IFERROR(VLOOKUP(B293,'Schwab Positions'!$A$8:$B$10000,2,FALSE),"")</f>
        <v/>
      </c>
      <c r="D293" s="34" t="str">
        <f>IFERROR(VLOOKUP(B293,'Security Type'!$A$2:$C$1000,3,FALSE),"")</f>
        <v/>
      </c>
      <c r="E293" s="34" t="str">
        <f>IF(B293="","",IF(ISNUMBER(MATCH(B293,'2022 Port'!$D$6:$D$67,0)),VLOOKUP(B293,'Security Type'!$A$3:$D$1000,4,FALSE),"NOT IN PORT"))</f>
        <v/>
      </c>
      <c r="F293" t="str" cm="1">
        <f t="array" ref="F293">IFERROR(INDEX('Schwab Positions'!$D$8:$D$10000,SMALL(IF('Schwab Positions'!$E$8:$E$10000=$C$2,ROW('Schwab Positions'!$E$8:$E$10000)-7,""),ROWS($F$19:$F293))),"")</f>
        <v/>
      </c>
      <c r="G293" s="1" t="str" cm="1">
        <f t="array" ref="G293">IFERROR(INDEX('Schwab Positions'!$I$8:$I$10000,SMALL(IF('Schwab Positions'!$E$8:$E$10000=$C$2,ROW('Schwab Positions'!$E$8:$E$10000)-7,""),ROWS($G$19:$G293))),"")</f>
        <v/>
      </c>
      <c r="H293" s="100" t="str">
        <f t="shared" si="14"/>
        <v/>
      </c>
      <c r="I293" s="37" t="str" cm="1">
        <f t="array" ref="I293">IFERROR(IF($D293="Bond",IFERROR(INDEX('Schwab Positions'!$J$8:$J$10000,SMALL(IF('Schwab Positions'!$E$8:$E$10000=$C$2,ROW('Schwab Positions'!$E$8:$E$10000)-7,""),ROWS($I$19:$I293))),""),$F293*$G293),"")</f>
        <v/>
      </c>
    </row>
    <row r="294" spans="2:9">
      <c r="B294" t="str" cm="1">
        <f t="array" ref="B294">IFERROR(INDEX('Schwab Positions'!$A$8:$A$10000,SMALL(IF('Schwab Positions'!$E$8:$E$10000=$C$2,ROW('Schwab Positions'!$E$8:$E$10000)-7,""),ROWS($B$19:B294))),"")</f>
        <v/>
      </c>
      <c r="C294" t="str">
        <f>IFERROR(VLOOKUP(B294,'Schwab Positions'!$A$8:$B$10000,2,FALSE),"")</f>
        <v/>
      </c>
      <c r="D294" s="34" t="str">
        <f>IFERROR(VLOOKUP(B294,'Security Type'!$A$2:$C$1000,3,FALSE),"")</f>
        <v/>
      </c>
      <c r="E294" s="34" t="str">
        <f>IF(B294="","",IF(ISNUMBER(MATCH(B294,'2022 Port'!$D$6:$D$67,0)),VLOOKUP(B294,'Security Type'!$A$3:$D$1000,4,FALSE),"NOT IN PORT"))</f>
        <v/>
      </c>
      <c r="F294" t="str" cm="1">
        <f t="array" ref="F294">IFERROR(INDEX('Schwab Positions'!$D$8:$D$10000,SMALL(IF('Schwab Positions'!$E$8:$E$10000=$C$2,ROW('Schwab Positions'!$E$8:$E$10000)-7,""),ROWS($F$19:$F294))),"")</f>
        <v/>
      </c>
      <c r="G294" s="1" t="str" cm="1">
        <f t="array" ref="G294">IFERROR(INDEX('Schwab Positions'!$I$8:$I$10000,SMALL(IF('Schwab Positions'!$E$8:$E$10000=$C$2,ROW('Schwab Positions'!$E$8:$E$10000)-7,""),ROWS($G$19:$G294))),"")</f>
        <v/>
      </c>
      <c r="H294" s="100" t="str">
        <f t="shared" si="14"/>
        <v/>
      </c>
      <c r="I294" s="37" t="str" cm="1">
        <f t="array" ref="I294">IFERROR(IF($D294="Bond",IFERROR(INDEX('Schwab Positions'!$J$8:$J$10000,SMALL(IF('Schwab Positions'!$E$8:$E$10000=$C$2,ROW('Schwab Positions'!$E$8:$E$10000)-7,""),ROWS($I$19:$I294))),""),$F294*$G294),"")</f>
        <v/>
      </c>
    </row>
    <row r="295" spans="2:9">
      <c r="B295" t="str" cm="1">
        <f t="array" ref="B295">IFERROR(INDEX('Schwab Positions'!$A$8:$A$10000,SMALL(IF('Schwab Positions'!$E$8:$E$10000=$C$2,ROW('Schwab Positions'!$E$8:$E$10000)-7,""),ROWS($B$19:B295))),"")</f>
        <v/>
      </c>
      <c r="C295" t="str">
        <f>IFERROR(VLOOKUP(B295,'Schwab Positions'!$A$8:$B$10000,2,FALSE),"")</f>
        <v/>
      </c>
      <c r="D295" s="34" t="str">
        <f>IFERROR(VLOOKUP(B295,'Security Type'!$A$2:$C$1000,3,FALSE),"")</f>
        <v/>
      </c>
      <c r="E295" s="34" t="str">
        <f>IF(B295="","",IF(ISNUMBER(MATCH(B295,'2022 Port'!$D$6:$D$67,0)),VLOOKUP(B295,'Security Type'!$A$3:$D$1000,4,FALSE),"NOT IN PORT"))</f>
        <v/>
      </c>
      <c r="F295" t="str" cm="1">
        <f t="array" ref="F295">IFERROR(INDEX('Schwab Positions'!$D$8:$D$10000,SMALL(IF('Schwab Positions'!$E$8:$E$10000=$C$2,ROW('Schwab Positions'!$E$8:$E$10000)-7,""),ROWS($F$19:$F295))),"")</f>
        <v/>
      </c>
      <c r="G295" s="1" t="str" cm="1">
        <f t="array" ref="G295">IFERROR(INDEX('Schwab Positions'!$I$8:$I$10000,SMALL(IF('Schwab Positions'!$E$8:$E$10000=$C$2,ROW('Schwab Positions'!$E$8:$E$10000)-7,""),ROWS($G$19:$G295))),"")</f>
        <v/>
      </c>
      <c r="H295" s="100" t="str">
        <f t="shared" si="14"/>
        <v/>
      </c>
      <c r="I295" s="37" t="str" cm="1">
        <f t="array" ref="I295">IFERROR(IF($D295="Bond",IFERROR(INDEX('Schwab Positions'!$J$8:$J$10000,SMALL(IF('Schwab Positions'!$E$8:$E$10000=$C$2,ROW('Schwab Positions'!$E$8:$E$10000)-7,""),ROWS($I$19:$I295))),""),$F295*$G295),"")</f>
        <v/>
      </c>
    </row>
    <row r="296" spans="2:9">
      <c r="B296" t="str" cm="1">
        <f t="array" ref="B296">IFERROR(INDEX('Schwab Positions'!$A$8:$A$10000,SMALL(IF('Schwab Positions'!$E$8:$E$10000=$C$2,ROW('Schwab Positions'!$E$8:$E$10000)-7,""),ROWS($B$19:B296))),"")</f>
        <v/>
      </c>
      <c r="C296" t="str">
        <f>IFERROR(VLOOKUP(B296,'Schwab Positions'!$A$8:$B$10000,2,FALSE),"")</f>
        <v/>
      </c>
      <c r="D296" s="34" t="str">
        <f>IFERROR(VLOOKUP(B296,'Security Type'!$A$2:$C$1000,3,FALSE),"")</f>
        <v/>
      </c>
      <c r="E296" s="34" t="str">
        <f>IF(B296="","",IF(ISNUMBER(MATCH(B296,'2022 Port'!$D$6:$D$67,0)),VLOOKUP(B296,'Security Type'!$A$3:$D$1000,4,FALSE),"NOT IN PORT"))</f>
        <v/>
      </c>
      <c r="F296" t="str" cm="1">
        <f t="array" ref="F296">IFERROR(INDEX('Schwab Positions'!$D$8:$D$10000,SMALL(IF('Schwab Positions'!$E$8:$E$10000=$C$2,ROW('Schwab Positions'!$E$8:$E$10000)-7,""),ROWS($F$19:$F296))),"")</f>
        <v/>
      </c>
      <c r="G296" s="1" t="str" cm="1">
        <f t="array" ref="G296">IFERROR(INDEX('Schwab Positions'!$I$8:$I$10000,SMALL(IF('Schwab Positions'!$E$8:$E$10000=$C$2,ROW('Schwab Positions'!$E$8:$E$10000)-7,""),ROWS($G$19:$G296))),"")</f>
        <v/>
      </c>
      <c r="H296" s="100" t="str">
        <f t="shared" si="14"/>
        <v/>
      </c>
      <c r="I296" s="37" t="str" cm="1">
        <f t="array" ref="I296">IFERROR(IF($D296="Bond",IFERROR(INDEX('Schwab Positions'!$J$8:$J$10000,SMALL(IF('Schwab Positions'!$E$8:$E$10000=$C$2,ROW('Schwab Positions'!$E$8:$E$10000)-7,""),ROWS($I$19:$I296))),""),$F296*$G296),"")</f>
        <v/>
      </c>
    </row>
    <row r="297" spans="2:9">
      <c r="B297" t="str" cm="1">
        <f t="array" ref="B297">IFERROR(INDEX('Schwab Positions'!$A$8:$A$10000,SMALL(IF('Schwab Positions'!$E$8:$E$10000=$C$2,ROW('Schwab Positions'!$E$8:$E$10000)-7,""),ROWS($B$19:B297))),"")</f>
        <v/>
      </c>
      <c r="C297" t="str">
        <f>IFERROR(VLOOKUP(B297,'Schwab Positions'!$A$8:$B$10000,2,FALSE),"")</f>
        <v/>
      </c>
      <c r="D297" s="34" t="str">
        <f>IFERROR(VLOOKUP(B297,'Security Type'!$A$2:$C$1000,3,FALSE),"")</f>
        <v/>
      </c>
      <c r="E297" s="34" t="str">
        <f>IF(B297="","",IF(ISNUMBER(MATCH(B297,'2022 Port'!$D$6:$D$67,0)),VLOOKUP(B297,'Security Type'!$A$3:$D$1000,4,FALSE),"NOT IN PORT"))</f>
        <v/>
      </c>
      <c r="F297" t="str" cm="1">
        <f t="array" ref="F297">IFERROR(INDEX('Schwab Positions'!$D$8:$D$10000,SMALL(IF('Schwab Positions'!$E$8:$E$10000=$C$2,ROW('Schwab Positions'!$E$8:$E$10000)-7,""),ROWS($F$19:$F297))),"")</f>
        <v/>
      </c>
      <c r="G297" s="1" t="str" cm="1">
        <f t="array" ref="G297">IFERROR(INDEX('Schwab Positions'!$I$8:$I$10000,SMALL(IF('Schwab Positions'!$E$8:$E$10000=$C$2,ROW('Schwab Positions'!$E$8:$E$10000)-7,""),ROWS($G$19:$G297))),"")</f>
        <v/>
      </c>
      <c r="H297" s="100" t="str">
        <f t="shared" si="14"/>
        <v/>
      </c>
      <c r="I297" s="37" t="str" cm="1">
        <f t="array" ref="I297">IFERROR(IF($D297="Bond",IFERROR(INDEX('Schwab Positions'!$J$8:$J$10000,SMALL(IF('Schwab Positions'!$E$8:$E$10000=$C$2,ROW('Schwab Positions'!$E$8:$E$10000)-7,""),ROWS($I$19:$I297))),""),$F297*$G297),"")</f>
        <v/>
      </c>
    </row>
    <row r="298" spans="2:9">
      <c r="B298" t="str" cm="1">
        <f t="array" ref="B298">IFERROR(INDEX('Schwab Positions'!$A$8:$A$10000,SMALL(IF('Schwab Positions'!$E$8:$E$10000=$C$2,ROW('Schwab Positions'!$E$8:$E$10000)-7,""),ROWS($B$19:B298))),"")</f>
        <v/>
      </c>
      <c r="C298" t="str">
        <f>IFERROR(VLOOKUP(B298,'Schwab Positions'!$A$8:$B$10000,2,FALSE),"")</f>
        <v/>
      </c>
      <c r="D298" s="34" t="str">
        <f>IFERROR(VLOOKUP(B298,'Security Type'!$A$2:$C$1000,3,FALSE),"")</f>
        <v/>
      </c>
      <c r="E298" s="34" t="str">
        <f>IF(B298="","",IF(ISNUMBER(MATCH(B298,'2022 Port'!$D$6:$D$67,0)),VLOOKUP(B298,'Security Type'!$A$3:$D$1000,4,FALSE),"NOT IN PORT"))</f>
        <v/>
      </c>
      <c r="F298" t="str" cm="1">
        <f t="array" ref="F298">IFERROR(INDEX('Schwab Positions'!$D$8:$D$10000,SMALL(IF('Schwab Positions'!$E$8:$E$10000=$C$2,ROW('Schwab Positions'!$E$8:$E$10000)-7,""),ROWS($F$19:$F298))),"")</f>
        <v/>
      </c>
      <c r="G298" s="1" t="str" cm="1">
        <f t="array" ref="G298">IFERROR(INDEX('Schwab Positions'!$I$8:$I$10000,SMALL(IF('Schwab Positions'!$E$8:$E$10000=$C$2,ROW('Schwab Positions'!$E$8:$E$10000)-7,""),ROWS($G$19:$G298))),"")</f>
        <v/>
      </c>
      <c r="H298" s="100" t="str">
        <f t="shared" si="14"/>
        <v/>
      </c>
      <c r="I298" s="37" t="str" cm="1">
        <f t="array" ref="I298">IFERROR(IF($D298="Bond",IFERROR(INDEX('Schwab Positions'!$J$8:$J$10000,SMALL(IF('Schwab Positions'!$E$8:$E$10000=$C$2,ROW('Schwab Positions'!$E$8:$E$10000)-7,""),ROWS($I$19:$I298))),""),$F298*$G298),"")</f>
        <v/>
      </c>
    </row>
    <row r="299" spans="2:9">
      <c r="B299" t="str" cm="1">
        <f t="array" ref="B299">IFERROR(INDEX('Schwab Positions'!$A$8:$A$10000,SMALL(IF('Schwab Positions'!$E$8:$E$10000=$C$2,ROW('Schwab Positions'!$E$8:$E$10000)-7,""),ROWS($B$19:B299))),"")</f>
        <v/>
      </c>
      <c r="C299" t="str">
        <f>IFERROR(VLOOKUP(B299,'Schwab Positions'!$A$8:$B$10000,2,FALSE),"")</f>
        <v/>
      </c>
      <c r="D299" s="34" t="str">
        <f>IFERROR(VLOOKUP(B299,'Security Type'!$A$2:$C$1000,3,FALSE),"")</f>
        <v/>
      </c>
      <c r="E299" s="34" t="str">
        <f>IF(B299="","",IF(ISNUMBER(MATCH(B299,'2022 Port'!$D$6:$D$67,0)),VLOOKUP(B299,'Security Type'!$A$3:$D$1000,4,FALSE),"NOT IN PORT"))</f>
        <v/>
      </c>
      <c r="F299" t="str" cm="1">
        <f t="array" ref="F299">IFERROR(INDEX('Schwab Positions'!$D$8:$D$10000,SMALL(IF('Schwab Positions'!$E$8:$E$10000=$C$2,ROW('Schwab Positions'!$E$8:$E$10000)-7,""),ROWS($F$19:$F299))),"")</f>
        <v/>
      </c>
      <c r="G299" s="1" t="str" cm="1">
        <f t="array" ref="G299">IFERROR(INDEX('Schwab Positions'!$I$8:$I$10000,SMALL(IF('Schwab Positions'!$E$8:$E$10000=$C$2,ROW('Schwab Positions'!$E$8:$E$10000)-7,""),ROWS($G$19:$G299))),"")</f>
        <v/>
      </c>
      <c r="H299" s="100" t="str">
        <f t="shared" si="14"/>
        <v/>
      </c>
      <c r="I299" s="37" t="str" cm="1">
        <f t="array" ref="I299">IFERROR(IF($D299="Bond",IFERROR(INDEX('Schwab Positions'!$J$8:$J$10000,SMALL(IF('Schwab Positions'!$E$8:$E$10000=$C$2,ROW('Schwab Positions'!$E$8:$E$10000)-7,""),ROWS($I$19:$I299))),""),$F299*$G299),"")</f>
        <v/>
      </c>
    </row>
    <row r="300" spans="2:9">
      <c r="B300" t="str" cm="1">
        <f t="array" ref="B300">IFERROR(INDEX('Schwab Positions'!$A$8:$A$10000,SMALL(IF('Schwab Positions'!$E$8:$E$10000=$C$2,ROW('Schwab Positions'!$E$8:$E$10000)-7,""),ROWS($B$19:B300))),"")</f>
        <v/>
      </c>
      <c r="C300" t="str">
        <f>IFERROR(VLOOKUP(B300,'Schwab Positions'!$A$8:$B$10000,2,FALSE),"")</f>
        <v/>
      </c>
      <c r="D300" s="34" t="str">
        <f>IFERROR(VLOOKUP(B300,'Security Type'!$A$2:$C$1000,3,FALSE),"")</f>
        <v/>
      </c>
      <c r="E300" s="34" t="str">
        <f>IF(B300="","",IF(ISNUMBER(MATCH(B300,'2022 Port'!$D$6:$D$67,0)),VLOOKUP(B300,'Security Type'!$A$3:$D$1000,4,FALSE),"NOT IN PORT"))</f>
        <v/>
      </c>
      <c r="F300" t="str" cm="1">
        <f t="array" ref="F300">IFERROR(INDEX('Schwab Positions'!$D$8:$D$10000,SMALL(IF('Schwab Positions'!$E$8:$E$10000=$C$2,ROW('Schwab Positions'!$E$8:$E$10000)-7,""),ROWS($F$19:$F300))),"")</f>
        <v/>
      </c>
      <c r="G300" s="1" t="str" cm="1">
        <f t="array" ref="G300">IFERROR(INDEX('Schwab Positions'!$I$8:$I$10000,SMALL(IF('Schwab Positions'!$E$8:$E$10000=$C$2,ROW('Schwab Positions'!$E$8:$E$10000)-7,""),ROWS($G$19:$G300))),"")</f>
        <v/>
      </c>
      <c r="H300" s="100" t="str">
        <f t="shared" si="14"/>
        <v/>
      </c>
      <c r="I300" s="37" t="str" cm="1">
        <f t="array" ref="I300">IFERROR(IF($D300="Bond",IFERROR(INDEX('Schwab Positions'!$J$8:$J$10000,SMALL(IF('Schwab Positions'!$E$8:$E$10000=$C$2,ROW('Schwab Positions'!$E$8:$E$10000)-7,""),ROWS($I$19:$I300))),""),$F300*$G300),"")</f>
        <v/>
      </c>
    </row>
    <row r="301" spans="2:9">
      <c r="B301" t="str" cm="1">
        <f t="array" ref="B301">IFERROR(INDEX('Schwab Positions'!$A$8:$A$10000,SMALL(IF('Schwab Positions'!$E$8:$E$10000=$C$2,ROW('Schwab Positions'!$E$8:$E$10000)-7,""),ROWS($B$19:B301))),"")</f>
        <v/>
      </c>
      <c r="C301" t="str">
        <f>IFERROR(VLOOKUP(B301,'Schwab Positions'!$A$8:$B$10000,2,FALSE),"")</f>
        <v/>
      </c>
      <c r="D301" s="34" t="str">
        <f>IFERROR(VLOOKUP(B301,'Security Type'!$A$2:$C$1000,3,FALSE),"")</f>
        <v/>
      </c>
      <c r="E301" s="34" t="str">
        <f>IF(B301="","",IF(ISNUMBER(MATCH(B301,'2022 Port'!$D$6:$D$67,0)),VLOOKUP(B301,'Security Type'!$A$3:$D$1000,4,FALSE),"NOT IN PORT"))</f>
        <v/>
      </c>
      <c r="F301" t="str" cm="1">
        <f t="array" ref="F301">IFERROR(INDEX('Schwab Positions'!$D$8:$D$10000,SMALL(IF('Schwab Positions'!$E$8:$E$10000=$C$2,ROW('Schwab Positions'!$E$8:$E$10000)-7,""),ROWS($F$19:$F301))),"")</f>
        <v/>
      </c>
      <c r="G301" s="1" t="str" cm="1">
        <f t="array" ref="G301">IFERROR(INDEX('Schwab Positions'!$I$8:$I$10000,SMALL(IF('Schwab Positions'!$E$8:$E$10000=$C$2,ROW('Schwab Positions'!$E$8:$E$10000)-7,""),ROWS($G$19:$G301))),"")</f>
        <v/>
      </c>
      <c r="H301" s="100" t="str">
        <f t="shared" si="14"/>
        <v/>
      </c>
      <c r="I301" s="37" t="str" cm="1">
        <f t="array" ref="I301">IFERROR(IF($D301="Bond",IFERROR(INDEX('Schwab Positions'!$J$8:$J$10000,SMALL(IF('Schwab Positions'!$E$8:$E$10000=$C$2,ROW('Schwab Positions'!$E$8:$E$10000)-7,""),ROWS($I$19:$I301))),""),$F301*$G301),"")</f>
        <v/>
      </c>
    </row>
    <row r="302" spans="2:9">
      <c r="B302" t="str" cm="1">
        <f t="array" ref="B302">IFERROR(INDEX('Schwab Positions'!$A$8:$A$10000,SMALL(IF('Schwab Positions'!$E$8:$E$10000=$C$2,ROW('Schwab Positions'!$E$8:$E$10000)-7,""),ROWS($B$19:B302))),"")</f>
        <v/>
      </c>
      <c r="C302" t="str">
        <f>IFERROR(VLOOKUP(B302,'Schwab Positions'!$A$8:$B$10000,2,FALSE),"")</f>
        <v/>
      </c>
      <c r="D302" s="34" t="str">
        <f>IFERROR(VLOOKUP(B302,'Security Type'!$A$2:$C$1000,3,FALSE),"")</f>
        <v/>
      </c>
      <c r="E302" s="34" t="str">
        <f>IF(B302="","",IF(ISNUMBER(MATCH(B302,'2022 Port'!$D$6:$D$67,0)),VLOOKUP(B302,'Security Type'!$A$3:$D$1000,4,FALSE),"NOT IN PORT"))</f>
        <v/>
      </c>
      <c r="F302" t="str" cm="1">
        <f t="array" ref="F302">IFERROR(INDEX('Schwab Positions'!$D$8:$D$10000,SMALL(IF('Schwab Positions'!$E$8:$E$10000=$C$2,ROW('Schwab Positions'!$E$8:$E$10000)-7,""),ROWS($F$19:$F302))),"")</f>
        <v/>
      </c>
      <c r="G302" s="1" t="str" cm="1">
        <f t="array" ref="G302">IFERROR(INDEX('Schwab Positions'!$I$8:$I$10000,SMALL(IF('Schwab Positions'!$E$8:$E$10000=$C$2,ROW('Schwab Positions'!$E$8:$E$10000)-7,""),ROWS($G$19:$G302))),"")</f>
        <v/>
      </c>
      <c r="H302" s="100" t="str">
        <f t="shared" si="14"/>
        <v/>
      </c>
      <c r="I302" s="37" t="str" cm="1">
        <f t="array" ref="I302">IFERROR(IF($D302="Bond",IFERROR(INDEX('Schwab Positions'!$J$8:$J$10000,SMALL(IF('Schwab Positions'!$E$8:$E$10000=$C$2,ROW('Schwab Positions'!$E$8:$E$10000)-7,""),ROWS($I$19:$I302))),""),$F302*$G302),"")</f>
        <v/>
      </c>
    </row>
    <row r="303" spans="2:9">
      <c r="B303" t="str" cm="1">
        <f t="array" ref="B303">IFERROR(INDEX('Schwab Positions'!$A$8:$A$10000,SMALL(IF('Schwab Positions'!$E$8:$E$10000=$C$2,ROW('Schwab Positions'!$E$8:$E$10000)-7,""),ROWS($B$19:B303))),"")</f>
        <v/>
      </c>
      <c r="C303" t="str">
        <f>IFERROR(VLOOKUP(B303,'Schwab Positions'!$A$8:$B$10000,2,FALSE),"")</f>
        <v/>
      </c>
      <c r="D303" s="34" t="str">
        <f>IFERROR(VLOOKUP(B303,'Security Type'!$A$2:$C$1000,3,FALSE),"")</f>
        <v/>
      </c>
      <c r="E303" s="34" t="str">
        <f>IF(B303="","",IF(ISNUMBER(MATCH(B303,'2022 Port'!$D$6:$D$67,0)),VLOOKUP(B303,'Security Type'!$A$3:$D$1000,4,FALSE),"NOT IN PORT"))</f>
        <v/>
      </c>
      <c r="F303" t="str" cm="1">
        <f t="array" ref="F303">IFERROR(INDEX('Schwab Positions'!$D$8:$D$10000,SMALL(IF('Schwab Positions'!$E$8:$E$10000=$C$2,ROW('Schwab Positions'!$E$8:$E$10000)-7,""),ROWS($F$19:$F303))),"")</f>
        <v/>
      </c>
      <c r="G303" s="1" t="str" cm="1">
        <f t="array" ref="G303">IFERROR(INDEX('Schwab Positions'!$I$8:$I$10000,SMALL(IF('Schwab Positions'!$E$8:$E$10000=$C$2,ROW('Schwab Positions'!$E$8:$E$10000)-7,""),ROWS($G$19:$G303))),"")</f>
        <v/>
      </c>
      <c r="H303" s="100" t="str">
        <f t="shared" si="14"/>
        <v/>
      </c>
      <c r="I303" s="37" t="str" cm="1">
        <f t="array" ref="I303">IFERROR(IF($D303="Bond",IFERROR(INDEX('Schwab Positions'!$J$8:$J$10000,SMALL(IF('Schwab Positions'!$E$8:$E$10000=$C$2,ROW('Schwab Positions'!$E$8:$E$10000)-7,""),ROWS($I$19:$I303))),""),$F303*$G303),"")</f>
        <v/>
      </c>
    </row>
    <row r="304" spans="2:9">
      <c r="B304" t="str" cm="1">
        <f t="array" ref="B304">IFERROR(INDEX('Schwab Positions'!$A$8:$A$10000,SMALL(IF('Schwab Positions'!$E$8:$E$10000=$C$2,ROW('Schwab Positions'!$E$8:$E$10000)-7,""),ROWS($B$19:B304))),"")</f>
        <v/>
      </c>
      <c r="C304" t="str">
        <f>IFERROR(VLOOKUP(B304,'Schwab Positions'!$A$8:$B$10000,2,FALSE),"")</f>
        <v/>
      </c>
      <c r="D304" s="34" t="str">
        <f>IFERROR(VLOOKUP(B304,'Security Type'!$A$2:$C$1000,3,FALSE),"")</f>
        <v/>
      </c>
      <c r="E304" s="34" t="str">
        <f>IF(B304="","",IF(ISNUMBER(MATCH(B304,'2022 Port'!$D$6:$D$67,0)),VLOOKUP(B304,'Security Type'!$A$3:$D$1000,4,FALSE),"NOT IN PORT"))</f>
        <v/>
      </c>
      <c r="F304" t="str" cm="1">
        <f t="array" ref="F304">IFERROR(INDEX('Schwab Positions'!$D$8:$D$10000,SMALL(IF('Schwab Positions'!$E$8:$E$10000=$C$2,ROW('Schwab Positions'!$E$8:$E$10000)-7,""),ROWS($F$19:$F304))),"")</f>
        <v/>
      </c>
      <c r="G304" s="1" t="str" cm="1">
        <f t="array" ref="G304">IFERROR(INDEX('Schwab Positions'!$I$8:$I$10000,SMALL(IF('Schwab Positions'!$E$8:$E$10000=$C$2,ROW('Schwab Positions'!$E$8:$E$10000)-7,""),ROWS($G$19:$G304))),"")</f>
        <v/>
      </c>
      <c r="H304" s="100" t="str">
        <f t="shared" si="14"/>
        <v/>
      </c>
      <c r="I304" s="37" t="str" cm="1">
        <f t="array" ref="I304">IFERROR(IF($D304="Bond",IFERROR(INDEX('Schwab Positions'!$J$8:$J$10000,SMALL(IF('Schwab Positions'!$E$8:$E$10000=$C$2,ROW('Schwab Positions'!$E$8:$E$10000)-7,""),ROWS($I$19:$I304))),""),$F304*$G304),"")</f>
        <v/>
      </c>
    </row>
    <row r="305" spans="2:9">
      <c r="B305" t="str" cm="1">
        <f t="array" ref="B305">IFERROR(INDEX('Schwab Positions'!$A$8:$A$10000,SMALL(IF('Schwab Positions'!$E$8:$E$10000=$C$2,ROW('Schwab Positions'!$E$8:$E$10000)-7,""),ROWS($B$19:B305))),"")</f>
        <v/>
      </c>
      <c r="C305" t="str">
        <f>IFERROR(VLOOKUP(B305,'Schwab Positions'!$A$8:$B$10000,2,FALSE),"")</f>
        <v/>
      </c>
      <c r="D305" s="34" t="str">
        <f>IFERROR(VLOOKUP(B305,'Security Type'!$A$2:$C$1000,3,FALSE),"")</f>
        <v/>
      </c>
      <c r="E305" s="34" t="str">
        <f>IF(B305="","",IF(ISNUMBER(MATCH(B305,'2022 Port'!$D$6:$D$67,0)),VLOOKUP(B305,'Security Type'!$A$3:$D$1000,4,FALSE),"NOT IN PORT"))</f>
        <v/>
      </c>
      <c r="F305" t="str" cm="1">
        <f t="array" ref="F305">IFERROR(INDEX('Schwab Positions'!$D$8:$D$10000,SMALL(IF('Schwab Positions'!$E$8:$E$10000=$C$2,ROW('Schwab Positions'!$E$8:$E$10000)-7,""),ROWS($F$19:$F305))),"")</f>
        <v/>
      </c>
      <c r="G305" s="1" t="str" cm="1">
        <f t="array" ref="G305">IFERROR(INDEX('Schwab Positions'!$I$8:$I$10000,SMALL(IF('Schwab Positions'!$E$8:$E$10000=$C$2,ROW('Schwab Positions'!$E$8:$E$10000)-7,""),ROWS($G$19:$G305))),"")</f>
        <v/>
      </c>
      <c r="H305" s="100" t="str">
        <f t="shared" si="14"/>
        <v/>
      </c>
      <c r="I305" s="37" t="str" cm="1">
        <f t="array" ref="I305">IFERROR(IF($D305="Bond",IFERROR(INDEX('Schwab Positions'!$J$8:$J$10000,SMALL(IF('Schwab Positions'!$E$8:$E$10000=$C$2,ROW('Schwab Positions'!$E$8:$E$10000)-7,""),ROWS($I$19:$I305))),""),$F305*$G305),"")</f>
        <v/>
      </c>
    </row>
    <row r="306" spans="2:9">
      <c r="B306" t="str" cm="1">
        <f t="array" ref="B306">IFERROR(INDEX('Schwab Positions'!$A$8:$A$10000,SMALL(IF('Schwab Positions'!$E$8:$E$10000=$C$2,ROW('Schwab Positions'!$E$8:$E$10000)-7,""),ROWS($B$19:B306))),"")</f>
        <v/>
      </c>
      <c r="C306" t="str">
        <f>IFERROR(VLOOKUP(B306,'Schwab Positions'!$A$8:$B$10000,2,FALSE),"")</f>
        <v/>
      </c>
      <c r="D306" s="34" t="str">
        <f>IFERROR(VLOOKUP(B306,'Security Type'!$A$2:$C$1000,3,FALSE),"")</f>
        <v/>
      </c>
      <c r="E306" s="34" t="str">
        <f>IF(B306="","",IF(ISNUMBER(MATCH(B306,'2022 Port'!$D$6:$D$67,0)),VLOOKUP(B306,'Security Type'!$A$3:$D$1000,4,FALSE),"NOT IN PORT"))</f>
        <v/>
      </c>
      <c r="F306" t="str" cm="1">
        <f t="array" ref="F306">IFERROR(INDEX('Schwab Positions'!$D$8:$D$10000,SMALL(IF('Schwab Positions'!$E$8:$E$10000=$C$2,ROW('Schwab Positions'!$E$8:$E$10000)-7,""),ROWS($F$19:$F306))),"")</f>
        <v/>
      </c>
      <c r="G306" s="1" t="str" cm="1">
        <f t="array" ref="G306">IFERROR(INDEX('Schwab Positions'!$I$8:$I$10000,SMALL(IF('Schwab Positions'!$E$8:$E$10000=$C$2,ROW('Schwab Positions'!$E$8:$E$10000)-7,""),ROWS($G$19:$G306))),"")</f>
        <v/>
      </c>
      <c r="H306" s="100" t="str">
        <f t="shared" si="14"/>
        <v/>
      </c>
      <c r="I306" s="37" t="str" cm="1">
        <f t="array" ref="I306">IFERROR(IF($D306="Bond",IFERROR(INDEX('Schwab Positions'!$J$8:$J$10000,SMALL(IF('Schwab Positions'!$E$8:$E$10000=$C$2,ROW('Schwab Positions'!$E$8:$E$10000)-7,""),ROWS($I$19:$I306))),""),$F306*$G306),"")</f>
        <v/>
      </c>
    </row>
    <row r="307" spans="2:9">
      <c r="B307" t="str" cm="1">
        <f t="array" ref="B307">IFERROR(INDEX('Schwab Positions'!$A$8:$A$10000,SMALL(IF('Schwab Positions'!$E$8:$E$10000=$C$2,ROW('Schwab Positions'!$E$8:$E$10000)-7,""),ROWS($B$19:B307))),"")</f>
        <v/>
      </c>
      <c r="C307" t="str">
        <f>IFERROR(VLOOKUP(B307,'Schwab Positions'!$A$8:$B$10000,2,FALSE),"")</f>
        <v/>
      </c>
      <c r="D307" s="34" t="str">
        <f>IFERROR(VLOOKUP(B307,'Security Type'!$A$2:$C$1000,3,FALSE),"")</f>
        <v/>
      </c>
      <c r="E307" s="34" t="str">
        <f>IF(B307="","",IF(ISNUMBER(MATCH(B307,'2022 Port'!$D$6:$D$67,0)),VLOOKUP(B307,'Security Type'!$A$3:$D$1000,4,FALSE),"NOT IN PORT"))</f>
        <v/>
      </c>
      <c r="F307" t="str" cm="1">
        <f t="array" ref="F307">IFERROR(INDEX('Schwab Positions'!$D$8:$D$10000,SMALL(IF('Schwab Positions'!$E$8:$E$10000=$C$2,ROW('Schwab Positions'!$E$8:$E$10000)-7,""),ROWS($F$19:$F307))),"")</f>
        <v/>
      </c>
      <c r="G307" s="1" t="str" cm="1">
        <f t="array" ref="G307">IFERROR(INDEX('Schwab Positions'!$I$8:$I$10000,SMALL(IF('Schwab Positions'!$E$8:$E$10000=$C$2,ROW('Schwab Positions'!$E$8:$E$10000)-7,""),ROWS($G$19:$G307))),"")</f>
        <v/>
      </c>
      <c r="H307" s="100" t="str">
        <f t="shared" si="14"/>
        <v/>
      </c>
      <c r="I307" s="37" t="str" cm="1">
        <f t="array" ref="I307">IFERROR(IF($D307="Bond",IFERROR(INDEX('Schwab Positions'!$J$8:$J$10000,SMALL(IF('Schwab Positions'!$E$8:$E$10000=$C$2,ROW('Schwab Positions'!$E$8:$E$10000)-7,""),ROWS($I$19:$I307))),""),$F307*$G307),"")</f>
        <v/>
      </c>
    </row>
    <row r="308" spans="2:9">
      <c r="B308" t="str" cm="1">
        <f t="array" ref="B308">IFERROR(INDEX('Schwab Positions'!$A$8:$A$10000,SMALL(IF('Schwab Positions'!$E$8:$E$10000=$C$2,ROW('Schwab Positions'!$E$8:$E$10000)-7,""),ROWS($B$19:B308))),"")</f>
        <v/>
      </c>
      <c r="C308" t="str">
        <f>IFERROR(VLOOKUP(B308,'Schwab Positions'!$A$8:$B$10000,2,FALSE),"")</f>
        <v/>
      </c>
      <c r="D308" s="34" t="str">
        <f>IFERROR(VLOOKUP(B308,'Security Type'!$A$2:$C$1000,3,FALSE),"")</f>
        <v/>
      </c>
      <c r="E308" s="34" t="str">
        <f>IF(B308="","",IF(ISNUMBER(MATCH(B308,'2022 Port'!$D$6:$D$67,0)),VLOOKUP(B308,'Security Type'!$A$3:$D$1000,4,FALSE),"NOT IN PORT"))</f>
        <v/>
      </c>
      <c r="F308" t="str" cm="1">
        <f t="array" ref="F308">IFERROR(INDEX('Schwab Positions'!$D$8:$D$10000,SMALL(IF('Schwab Positions'!$E$8:$E$10000=$C$2,ROW('Schwab Positions'!$E$8:$E$10000)-7,""),ROWS($F$19:$F308))),"")</f>
        <v/>
      </c>
      <c r="G308" s="1" t="str" cm="1">
        <f t="array" ref="G308">IFERROR(INDEX('Schwab Positions'!$I$8:$I$10000,SMALL(IF('Schwab Positions'!$E$8:$E$10000=$C$2,ROW('Schwab Positions'!$E$8:$E$10000)-7,""),ROWS($G$19:$G308))),"")</f>
        <v/>
      </c>
      <c r="H308" s="100" t="str">
        <f t="shared" si="14"/>
        <v/>
      </c>
      <c r="I308" s="37" t="str" cm="1">
        <f t="array" ref="I308">IFERROR(IF($D308="Bond",IFERROR(INDEX('Schwab Positions'!$J$8:$J$10000,SMALL(IF('Schwab Positions'!$E$8:$E$10000=$C$2,ROW('Schwab Positions'!$E$8:$E$10000)-7,""),ROWS($I$19:$I308))),""),$F308*$G308),"")</f>
        <v/>
      </c>
    </row>
    <row r="309" spans="2:9">
      <c r="B309" t="str" cm="1">
        <f t="array" ref="B309">IFERROR(INDEX('Schwab Positions'!$A$8:$A$10000,SMALL(IF('Schwab Positions'!$E$8:$E$10000=$C$2,ROW('Schwab Positions'!$E$8:$E$10000)-7,""),ROWS($B$19:B309))),"")</f>
        <v/>
      </c>
      <c r="C309" t="str">
        <f>IFERROR(VLOOKUP(B309,'Schwab Positions'!$A$8:$B$10000,2,FALSE),"")</f>
        <v/>
      </c>
      <c r="D309" s="34" t="str">
        <f>IFERROR(VLOOKUP(B309,'Security Type'!$A$2:$C$1000,3,FALSE),"")</f>
        <v/>
      </c>
      <c r="E309" s="34" t="str">
        <f>IF(B309="","",IF(ISNUMBER(MATCH(B309,'2022 Port'!$D$6:$D$67,0)),VLOOKUP(B309,'Security Type'!$A$3:$D$1000,4,FALSE),"NOT IN PORT"))</f>
        <v/>
      </c>
      <c r="F309" t="str" cm="1">
        <f t="array" ref="F309">IFERROR(INDEX('Schwab Positions'!$D$8:$D$10000,SMALL(IF('Schwab Positions'!$E$8:$E$10000=$C$2,ROW('Schwab Positions'!$E$8:$E$10000)-7,""),ROWS($F$19:$F309))),"")</f>
        <v/>
      </c>
      <c r="G309" s="1" t="str" cm="1">
        <f t="array" ref="G309">IFERROR(INDEX('Schwab Positions'!$I$8:$I$10000,SMALL(IF('Schwab Positions'!$E$8:$E$10000=$C$2,ROW('Schwab Positions'!$E$8:$E$10000)-7,""),ROWS($G$19:$G309))),"")</f>
        <v/>
      </c>
      <c r="H309" s="100" t="str">
        <f t="shared" si="14"/>
        <v/>
      </c>
      <c r="I309" s="37" t="str" cm="1">
        <f t="array" ref="I309">IFERROR(IF($D309="Bond",IFERROR(INDEX('Schwab Positions'!$J$8:$J$10000,SMALL(IF('Schwab Positions'!$E$8:$E$10000=$C$2,ROW('Schwab Positions'!$E$8:$E$10000)-7,""),ROWS($I$19:$I309))),""),$F309*$G309),"")</f>
        <v/>
      </c>
    </row>
    <row r="310" spans="2:9">
      <c r="B310" t="str" cm="1">
        <f t="array" ref="B310">IFERROR(INDEX('Schwab Positions'!$A$8:$A$10000,SMALL(IF('Schwab Positions'!$E$8:$E$10000=$C$2,ROW('Schwab Positions'!$E$8:$E$10000)-7,""),ROWS($B$19:B310))),"")</f>
        <v/>
      </c>
      <c r="C310" t="str">
        <f>IFERROR(VLOOKUP(B310,'Schwab Positions'!$A$8:$B$10000,2,FALSE),"")</f>
        <v/>
      </c>
      <c r="D310" s="34" t="str">
        <f>IFERROR(VLOOKUP(B310,'Security Type'!$A$2:$C$1000,3,FALSE),"")</f>
        <v/>
      </c>
      <c r="E310" s="34" t="str">
        <f>IF(B310="","",IF(ISNUMBER(MATCH(B310,'2022 Port'!$D$6:$D$67,0)),VLOOKUP(B310,'Security Type'!$A$3:$D$1000,4,FALSE),"NOT IN PORT"))</f>
        <v/>
      </c>
      <c r="F310" t="str" cm="1">
        <f t="array" ref="F310">IFERROR(INDEX('Schwab Positions'!$D$8:$D$10000,SMALL(IF('Schwab Positions'!$E$8:$E$10000=$C$2,ROW('Schwab Positions'!$E$8:$E$10000)-7,""),ROWS($F$19:$F310))),"")</f>
        <v/>
      </c>
      <c r="G310" s="1" t="str" cm="1">
        <f t="array" ref="G310">IFERROR(INDEX('Schwab Positions'!$I$8:$I$10000,SMALL(IF('Schwab Positions'!$E$8:$E$10000=$C$2,ROW('Schwab Positions'!$E$8:$E$10000)-7,""),ROWS($G$19:$G310))),"")</f>
        <v/>
      </c>
      <c r="H310" s="100" t="str">
        <f t="shared" si="14"/>
        <v/>
      </c>
      <c r="I310" s="37" t="str" cm="1">
        <f t="array" ref="I310">IFERROR(IF($D310="Bond",IFERROR(INDEX('Schwab Positions'!$J$8:$J$10000,SMALL(IF('Schwab Positions'!$E$8:$E$10000=$C$2,ROW('Schwab Positions'!$E$8:$E$10000)-7,""),ROWS($I$19:$I310))),""),$F310*$G310),"")</f>
        <v/>
      </c>
    </row>
    <row r="311" spans="2:9">
      <c r="B311" t="str" cm="1">
        <f t="array" ref="B311">IFERROR(INDEX('Schwab Positions'!$A$8:$A$10000,SMALL(IF('Schwab Positions'!$E$8:$E$10000=$C$2,ROW('Schwab Positions'!$E$8:$E$10000)-7,""),ROWS($B$19:B311))),"")</f>
        <v/>
      </c>
      <c r="C311" t="str">
        <f>IFERROR(VLOOKUP(B311,'Schwab Positions'!$A$8:$B$10000,2,FALSE),"")</f>
        <v/>
      </c>
      <c r="D311" s="34" t="str">
        <f>IFERROR(VLOOKUP(B311,'Security Type'!$A$2:$C$1000,3,FALSE),"")</f>
        <v/>
      </c>
      <c r="E311" s="34" t="str">
        <f>IF(B311="","",IF(ISNUMBER(MATCH(B311,'2022 Port'!$D$6:$D$67,0)),VLOOKUP(B311,'Security Type'!$A$3:$D$1000,4,FALSE),"NOT IN PORT"))</f>
        <v/>
      </c>
      <c r="F311" t="str" cm="1">
        <f t="array" ref="F311">IFERROR(INDEX('Schwab Positions'!$D$8:$D$10000,SMALL(IF('Schwab Positions'!$E$8:$E$10000=$C$2,ROW('Schwab Positions'!$E$8:$E$10000)-7,""),ROWS($F$19:$F311))),"")</f>
        <v/>
      </c>
      <c r="G311" s="1" t="str" cm="1">
        <f t="array" ref="G311">IFERROR(INDEX('Schwab Positions'!$I$8:$I$10000,SMALL(IF('Schwab Positions'!$E$8:$E$10000=$C$2,ROW('Schwab Positions'!$E$8:$E$10000)-7,""),ROWS($G$19:$G311))),"")</f>
        <v/>
      </c>
      <c r="H311" s="100" t="str">
        <f t="shared" si="14"/>
        <v/>
      </c>
      <c r="I311" s="37" t="str" cm="1">
        <f t="array" ref="I311">IFERROR(IF($D311="Bond",IFERROR(INDEX('Schwab Positions'!$J$8:$J$10000,SMALL(IF('Schwab Positions'!$E$8:$E$10000=$C$2,ROW('Schwab Positions'!$E$8:$E$10000)-7,""),ROWS($I$19:$I311))),""),$F311*$G311),"")</f>
        <v/>
      </c>
    </row>
    <row r="312" spans="2:9">
      <c r="B312" t="str" cm="1">
        <f t="array" ref="B312">IFERROR(INDEX('Schwab Positions'!$A$8:$A$10000,SMALL(IF('Schwab Positions'!$E$8:$E$10000=$C$2,ROW('Schwab Positions'!$E$8:$E$10000)-7,""),ROWS($B$19:B312))),"")</f>
        <v/>
      </c>
      <c r="C312" t="str">
        <f>IFERROR(VLOOKUP(B312,'Schwab Positions'!$A$8:$B$10000,2,FALSE),"")</f>
        <v/>
      </c>
      <c r="D312" s="34" t="str">
        <f>IFERROR(VLOOKUP(B312,'Security Type'!$A$2:$C$1000,3,FALSE),"")</f>
        <v/>
      </c>
      <c r="E312" s="34" t="str">
        <f>IF(B312="","",IF(ISNUMBER(MATCH(B312,'2022 Port'!$D$6:$D$67,0)),VLOOKUP(B312,'Security Type'!$A$3:$D$1000,4,FALSE),"NOT IN PORT"))</f>
        <v/>
      </c>
      <c r="F312" t="str" cm="1">
        <f t="array" ref="F312">IFERROR(INDEX('Schwab Positions'!$D$8:$D$10000,SMALL(IF('Schwab Positions'!$E$8:$E$10000=$C$2,ROW('Schwab Positions'!$E$8:$E$10000)-7,""),ROWS($F$19:$F312))),"")</f>
        <v/>
      </c>
      <c r="G312" s="1" t="str" cm="1">
        <f t="array" ref="G312">IFERROR(INDEX('Schwab Positions'!$I$8:$I$10000,SMALL(IF('Schwab Positions'!$E$8:$E$10000=$C$2,ROW('Schwab Positions'!$E$8:$E$10000)-7,""),ROWS($G$19:$G312))),"")</f>
        <v/>
      </c>
      <c r="H312" s="100" t="str">
        <f t="shared" si="14"/>
        <v/>
      </c>
      <c r="I312" s="37" t="str" cm="1">
        <f t="array" ref="I312">IFERROR(IF($D312="Bond",IFERROR(INDEX('Schwab Positions'!$J$8:$J$10000,SMALL(IF('Schwab Positions'!$E$8:$E$10000=$C$2,ROW('Schwab Positions'!$E$8:$E$10000)-7,""),ROWS($I$19:$I312))),""),$F312*$G312),"")</f>
        <v/>
      </c>
    </row>
    <row r="313" spans="2:9">
      <c r="B313" t="str" cm="1">
        <f t="array" ref="B313">IFERROR(INDEX('Schwab Positions'!$A$8:$A$10000,SMALL(IF('Schwab Positions'!$E$8:$E$10000=$C$2,ROW('Schwab Positions'!$E$8:$E$10000)-7,""),ROWS($B$19:B313))),"")</f>
        <v/>
      </c>
      <c r="C313" t="str">
        <f>IFERROR(VLOOKUP(B313,'Schwab Positions'!$A$8:$B$10000,2,FALSE),"")</f>
        <v/>
      </c>
      <c r="D313" s="34" t="str">
        <f>IFERROR(VLOOKUP(B313,'Security Type'!$A$2:$C$1000,3,FALSE),"")</f>
        <v/>
      </c>
      <c r="E313" s="34" t="str">
        <f>IF(B313="","",IF(ISNUMBER(MATCH(B313,'2022 Port'!$D$6:$D$67,0)),VLOOKUP(B313,'Security Type'!$A$3:$D$1000,4,FALSE),"NOT IN PORT"))</f>
        <v/>
      </c>
      <c r="F313" t="str" cm="1">
        <f t="array" ref="F313">IFERROR(INDEX('Schwab Positions'!$D$8:$D$10000,SMALL(IF('Schwab Positions'!$E$8:$E$10000=$C$2,ROW('Schwab Positions'!$E$8:$E$10000)-7,""),ROWS($F$19:$F313))),"")</f>
        <v/>
      </c>
      <c r="G313" s="1" t="str" cm="1">
        <f t="array" ref="G313">IFERROR(INDEX('Schwab Positions'!$I$8:$I$10000,SMALL(IF('Schwab Positions'!$E$8:$E$10000=$C$2,ROW('Schwab Positions'!$E$8:$E$10000)-7,""),ROWS($G$19:$G313))),"")</f>
        <v/>
      </c>
      <c r="H313" s="100" t="str">
        <f t="shared" si="14"/>
        <v/>
      </c>
      <c r="I313" s="37" t="str" cm="1">
        <f t="array" ref="I313">IFERROR(IF($D313="Bond",IFERROR(INDEX('Schwab Positions'!$J$8:$J$10000,SMALL(IF('Schwab Positions'!$E$8:$E$10000=$C$2,ROW('Schwab Positions'!$E$8:$E$10000)-7,""),ROWS($I$19:$I313))),""),$F313*$G313),"")</f>
        <v/>
      </c>
    </row>
    <row r="314" spans="2:9">
      <c r="B314" t="str" cm="1">
        <f t="array" ref="B314">IFERROR(INDEX('Schwab Positions'!$A$8:$A$10000,SMALL(IF('Schwab Positions'!$E$8:$E$10000=$C$2,ROW('Schwab Positions'!$E$8:$E$10000)-7,""),ROWS($B$19:B314))),"")</f>
        <v/>
      </c>
      <c r="C314" t="str">
        <f>IFERROR(VLOOKUP(B314,'Schwab Positions'!$A$8:$B$10000,2,FALSE),"")</f>
        <v/>
      </c>
      <c r="D314" s="34" t="str">
        <f>IFERROR(VLOOKUP(B314,'Security Type'!$A$2:$C$1000,3,FALSE),"")</f>
        <v/>
      </c>
      <c r="E314" s="34" t="str">
        <f>IF(B314="","",IF(ISNUMBER(MATCH(B314,'2022 Port'!$D$6:$D$67,0)),VLOOKUP(B314,'Security Type'!$A$3:$D$1000,4,FALSE),"NOT IN PORT"))</f>
        <v/>
      </c>
      <c r="F314" t="str" cm="1">
        <f t="array" ref="F314">IFERROR(INDEX('Schwab Positions'!$D$8:$D$10000,SMALL(IF('Schwab Positions'!$E$8:$E$10000=$C$2,ROW('Schwab Positions'!$E$8:$E$10000)-7,""),ROWS($F$19:$F314))),"")</f>
        <v/>
      </c>
      <c r="G314" s="1" t="str" cm="1">
        <f t="array" ref="G314">IFERROR(INDEX('Schwab Positions'!$I$8:$I$10000,SMALL(IF('Schwab Positions'!$E$8:$E$10000=$C$2,ROW('Schwab Positions'!$E$8:$E$10000)-7,""),ROWS($G$19:$G314))),"")</f>
        <v/>
      </c>
      <c r="H314" s="100" t="str">
        <f t="shared" si="14"/>
        <v/>
      </c>
      <c r="I314" s="37" t="str" cm="1">
        <f t="array" ref="I314">IFERROR(IF($D314="Bond",IFERROR(INDEX('Schwab Positions'!$J$8:$J$10000,SMALL(IF('Schwab Positions'!$E$8:$E$10000=$C$2,ROW('Schwab Positions'!$E$8:$E$10000)-7,""),ROWS($I$19:$I314))),""),$F314*$G314),"")</f>
        <v/>
      </c>
    </row>
    <row r="315" spans="2:9">
      <c r="B315" t="str" cm="1">
        <f t="array" ref="B315">IFERROR(INDEX('Schwab Positions'!$A$8:$A$10000,SMALL(IF('Schwab Positions'!$E$8:$E$10000=$C$2,ROW('Schwab Positions'!$E$8:$E$10000)-7,""),ROWS($B$19:B315))),"")</f>
        <v/>
      </c>
      <c r="C315" t="str">
        <f>IFERROR(VLOOKUP(B315,'Schwab Positions'!$A$8:$B$10000,2,FALSE),"")</f>
        <v/>
      </c>
      <c r="D315" s="34" t="str">
        <f>IFERROR(VLOOKUP(B315,'Security Type'!$A$2:$C$1000,3,FALSE),"")</f>
        <v/>
      </c>
      <c r="E315" s="34" t="str">
        <f>IF(B315="","",IF(ISNUMBER(MATCH(B315,'2022 Port'!$D$6:$D$67,0)),VLOOKUP(B315,'Security Type'!$A$3:$D$1000,4,FALSE),"NOT IN PORT"))</f>
        <v/>
      </c>
      <c r="F315" t="str" cm="1">
        <f t="array" ref="F315">IFERROR(INDEX('Schwab Positions'!$D$8:$D$10000,SMALL(IF('Schwab Positions'!$E$8:$E$10000=$C$2,ROW('Schwab Positions'!$E$8:$E$10000)-7,""),ROWS($F$19:$F315))),"")</f>
        <v/>
      </c>
      <c r="G315" s="1" t="str" cm="1">
        <f t="array" ref="G315">IFERROR(INDEX('Schwab Positions'!$I$8:$I$10000,SMALL(IF('Schwab Positions'!$E$8:$E$10000=$C$2,ROW('Schwab Positions'!$E$8:$E$10000)-7,""),ROWS($G$19:$G315))),"")</f>
        <v/>
      </c>
      <c r="H315" s="100" t="str">
        <f t="shared" si="14"/>
        <v/>
      </c>
      <c r="I315" s="37" t="str" cm="1">
        <f t="array" ref="I315">IFERROR(IF($D315="Bond",IFERROR(INDEX('Schwab Positions'!$J$8:$J$10000,SMALL(IF('Schwab Positions'!$E$8:$E$10000=$C$2,ROW('Schwab Positions'!$E$8:$E$10000)-7,""),ROWS($I$19:$I315))),""),$F315*$G315),"")</f>
        <v/>
      </c>
    </row>
    <row r="316" spans="2:9">
      <c r="B316" t="str" cm="1">
        <f t="array" ref="B316">IFERROR(INDEX('Schwab Positions'!$A$8:$A$10000,SMALL(IF('Schwab Positions'!$E$8:$E$10000=$C$2,ROW('Schwab Positions'!$E$8:$E$10000)-7,""),ROWS($B$19:B316))),"")</f>
        <v/>
      </c>
      <c r="C316" t="str">
        <f>IFERROR(VLOOKUP(B316,'Schwab Positions'!$A$8:$B$10000,2,FALSE),"")</f>
        <v/>
      </c>
      <c r="D316" s="34" t="str">
        <f>IFERROR(VLOOKUP(B316,'Security Type'!$A$2:$C$1000,3,FALSE),"")</f>
        <v/>
      </c>
      <c r="E316" s="34" t="str">
        <f>IF(B316="","",IF(ISNUMBER(MATCH(B316,'2022 Port'!$D$6:$D$67,0)),VLOOKUP(B316,'Security Type'!$A$3:$D$1000,4,FALSE),"NOT IN PORT"))</f>
        <v/>
      </c>
      <c r="F316" t="str" cm="1">
        <f t="array" ref="F316">IFERROR(INDEX('Schwab Positions'!$D$8:$D$10000,SMALL(IF('Schwab Positions'!$E$8:$E$10000=$C$2,ROW('Schwab Positions'!$E$8:$E$10000)-7,""),ROWS($F$19:$F316))),"")</f>
        <v/>
      </c>
      <c r="G316" s="1" t="str" cm="1">
        <f t="array" ref="G316">IFERROR(INDEX('Schwab Positions'!$I$8:$I$10000,SMALL(IF('Schwab Positions'!$E$8:$E$10000=$C$2,ROW('Schwab Positions'!$E$8:$E$10000)-7,""),ROWS($G$19:$G316))),"")</f>
        <v/>
      </c>
      <c r="H316" s="100" t="str">
        <f t="shared" si="14"/>
        <v/>
      </c>
      <c r="I316" s="37" t="str" cm="1">
        <f t="array" ref="I316">IFERROR(IF($D316="Bond",IFERROR(INDEX('Schwab Positions'!$J$8:$J$10000,SMALL(IF('Schwab Positions'!$E$8:$E$10000=$C$2,ROW('Schwab Positions'!$E$8:$E$10000)-7,""),ROWS($I$19:$I316))),""),$F316*$G316),"")</f>
        <v/>
      </c>
    </row>
    <row r="317" spans="2:9">
      <c r="B317" t="str" cm="1">
        <f t="array" ref="B317">IFERROR(INDEX('Schwab Positions'!$A$8:$A$10000,SMALL(IF('Schwab Positions'!$E$8:$E$10000=$C$2,ROW('Schwab Positions'!$E$8:$E$10000)-7,""),ROWS($B$19:B317))),"")</f>
        <v/>
      </c>
      <c r="C317" t="str">
        <f>IFERROR(VLOOKUP(B317,'Schwab Positions'!$A$8:$B$10000,2,FALSE),"")</f>
        <v/>
      </c>
      <c r="D317" s="34" t="str">
        <f>IFERROR(VLOOKUP(B317,'Security Type'!$A$2:$C$1000,3,FALSE),"")</f>
        <v/>
      </c>
      <c r="E317" s="34" t="str">
        <f>IF(B317="","",IF(ISNUMBER(MATCH(B317,'2022 Port'!$D$6:$D$67,0)),VLOOKUP(B317,'Security Type'!$A$3:$D$1000,4,FALSE),"NOT IN PORT"))</f>
        <v/>
      </c>
      <c r="F317" t="str" cm="1">
        <f t="array" ref="F317">IFERROR(INDEX('Schwab Positions'!$D$8:$D$10000,SMALL(IF('Schwab Positions'!$E$8:$E$10000=$C$2,ROW('Schwab Positions'!$E$8:$E$10000)-7,""),ROWS($F$19:$F317))),"")</f>
        <v/>
      </c>
      <c r="G317" s="1" t="str" cm="1">
        <f t="array" ref="G317">IFERROR(INDEX('Schwab Positions'!$I$8:$I$10000,SMALL(IF('Schwab Positions'!$E$8:$E$10000=$C$2,ROW('Schwab Positions'!$E$8:$E$10000)-7,""),ROWS($G$19:$G317))),"")</f>
        <v/>
      </c>
      <c r="H317" s="100" t="str">
        <f t="shared" si="14"/>
        <v/>
      </c>
      <c r="I317" s="37" t="str" cm="1">
        <f t="array" ref="I317">IFERROR(IF($D317="Bond",IFERROR(INDEX('Schwab Positions'!$J$8:$J$10000,SMALL(IF('Schwab Positions'!$E$8:$E$10000=$C$2,ROW('Schwab Positions'!$E$8:$E$10000)-7,""),ROWS($I$19:$I317))),""),$F317*$G317),"")</f>
        <v/>
      </c>
    </row>
    <row r="318" spans="2:9">
      <c r="B318" t="str" cm="1">
        <f t="array" ref="B318">IFERROR(INDEX('Schwab Positions'!$A$8:$A$10000,SMALL(IF('Schwab Positions'!$E$8:$E$10000=$C$2,ROW('Schwab Positions'!$E$8:$E$10000)-7,""),ROWS($B$19:B318))),"")</f>
        <v/>
      </c>
      <c r="C318" t="str">
        <f>IFERROR(VLOOKUP(B318,'Schwab Positions'!$A$8:$B$10000,2,FALSE),"")</f>
        <v/>
      </c>
      <c r="D318" s="34" t="str">
        <f>IFERROR(VLOOKUP(B318,'Security Type'!$A$2:$C$1000,3,FALSE),"")</f>
        <v/>
      </c>
      <c r="E318" s="34" t="str">
        <f>IF(B318="","",IF(ISNUMBER(MATCH(B318,'2022 Port'!$D$6:$D$67,0)),VLOOKUP(B318,'Security Type'!$A$3:$D$1000,4,FALSE),"NOT IN PORT"))</f>
        <v/>
      </c>
      <c r="F318" t="str" cm="1">
        <f t="array" ref="F318">IFERROR(INDEX('Schwab Positions'!$D$8:$D$10000,SMALL(IF('Schwab Positions'!$E$8:$E$10000=$C$2,ROW('Schwab Positions'!$E$8:$E$10000)-7,""),ROWS($F$19:$F318))),"")</f>
        <v/>
      </c>
      <c r="G318" s="1" t="str" cm="1">
        <f t="array" ref="G318">IFERROR(INDEX('Schwab Positions'!$I$8:$I$10000,SMALL(IF('Schwab Positions'!$E$8:$E$10000=$C$2,ROW('Schwab Positions'!$E$8:$E$10000)-7,""),ROWS($G$19:$G318))),"")</f>
        <v/>
      </c>
      <c r="H318" s="100" t="str">
        <f t="shared" si="14"/>
        <v/>
      </c>
      <c r="I318" s="37" t="str" cm="1">
        <f t="array" ref="I318">IFERROR(IF($D318="Bond",IFERROR(INDEX('Schwab Positions'!$J$8:$J$10000,SMALL(IF('Schwab Positions'!$E$8:$E$10000=$C$2,ROW('Schwab Positions'!$E$8:$E$10000)-7,""),ROWS($I$19:$I318))),""),$F318*$G318),"")</f>
        <v/>
      </c>
    </row>
    <row r="319" spans="2:9">
      <c r="B319" t="str" cm="1">
        <f t="array" ref="B319">IFERROR(INDEX('Schwab Positions'!$A$8:$A$10000,SMALL(IF('Schwab Positions'!$E$8:$E$10000=$C$2,ROW('Schwab Positions'!$E$8:$E$10000)-7,""),ROWS($B$19:B319))),"")</f>
        <v/>
      </c>
      <c r="C319" t="str">
        <f>IFERROR(VLOOKUP(B319,'Schwab Positions'!$A$8:$B$10000,2,FALSE),"")</f>
        <v/>
      </c>
      <c r="D319" s="34" t="str">
        <f>IFERROR(VLOOKUP(B319,'Security Type'!$A$2:$C$1000,3,FALSE),"")</f>
        <v/>
      </c>
      <c r="E319" s="34" t="str">
        <f>IF(B319="","",IF(ISNUMBER(MATCH(B319,'2022 Port'!$D$6:$D$67,0)),VLOOKUP(B319,'Security Type'!$A$3:$D$1000,4,FALSE),"NOT IN PORT"))</f>
        <v/>
      </c>
      <c r="F319" t="str" cm="1">
        <f t="array" ref="F319">IFERROR(INDEX('Schwab Positions'!$D$8:$D$10000,SMALL(IF('Schwab Positions'!$E$8:$E$10000=$C$2,ROW('Schwab Positions'!$E$8:$E$10000)-7,""),ROWS($F$19:$F319))),"")</f>
        <v/>
      </c>
      <c r="G319" s="1" t="str" cm="1">
        <f t="array" ref="G319">IFERROR(INDEX('Schwab Positions'!$I$8:$I$10000,SMALL(IF('Schwab Positions'!$E$8:$E$10000=$C$2,ROW('Schwab Positions'!$E$8:$E$10000)-7,""),ROWS($G$19:$G319))),"")</f>
        <v/>
      </c>
      <c r="H319" s="100" t="str">
        <f t="shared" si="14"/>
        <v/>
      </c>
      <c r="I319" s="37" t="str" cm="1">
        <f t="array" ref="I319">IFERROR(IF($D319="Bond",IFERROR(INDEX('Schwab Positions'!$J$8:$J$10000,SMALL(IF('Schwab Positions'!$E$8:$E$10000=$C$2,ROW('Schwab Positions'!$E$8:$E$10000)-7,""),ROWS($I$19:$I319))),""),$F319*$G319),"")</f>
        <v/>
      </c>
    </row>
    <row r="320" spans="2:9">
      <c r="B320" t="str" cm="1">
        <f t="array" ref="B320">IFERROR(INDEX('Schwab Positions'!$A$8:$A$10000,SMALL(IF('Schwab Positions'!$E$8:$E$10000=$C$2,ROW('Schwab Positions'!$E$8:$E$10000)-7,""),ROWS($B$19:B320))),"")</f>
        <v/>
      </c>
      <c r="C320" t="str">
        <f>IFERROR(VLOOKUP(B320,'Schwab Positions'!$A$8:$B$10000,2,FALSE),"")</f>
        <v/>
      </c>
      <c r="D320" s="34" t="str">
        <f>IFERROR(VLOOKUP(B320,'Security Type'!$A$2:$C$1000,3,FALSE),"")</f>
        <v/>
      </c>
      <c r="E320" s="34" t="str">
        <f>IF(B320="","",IF(ISNUMBER(MATCH(B320,'2022 Port'!$D$6:$D$67,0)),VLOOKUP(B320,'Security Type'!$A$3:$D$1000,4,FALSE),"NOT IN PORT"))</f>
        <v/>
      </c>
      <c r="F320" t="str" cm="1">
        <f t="array" ref="F320">IFERROR(INDEX('Schwab Positions'!$D$8:$D$10000,SMALL(IF('Schwab Positions'!$E$8:$E$10000=$C$2,ROW('Schwab Positions'!$E$8:$E$10000)-7,""),ROWS($F$19:$F320))),"")</f>
        <v/>
      </c>
      <c r="G320" s="1" t="str" cm="1">
        <f t="array" ref="G320">IFERROR(INDEX('Schwab Positions'!$I$8:$I$10000,SMALL(IF('Schwab Positions'!$E$8:$E$10000=$C$2,ROW('Schwab Positions'!$E$8:$E$10000)-7,""),ROWS($G$19:$G320))),"")</f>
        <v/>
      </c>
      <c r="H320" s="100" t="str">
        <f t="shared" si="14"/>
        <v/>
      </c>
      <c r="I320" s="37" t="str" cm="1">
        <f t="array" ref="I320">IFERROR(IF($D320="Bond",IFERROR(INDEX('Schwab Positions'!$J$8:$J$10000,SMALL(IF('Schwab Positions'!$E$8:$E$10000=$C$2,ROW('Schwab Positions'!$E$8:$E$10000)-7,""),ROWS($I$19:$I320))),""),$F320*$G320),"")</f>
        <v/>
      </c>
    </row>
    <row r="321" spans="2:9">
      <c r="B321" t="str" cm="1">
        <f t="array" ref="B321">IFERROR(INDEX('Schwab Positions'!$A$8:$A$10000,SMALL(IF('Schwab Positions'!$E$8:$E$10000=$C$2,ROW('Schwab Positions'!$E$8:$E$10000)-7,""),ROWS($B$19:B321))),"")</f>
        <v/>
      </c>
      <c r="C321" t="str">
        <f>IFERROR(VLOOKUP(B321,'Schwab Positions'!$A$8:$B$10000,2,FALSE),"")</f>
        <v/>
      </c>
      <c r="D321" s="34" t="str">
        <f>IFERROR(VLOOKUP(B321,'Security Type'!$A$2:$C$1000,3,FALSE),"")</f>
        <v/>
      </c>
      <c r="E321" s="34" t="str">
        <f>IF(B321="","",IF(ISNUMBER(MATCH(B321,'2022 Port'!$D$6:$D$67,0)),VLOOKUP(B321,'Security Type'!$A$3:$D$1000,4,FALSE),"NOT IN PORT"))</f>
        <v/>
      </c>
      <c r="F321" t="str" cm="1">
        <f t="array" ref="F321">IFERROR(INDEX('Schwab Positions'!$D$8:$D$10000,SMALL(IF('Schwab Positions'!$E$8:$E$10000=$C$2,ROW('Schwab Positions'!$E$8:$E$10000)-7,""),ROWS($F$19:$F321))),"")</f>
        <v/>
      </c>
      <c r="G321" s="1" t="str" cm="1">
        <f t="array" ref="G321">IFERROR(INDEX('Schwab Positions'!$I$8:$I$10000,SMALL(IF('Schwab Positions'!$E$8:$E$10000=$C$2,ROW('Schwab Positions'!$E$8:$E$10000)-7,""),ROWS($G$19:$G321))),"")</f>
        <v/>
      </c>
      <c r="H321" s="100" t="str">
        <f t="shared" si="14"/>
        <v/>
      </c>
      <c r="I321" s="37" t="str" cm="1">
        <f t="array" ref="I321">IFERROR(IF($D321="Bond",IFERROR(INDEX('Schwab Positions'!$J$8:$J$10000,SMALL(IF('Schwab Positions'!$E$8:$E$10000=$C$2,ROW('Schwab Positions'!$E$8:$E$10000)-7,""),ROWS($I$19:$I321))),""),$F321*$G321),"")</f>
        <v/>
      </c>
    </row>
    <row r="322" spans="2:9">
      <c r="B322" t="str" cm="1">
        <f t="array" ref="B322">IFERROR(INDEX('Schwab Positions'!$A$8:$A$10000,SMALL(IF('Schwab Positions'!$E$8:$E$10000=$C$2,ROW('Schwab Positions'!$E$8:$E$10000)-7,""),ROWS($B$19:B322))),"")</f>
        <v/>
      </c>
      <c r="C322" t="str">
        <f>IFERROR(VLOOKUP(B322,'Schwab Positions'!$A$8:$B$10000,2,FALSE),"")</f>
        <v/>
      </c>
      <c r="D322" s="34" t="str">
        <f>IFERROR(VLOOKUP(B322,'Security Type'!$A$2:$C$1000,3,FALSE),"")</f>
        <v/>
      </c>
      <c r="E322" s="34" t="str">
        <f>IF(B322="","",IF(ISNUMBER(MATCH(B322,'2022 Port'!$D$6:$D$67,0)),VLOOKUP(B322,'Security Type'!$A$3:$D$1000,4,FALSE),"NOT IN PORT"))</f>
        <v/>
      </c>
      <c r="F322" t="str" cm="1">
        <f t="array" ref="F322">IFERROR(INDEX('Schwab Positions'!$D$8:$D$10000,SMALL(IF('Schwab Positions'!$E$8:$E$10000=$C$2,ROW('Schwab Positions'!$E$8:$E$10000)-7,""),ROWS($F$19:$F322))),"")</f>
        <v/>
      </c>
      <c r="G322" s="1" t="str" cm="1">
        <f t="array" ref="G322">IFERROR(INDEX('Schwab Positions'!$I$8:$I$10000,SMALL(IF('Schwab Positions'!$E$8:$E$10000=$C$2,ROW('Schwab Positions'!$E$8:$E$10000)-7,""),ROWS($G$19:$G322))),"")</f>
        <v/>
      </c>
      <c r="H322" s="100" t="str">
        <f t="shared" si="14"/>
        <v/>
      </c>
      <c r="I322" s="37" t="str" cm="1">
        <f t="array" ref="I322">IFERROR(IF($D322="Bond",IFERROR(INDEX('Schwab Positions'!$J$8:$J$10000,SMALL(IF('Schwab Positions'!$E$8:$E$10000=$C$2,ROW('Schwab Positions'!$E$8:$E$10000)-7,""),ROWS($I$19:$I322))),""),$F322*$G322),"")</f>
        <v/>
      </c>
    </row>
    <row r="323" spans="2:9">
      <c r="B323" t="str" cm="1">
        <f t="array" ref="B323">IFERROR(INDEX('Schwab Positions'!$A$8:$A$10000,SMALL(IF('Schwab Positions'!$E$8:$E$10000=$C$2,ROW('Schwab Positions'!$E$8:$E$10000)-7,""),ROWS($B$19:B323))),"")</f>
        <v/>
      </c>
      <c r="C323" t="str">
        <f>IFERROR(VLOOKUP(B323,'Schwab Positions'!$A$8:$B$10000,2,FALSE),"")</f>
        <v/>
      </c>
      <c r="D323" s="34" t="str">
        <f>IFERROR(VLOOKUP(B323,'Security Type'!$A$2:$C$1000,3,FALSE),"")</f>
        <v/>
      </c>
      <c r="E323" s="34" t="str">
        <f>IF(B323="","",IF(ISNUMBER(MATCH(B323,'2022 Port'!$D$6:$D$67,0)),VLOOKUP(B323,'Security Type'!$A$3:$D$1000,4,FALSE),"NOT IN PORT"))</f>
        <v/>
      </c>
      <c r="F323" t="str" cm="1">
        <f t="array" ref="F323">IFERROR(INDEX('Schwab Positions'!$D$8:$D$10000,SMALL(IF('Schwab Positions'!$E$8:$E$10000=$C$2,ROW('Schwab Positions'!$E$8:$E$10000)-7,""),ROWS($F$19:$F323))),"")</f>
        <v/>
      </c>
      <c r="G323" s="1" t="str" cm="1">
        <f t="array" ref="G323">IFERROR(INDEX('Schwab Positions'!$I$8:$I$10000,SMALL(IF('Schwab Positions'!$E$8:$E$10000=$C$2,ROW('Schwab Positions'!$E$8:$E$10000)-7,""),ROWS($G$19:$G323))),"")</f>
        <v/>
      </c>
      <c r="H323" s="100" t="str">
        <f t="shared" si="14"/>
        <v/>
      </c>
      <c r="I323" s="37" t="str" cm="1">
        <f t="array" ref="I323">IFERROR(IF($D323="Bond",IFERROR(INDEX('Schwab Positions'!$J$8:$J$10000,SMALL(IF('Schwab Positions'!$E$8:$E$10000=$C$2,ROW('Schwab Positions'!$E$8:$E$10000)-7,""),ROWS($I$19:$I323))),""),$F323*$G323),"")</f>
        <v/>
      </c>
    </row>
    <row r="324" spans="2:9">
      <c r="B324" t="str" cm="1">
        <f t="array" ref="B324">IFERROR(INDEX('Schwab Positions'!$A$8:$A$10000,SMALL(IF('Schwab Positions'!$E$8:$E$10000=$C$2,ROW('Schwab Positions'!$E$8:$E$10000)-7,""),ROWS($B$19:B324))),"")</f>
        <v/>
      </c>
      <c r="C324" t="str">
        <f>IFERROR(VLOOKUP(B324,'Schwab Positions'!$A$8:$B$10000,2,FALSE),"")</f>
        <v/>
      </c>
      <c r="D324" s="34" t="str">
        <f>IFERROR(VLOOKUP(B324,'Security Type'!$A$2:$C$1000,3,FALSE),"")</f>
        <v/>
      </c>
      <c r="E324" s="34" t="str">
        <f>IF(B324="","",IF(ISNUMBER(MATCH(B324,'2022 Port'!$D$6:$D$67,0)),VLOOKUP(B324,'Security Type'!$A$3:$D$1000,4,FALSE),"NOT IN PORT"))</f>
        <v/>
      </c>
      <c r="F324" t="str" cm="1">
        <f t="array" ref="F324">IFERROR(INDEX('Schwab Positions'!$D$8:$D$10000,SMALL(IF('Schwab Positions'!$E$8:$E$10000=$C$2,ROW('Schwab Positions'!$E$8:$E$10000)-7,""),ROWS($F$19:$F324))),"")</f>
        <v/>
      </c>
      <c r="G324" s="1" t="str" cm="1">
        <f t="array" ref="G324">IFERROR(INDEX('Schwab Positions'!$I$8:$I$10000,SMALL(IF('Schwab Positions'!$E$8:$E$10000=$C$2,ROW('Schwab Positions'!$E$8:$E$10000)-7,""),ROWS($G$19:$G324))),"")</f>
        <v/>
      </c>
      <c r="H324" s="100" t="str">
        <f t="shared" si="14"/>
        <v/>
      </c>
      <c r="I324" s="37" t="str" cm="1">
        <f t="array" ref="I324">IFERROR(IF($D324="Bond",IFERROR(INDEX('Schwab Positions'!$J$8:$J$10000,SMALL(IF('Schwab Positions'!$E$8:$E$10000=$C$2,ROW('Schwab Positions'!$E$8:$E$10000)-7,""),ROWS($I$19:$I324))),""),$F324*$G324),"")</f>
        <v/>
      </c>
    </row>
    <row r="325" spans="2:9">
      <c r="B325" t="str" cm="1">
        <f t="array" ref="B325">IFERROR(INDEX('Schwab Positions'!$A$8:$A$10000,SMALL(IF('Schwab Positions'!$E$8:$E$10000=$C$2,ROW('Schwab Positions'!$E$8:$E$10000)-7,""),ROWS($B$19:B325))),"")</f>
        <v/>
      </c>
      <c r="C325" t="str">
        <f>IFERROR(VLOOKUP(B325,'Schwab Positions'!$A$8:$B$10000,2,FALSE),"")</f>
        <v/>
      </c>
      <c r="D325" s="34" t="str">
        <f>IFERROR(VLOOKUP(B325,'Security Type'!$A$2:$C$1000,3,FALSE),"")</f>
        <v/>
      </c>
      <c r="E325" s="34" t="str">
        <f>IF(B325="","",IF(ISNUMBER(MATCH(B325,'2022 Port'!$D$6:$D$67,0)),VLOOKUP(B325,'Security Type'!$A$3:$D$1000,4,FALSE),"NOT IN PORT"))</f>
        <v/>
      </c>
      <c r="F325" t="str" cm="1">
        <f t="array" ref="F325">IFERROR(INDEX('Schwab Positions'!$D$8:$D$10000,SMALL(IF('Schwab Positions'!$E$8:$E$10000=$C$2,ROW('Schwab Positions'!$E$8:$E$10000)-7,""),ROWS($F$19:$F325))),"")</f>
        <v/>
      </c>
      <c r="G325" s="1" t="str" cm="1">
        <f t="array" ref="G325">IFERROR(INDEX('Schwab Positions'!$I$8:$I$10000,SMALL(IF('Schwab Positions'!$E$8:$E$10000=$C$2,ROW('Schwab Positions'!$E$8:$E$10000)-7,""),ROWS($G$19:$G325))),"")</f>
        <v/>
      </c>
      <c r="H325" s="100" t="str">
        <f t="shared" si="14"/>
        <v/>
      </c>
      <c r="I325" s="37" t="str" cm="1">
        <f t="array" ref="I325">IFERROR(IF($D325="Bond",IFERROR(INDEX('Schwab Positions'!$J$8:$J$10000,SMALL(IF('Schwab Positions'!$E$8:$E$10000=$C$2,ROW('Schwab Positions'!$E$8:$E$10000)-7,""),ROWS($I$19:$I325))),""),$F325*$G325),"")</f>
        <v/>
      </c>
    </row>
    <row r="326" spans="2:9">
      <c r="B326" t="str" cm="1">
        <f t="array" ref="B326">IFERROR(INDEX('Schwab Positions'!$A$8:$A$10000,SMALL(IF('Schwab Positions'!$E$8:$E$10000=$C$2,ROW('Schwab Positions'!$E$8:$E$10000)-7,""),ROWS($B$19:B326))),"")</f>
        <v/>
      </c>
      <c r="C326" t="str">
        <f>IFERROR(VLOOKUP(B326,'Schwab Positions'!$A$8:$B$10000,2,FALSE),"")</f>
        <v/>
      </c>
      <c r="D326" s="34" t="str">
        <f>IFERROR(VLOOKUP(B326,'Security Type'!$A$2:$C$1000,3,FALSE),"")</f>
        <v/>
      </c>
      <c r="E326" s="34" t="str">
        <f>IF(B326="","",IF(ISNUMBER(MATCH(B326,'2022 Port'!$D$6:$D$67,0)),VLOOKUP(B326,'Security Type'!$A$3:$D$1000,4,FALSE),"NOT IN PORT"))</f>
        <v/>
      </c>
      <c r="F326" t="str" cm="1">
        <f t="array" ref="F326">IFERROR(INDEX('Schwab Positions'!$D$8:$D$10000,SMALL(IF('Schwab Positions'!$E$8:$E$10000=$C$2,ROW('Schwab Positions'!$E$8:$E$10000)-7,""),ROWS($F$19:$F326))),"")</f>
        <v/>
      </c>
      <c r="G326" s="1" t="str" cm="1">
        <f t="array" ref="G326">IFERROR(INDEX('Schwab Positions'!$I$8:$I$10000,SMALL(IF('Schwab Positions'!$E$8:$E$10000=$C$2,ROW('Schwab Positions'!$E$8:$E$10000)-7,""),ROWS($G$19:$G326))),"")</f>
        <v/>
      </c>
      <c r="H326" s="100" t="str">
        <f t="shared" si="14"/>
        <v/>
      </c>
      <c r="I326" s="37" t="str" cm="1">
        <f t="array" ref="I326">IFERROR(IF($D326="Bond",IFERROR(INDEX('Schwab Positions'!$J$8:$J$10000,SMALL(IF('Schwab Positions'!$E$8:$E$10000=$C$2,ROW('Schwab Positions'!$E$8:$E$10000)-7,""),ROWS($I$19:$I326))),""),$F326*$G326),"")</f>
        <v/>
      </c>
    </row>
    <row r="327" spans="2:9">
      <c r="B327" t="str" cm="1">
        <f t="array" ref="B327">IFERROR(INDEX('Schwab Positions'!$A$8:$A$10000,SMALL(IF('Schwab Positions'!$E$8:$E$10000=$C$2,ROW('Schwab Positions'!$E$8:$E$10000)-7,""),ROWS($B$19:B327))),"")</f>
        <v/>
      </c>
      <c r="C327" t="str">
        <f>IFERROR(VLOOKUP(B327,'Schwab Positions'!$A$8:$B$10000,2,FALSE),"")</f>
        <v/>
      </c>
      <c r="D327" s="34" t="str">
        <f>IFERROR(VLOOKUP(B327,'Security Type'!$A$2:$C$1000,3,FALSE),"")</f>
        <v/>
      </c>
      <c r="E327" s="34" t="str">
        <f>IF(B327="","",IF(ISNUMBER(MATCH(B327,'2022 Port'!$D$6:$D$67,0)),VLOOKUP(B327,'Security Type'!$A$3:$D$1000,4,FALSE),"NOT IN PORT"))</f>
        <v/>
      </c>
      <c r="F327" t="str" cm="1">
        <f t="array" ref="F327">IFERROR(INDEX('Schwab Positions'!$D$8:$D$10000,SMALL(IF('Schwab Positions'!$E$8:$E$10000=$C$2,ROW('Schwab Positions'!$E$8:$E$10000)-7,""),ROWS($F$19:$F327))),"")</f>
        <v/>
      </c>
      <c r="G327" s="1" t="str" cm="1">
        <f t="array" ref="G327">IFERROR(INDEX('Schwab Positions'!$I$8:$I$10000,SMALL(IF('Schwab Positions'!$E$8:$E$10000=$C$2,ROW('Schwab Positions'!$E$8:$E$10000)-7,""),ROWS($G$19:$G327))),"")</f>
        <v/>
      </c>
      <c r="H327" s="100" t="str">
        <f t="shared" si="14"/>
        <v/>
      </c>
      <c r="I327" s="37" t="str" cm="1">
        <f t="array" ref="I327">IFERROR(IF($D327="Bond",IFERROR(INDEX('Schwab Positions'!$J$8:$J$10000,SMALL(IF('Schwab Positions'!$E$8:$E$10000=$C$2,ROW('Schwab Positions'!$E$8:$E$10000)-7,""),ROWS($I$19:$I327))),""),$F327*$G327),"")</f>
        <v/>
      </c>
    </row>
    <row r="328" spans="2:9">
      <c r="B328" t="str" cm="1">
        <f t="array" ref="B328">IFERROR(INDEX('Schwab Positions'!$A$8:$A$10000,SMALL(IF('Schwab Positions'!$E$8:$E$10000=$C$2,ROW('Schwab Positions'!$E$8:$E$10000)-7,""),ROWS($B$19:B328))),"")</f>
        <v/>
      </c>
      <c r="C328" t="str">
        <f>IFERROR(VLOOKUP(B328,'Schwab Positions'!$A$8:$B$10000,2,FALSE),"")</f>
        <v/>
      </c>
      <c r="D328" s="34" t="str">
        <f>IFERROR(VLOOKUP(B328,'Security Type'!$A$2:$C$1000,3,FALSE),"")</f>
        <v/>
      </c>
      <c r="E328" s="34" t="str">
        <f>IF(B328="","",IF(ISNUMBER(MATCH(B328,'2022 Port'!$D$6:$D$67,0)),VLOOKUP(B328,'Security Type'!$A$3:$D$1000,4,FALSE),"NOT IN PORT"))</f>
        <v/>
      </c>
      <c r="F328" t="str" cm="1">
        <f t="array" ref="F328">IFERROR(INDEX('Schwab Positions'!$D$8:$D$10000,SMALL(IF('Schwab Positions'!$E$8:$E$10000=$C$2,ROW('Schwab Positions'!$E$8:$E$10000)-7,""),ROWS($F$19:$F328))),"")</f>
        <v/>
      </c>
      <c r="G328" s="1" t="str" cm="1">
        <f t="array" ref="G328">IFERROR(INDEX('Schwab Positions'!$I$8:$I$10000,SMALL(IF('Schwab Positions'!$E$8:$E$10000=$C$2,ROW('Schwab Positions'!$E$8:$E$10000)-7,""),ROWS($G$19:$G328))),"")</f>
        <v/>
      </c>
      <c r="H328" s="100" t="str">
        <f t="shared" si="14"/>
        <v/>
      </c>
      <c r="I328" s="37" t="str" cm="1">
        <f t="array" ref="I328">IFERROR(IF($D328="Bond",IFERROR(INDEX('Schwab Positions'!$J$8:$J$10000,SMALL(IF('Schwab Positions'!$E$8:$E$10000=$C$2,ROW('Schwab Positions'!$E$8:$E$10000)-7,""),ROWS($I$19:$I328))),""),$F328*$G328),"")</f>
        <v/>
      </c>
    </row>
    <row r="329" spans="2:9">
      <c r="B329" t="str" cm="1">
        <f t="array" ref="B329">IFERROR(INDEX('Schwab Positions'!$A$8:$A$10000,SMALL(IF('Schwab Positions'!$E$8:$E$10000=$C$2,ROW('Schwab Positions'!$E$8:$E$10000)-7,""),ROWS($B$19:B329))),"")</f>
        <v/>
      </c>
      <c r="C329" t="str">
        <f>IFERROR(VLOOKUP(B329,'Schwab Positions'!$A$8:$B$10000,2,FALSE),"")</f>
        <v/>
      </c>
      <c r="D329" s="34" t="str">
        <f>IFERROR(VLOOKUP(B329,'Security Type'!$A$2:$C$1000,3,FALSE),"")</f>
        <v/>
      </c>
      <c r="E329" s="34" t="str">
        <f>IF(B329="","",IF(ISNUMBER(MATCH(B329,'2022 Port'!$D$6:$D$67,0)),VLOOKUP(B329,'Security Type'!$A$3:$D$1000,4,FALSE),"NOT IN PORT"))</f>
        <v/>
      </c>
      <c r="F329" t="str" cm="1">
        <f t="array" ref="F329">IFERROR(INDEX('Schwab Positions'!$D$8:$D$10000,SMALL(IF('Schwab Positions'!$E$8:$E$10000=$C$2,ROW('Schwab Positions'!$E$8:$E$10000)-7,""),ROWS($F$19:$F329))),"")</f>
        <v/>
      </c>
      <c r="G329" s="1" t="str" cm="1">
        <f t="array" ref="G329">IFERROR(INDEX('Schwab Positions'!$I$8:$I$10000,SMALL(IF('Schwab Positions'!$E$8:$E$10000=$C$2,ROW('Schwab Positions'!$E$8:$E$10000)-7,""),ROWS($G$19:$G329))),"")</f>
        <v/>
      </c>
      <c r="H329" s="100" t="str">
        <f t="shared" si="14"/>
        <v/>
      </c>
      <c r="I329" s="37" t="str" cm="1">
        <f t="array" ref="I329">IFERROR(IF($D329="Bond",IFERROR(INDEX('Schwab Positions'!$J$8:$J$10000,SMALL(IF('Schwab Positions'!$E$8:$E$10000=$C$2,ROW('Schwab Positions'!$E$8:$E$10000)-7,""),ROWS($I$19:$I329))),""),$F329*$G329),"")</f>
        <v/>
      </c>
    </row>
    <row r="330" spans="2:9">
      <c r="B330" t="str" cm="1">
        <f t="array" ref="B330">IFERROR(INDEX('Schwab Positions'!$A$8:$A$10000,SMALL(IF('Schwab Positions'!$E$8:$E$10000=$C$2,ROW('Schwab Positions'!$E$8:$E$10000)-7,""),ROWS($B$19:B330))),"")</f>
        <v/>
      </c>
      <c r="C330" t="str">
        <f>IFERROR(VLOOKUP(B330,'Schwab Positions'!$A$8:$B$10000,2,FALSE),"")</f>
        <v/>
      </c>
      <c r="D330" s="34" t="str">
        <f>IFERROR(VLOOKUP(B330,'Security Type'!$A$2:$C$1000,3,FALSE),"")</f>
        <v/>
      </c>
      <c r="E330" s="34" t="str">
        <f>IF(B330="","",IF(ISNUMBER(MATCH(B330,'2022 Port'!$D$6:$D$67,0)),VLOOKUP(B330,'Security Type'!$A$3:$D$1000,4,FALSE),"NOT IN PORT"))</f>
        <v/>
      </c>
      <c r="F330" t="str" cm="1">
        <f t="array" ref="F330">IFERROR(INDEX('Schwab Positions'!$D$8:$D$10000,SMALL(IF('Schwab Positions'!$E$8:$E$10000=$C$2,ROW('Schwab Positions'!$E$8:$E$10000)-7,""),ROWS($F$19:$F330))),"")</f>
        <v/>
      </c>
      <c r="G330" s="1" t="str" cm="1">
        <f t="array" ref="G330">IFERROR(INDEX('Schwab Positions'!$I$8:$I$10000,SMALL(IF('Schwab Positions'!$E$8:$E$10000=$C$2,ROW('Schwab Positions'!$E$8:$E$10000)-7,""),ROWS($G$19:$G330))),"")</f>
        <v/>
      </c>
      <c r="H330" s="100" t="str">
        <f t="shared" si="14"/>
        <v/>
      </c>
      <c r="I330" s="37" t="str" cm="1">
        <f t="array" ref="I330">IFERROR(IF($D330="Bond",IFERROR(INDEX('Schwab Positions'!$J$8:$J$10000,SMALL(IF('Schwab Positions'!$E$8:$E$10000=$C$2,ROW('Schwab Positions'!$E$8:$E$10000)-7,""),ROWS($I$19:$I330))),""),$F330*$G330),"")</f>
        <v/>
      </c>
    </row>
    <row r="331" spans="2:9">
      <c r="B331" t="str" cm="1">
        <f t="array" ref="B331">IFERROR(INDEX('Schwab Positions'!$A$8:$A$10000,SMALL(IF('Schwab Positions'!$E$8:$E$10000=$C$2,ROW('Schwab Positions'!$E$8:$E$10000)-7,""),ROWS($B$19:B331))),"")</f>
        <v/>
      </c>
      <c r="C331" t="str">
        <f>IFERROR(VLOOKUP(B331,'Schwab Positions'!$A$8:$B$10000,2,FALSE),"")</f>
        <v/>
      </c>
      <c r="D331" s="34" t="str">
        <f>IFERROR(VLOOKUP(B331,'Security Type'!$A$2:$C$1000,3,FALSE),"")</f>
        <v/>
      </c>
      <c r="E331" s="34" t="str">
        <f>IF(B331="","",IF(ISNUMBER(MATCH(B331,'2022 Port'!$D$6:$D$67,0)),VLOOKUP(B331,'Security Type'!$A$3:$D$1000,4,FALSE),"NOT IN PORT"))</f>
        <v/>
      </c>
      <c r="F331" t="str" cm="1">
        <f t="array" ref="F331">IFERROR(INDEX('Schwab Positions'!$D$8:$D$10000,SMALL(IF('Schwab Positions'!$E$8:$E$10000=$C$2,ROW('Schwab Positions'!$E$8:$E$10000)-7,""),ROWS($F$19:$F331))),"")</f>
        <v/>
      </c>
      <c r="G331" s="1" t="str" cm="1">
        <f t="array" ref="G331">IFERROR(INDEX('Schwab Positions'!$I$8:$I$10000,SMALL(IF('Schwab Positions'!$E$8:$E$10000=$C$2,ROW('Schwab Positions'!$E$8:$E$10000)-7,""),ROWS($G$19:$G331))),"")</f>
        <v/>
      </c>
      <c r="H331" s="100" t="str">
        <f t="shared" si="14"/>
        <v/>
      </c>
      <c r="I331" s="37" t="str" cm="1">
        <f t="array" ref="I331">IFERROR(IF($D331="Bond",IFERROR(INDEX('Schwab Positions'!$J$8:$J$10000,SMALL(IF('Schwab Positions'!$E$8:$E$10000=$C$2,ROW('Schwab Positions'!$E$8:$E$10000)-7,""),ROWS($I$19:$I331))),""),$F331*$G331),"")</f>
        <v/>
      </c>
    </row>
    <row r="332" spans="2:9">
      <c r="B332" t="str" cm="1">
        <f t="array" ref="B332">IFERROR(INDEX('Schwab Positions'!$A$8:$A$10000,SMALL(IF('Schwab Positions'!$E$8:$E$10000=$C$2,ROW('Schwab Positions'!$E$8:$E$10000)-7,""),ROWS($B$19:B332))),"")</f>
        <v/>
      </c>
      <c r="C332" t="str">
        <f>IFERROR(VLOOKUP(B332,'Schwab Positions'!$A$8:$B$10000,2,FALSE),"")</f>
        <v/>
      </c>
      <c r="D332" s="34" t="str">
        <f>IFERROR(VLOOKUP(B332,'Security Type'!$A$2:$C$1000,3,FALSE),"")</f>
        <v/>
      </c>
      <c r="E332" s="34" t="str">
        <f>IF(B332="","",IF(ISNUMBER(MATCH(B332,'2022 Port'!$D$6:$D$67,0)),VLOOKUP(B332,'Security Type'!$A$3:$D$1000,4,FALSE),"NOT IN PORT"))</f>
        <v/>
      </c>
      <c r="F332" t="str" cm="1">
        <f t="array" ref="F332">IFERROR(INDEX('Schwab Positions'!$D$8:$D$10000,SMALL(IF('Schwab Positions'!$E$8:$E$10000=$C$2,ROW('Schwab Positions'!$E$8:$E$10000)-7,""),ROWS($F$19:$F332))),"")</f>
        <v/>
      </c>
      <c r="G332" s="1" t="str" cm="1">
        <f t="array" ref="G332">IFERROR(INDEX('Schwab Positions'!$I$8:$I$10000,SMALL(IF('Schwab Positions'!$E$8:$E$10000=$C$2,ROW('Schwab Positions'!$E$8:$E$10000)-7,""),ROWS($G$19:$G332))),"")</f>
        <v/>
      </c>
      <c r="H332" s="100" t="str">
        <f t="shared" si="14"/>
        <v/>
      </c>
      <c r="I332" s="37" t="str" cm="1">
        <f t="array" ref="I332">IFERROR(IF($D332="Bond",IFERROR(INDEX('Schwab Positions'!$J$8:$J$10000,SMALL(IF('Schwab Positions'!$E$8:$E$10000=$C$2,ROW('Schwab Positions'!$E$8:$E$10000)-7,""),ROWS($I$19:$I332))),""),$F332*$G332),"")</f>
        <v/>
      </c>
    </row>
    <row r="333" spans="2:9">
      <c r="B333" t="str" cm="1">
        <f t="array" ref="B333">IFERROR(INDEX('Schwab Positions'!$A$8:$A$10000,SMALL(IF('Schwab Positions'!$E$8:$E$10000=$C$2,ROW('Schwab Positions'!$E$8:$E$10000)-7,""),ROWS($B$19:B333))),"")</f>
        <v/>
      </c>
      <c r="C333" t="str">
        <f>IFERROR(VLOOKUP(B333,'Schwab Positions'!$A$8:$B$10000,2,FALSE),"")</f>
        <v/>
      </c>
      <c r="D333" s="34" t="str">
        <f>IFERROR(VLOOKUP(B333,'Security Type'!$A$2:$C$1000,3,FALSE),"")</f>
        <v/>
      </c>
      <c r="E333" s="34" t="str">
        <f>IF(B333="","",IF(ISNUMBER(MATCH(B333,'2022 Port'!$D$6:$D$67,0)),VLOOKUP(B333,'Security Type'!$A$3:$D$1000,4,FALSE),"NOT IN PORT"))</f>
        <v/>
      </c>
      <c r="F333" t="str" cm="1">
        <f t="array" ref="F333">IFERROR(INDEX('Schwab Positions'!$D$8:$D$10000,SMALL(IF('Schwab Positions'!$E$8:$E$10000=$C$2,ROW('Schwab Positions'!$E$8:$E$10000)-7,""),ROWS($F$19:$F333))),"")</f>
        <v/>
      </c>
      <c r="G333" s="1" t="str" cm="1">
        <f t="array" ref="G333">IFERROR(INDEX('Schwab Positions'!$I$8:$I$10000,SMALL(IF('Schwab Positions'!$E$8:$E$10000=$C$2,ROW('Schwab Positions'!$E$8:$E$10000)-7,""),ROWS($G$19:$G333))),"")</f>
        <v/>
      </c>
      <c r="H333" s="100" t="str">
        <f t="shared" si="14"/>
        <v/>
      </c>
      <c r="I333" s="37" t="str" cm="1">
        <f t="array" ref="I333">IFERROR(IF($D333="Bond",IFERROR(INDEX('Schwab Positions'!$J$8:$J$10000,SMALL(IF('Schwab Positions'!$E$8:$E$10000=$C$2,ROW('Schwab Positions'!$E$8:$E$10000)-7,""),ROWS($I$19:$I333))),""),$F333*$G333),"")</f>
        <v/>
      </c>
    </row>
    <row r="334" spans="2:9">
      <c r="B334" t="str" cm="1">
        <f t="array" ref="B334">IFERROR(INDEX('Schwab Positions'!$A$8:$A$10000,SMALL(IF('Schwab Positions'!$E$8:$E$10000=$C$2,ROW('Schwab Positions'!$E$8:$E$10000)-7,""),ROWS($B$19:B334))),"")</f>
        <v/>
      </c>
      <c r="C334" t="str">
        <f>IFERROR(VLOOKUP(B334,'Schwab Positions'!$A$8:$B$10000,2,FALSE),"")</f>
        <v/>
      </c>
      <c r="D334" s="34" t="str">
        <f>IFERROR(VLOOKUP(B334,'Security Type'!$A$2:$C$1000,3,FALSE),"")</f>
        <v/>
      </c>
      <c r="E334" s="34" t="str">
        <f>IF(B334="","",IF(ISNUMBER(MATCH(B334,'2022 Port'!$D$6:$D$67,0)),VLOOKUP(B334,'Security Type'!$A$3:$D$1000,4,FALSE),"NOT IN PORT"))</f>
        <v/>
      </c>
      <c r="F334" t="str" cm="1">
        <f t="array" ref="F334">IFERROR(INDEX('Schwab Positions'!$D$8:$D$10000,SMALL(IF('Schwab Positions'!$E$8:$E$10000=$C$2,ROW('Schwab Positions'!$E$8:$E$10000)-7,""),ROWS($F$19:$F334))),"")</f>
        <v/>
      </c>
      <c r="G334" s="1" t="str" cm="1">
        <f t="array" ref="G334">IFERROR(INDEX('Schwab Positions'!$I$8:$I$10000,SMALL(IF('Schwab Positions'!$E$8:$E$10000=$C$2,ROW('Schwab Positions'!$E$8:$E$10000)-7,""),ROWS($G$19:$G334))),"")</f>
        <v/>
      </c>
      <c r="H334" s="100" t="str">
        <f t="shared" si="14"/>
        <v/>
      </c>
      <c r="I334" s="37" t="str" cm="1">
        <f t="array" ref="I334">IFERROR(IF($D334="Bond",IFERROR(INDEX('Schwab Positions'!$J$8:$J$10000,SMALL(IF('Schwab Positions'!$E$8:$E$10000=$C$2,ROW('Schwab Positions'!$E$8:$E$10000)-7,""),ROWS($I$19:$I334))),""),$F334*$G334),"")</f>
        <v/>
      </c>
    </row>
    <row r="335" spans="2:9">
      <c r="B335" t="str" cm="1">
        <f t="array" ref="B335">IFERROR(INDEX('Schwab Positions'!$A$8:$A$10000,SMALL(IF('Schwab Positions'!$E$8:$E$10000=$C$2,ROW('Schwab Positions'!$E$8:$E$10000)-7,""),ROWS($B$19:B335))),"")</f>
        <v/>
      </c>
      <c r="C335" t="str">
        <f>IFERROR(VLOOKUP(B335,'Schwab Positions'!$A$8:$B$10000,2,FALSE),"")</f>
        <v/>
      </c>
      <c r="D335" s="34" t="str">
        <f>IFERROR(VLOOKUP(B335,'Security Type'!$A$2:$C$1000,3,FALSE),"")</f>
        <v/>
      </c>
      <c r="E335" s="34" t="str">
        <f>IF(B335="","",IF(ISNUMBER(MATCH(B335,'2022 Port'!$D$6:$D$67,0)),VLOOKUP(B335,'Security Type'!$A$3:$D$1000,4,FALSE),"NOT IN PORT"))</f>
        <v/>
      </c>
      <c r="F335" t="str" cm="1">
        <f t="array" ref="F335">IFERROR(INDEX('Schwab Positions'!$D$8:$D$10000,SMALL(IF('Schwab Positions'!$E$8:$E$10000=$C$2,ROW('Schwab Positions'!$E$8:$E$10000)-7,""),ROWS($F$19:$F335))),"")</f>
        <v/>
      </c>
      <c r="G335" s="1" t="str" cm="1">
        <f t="array" ref="G335">IFERROR(INDEX('Schwab Positions'!$I$8:$I$10000,SMALL(IF('Schwab Positions'!$E$8:$E$10000=$C$2,ROW('Schwab Positions'!$E$8:$E$10000)-7,""),ROWS($G$19:$G335))),"")</f>
        <v/>
      </c>
      <c r="H335" s="100" t="str">
        <f t="shared" si="14"/>
        <v/>
      </c>
      <c r="I335" s="37" t="str" cm="1">
        <f t="array" ref="I335">IFERROR(IF($D335="Bond",IFERROR(INDEX('Schwab Positions'!$J$8:$J$10000,SMALL(IF('Schwab Positions'!$E$8:$E$10000=$C$2,ROW('Schwab Positions'!$E$8:$E$10000)-7,""),ROWS($I$19:$I335))),""),$F335*$G335),"")</f>
        <v/>
      </c>
    </row>
    <row r="336" spans="2:9">
      <c r="B336" t="str" cm="1">
        <f t="array" ref="B336">IFERROR(INDEX('Schwab Positions'!$A$8:$A$10000,SMALL(IF('Schwab Positions'!$E$8:$E$10000=$C$2,ROW('Schwab Positions'!$E$8:$E$10000)-7,""),ROWS($B$19:B336))),"")</f>
        <v/>
      </c>
      <c r="C336" t="str">
        <f>IFERROR(VLOOKUP(B336,'Schwab Positions'!$A$8:$B$10000,2,FALSE),"")</f>
        <v/>
      </c>
      <c r="D336" s="34" t="str">
        <f>IFERROR(VLOOKUP(B336,'Security Type'!$A$2:$C$1000,3,FALSE),"")</f>
        <v/>
      </c>
      <c r="E336" s="34" t="str">
        <f>IF(B336="","",IF(ISNUMBER(MATCH(B336,'2022 Port'!$D$6:$D$67,0)),VLOOKUP(B336,'Security Type'!$A$3:$D$1000,4,FALSE),"NOT IN PORT"))</f>
        <v/>
      </c>
      <c r="F336" t="str" cm="1">
        <f t="array" ref="F336">IFERROR(INDEX('Schwab Positions'!$D$8:$D$10000,SMALL(IF('Schwab Positions'!$E$8:$E$10000=$C$2,ROW('Schwab Positions'!$E$8:$E$10000)-7,""),ROWS($F$19:$F336))),"")</f>
        <v/>
      </c>
      <c r="G336" s="1" t="str" cm="1">
        <f t="array" ref="G336">IFERROR(INDEX('Schwab Positions'!$I$8:$I$10000,SMALL(IF('Schwab Positions'!$E$8:$E$10000=$C$2,ROW('Schwab Positions'!$E$8:$E$10000)-7,""),ROWS($G$19:$G336))),"")</f>
        <v/>
      </c>
      <c r="H336" s="100" t="str">
        <f t="shared" si="14"/>
        <v/>
      </c>
      <c r="I336" s="37" t="str" cm="1">
        <f t="array" ref="I336">IFERROR(IF($D336="Bond",IFERROR(INDEX('Schwab Positions'!$J$8:$J$10000,SMALL(IF('Schwab Positions'!$E$8:$E$10000=$C$2,ROW('Schwab Positions'!$E$8:$E$10000)-7,""),ROWS($I$19:$I336))),""),$F336*$G336),"")</f>
        <v/>
      </c>
    </row>
    <row r="337" spans="2:9">
      <c r="B337" t="str" cm="1">
        <f t="array" ref="B337">IFERROR(INDEX('Schwab Positions'!$A$8:$A$10000,SMALL(IF('Schwab Positions'!$E$8:$E$10000=$C$2,ROW('Schwab Positions'!$E$8:$E$10000)-7,""),ROWS($B$19:B337))),"")</f>
        <v/>
      </c>
      <c r="C337" t="str">
        <f>IFERROR(VLOOKUP(B337,'Schwab Positions'!$A$8:$B$10000,2,FALSE),"")</f>
        <v/>
      </c>
      <c r="D337" s="34" t="str">
        <f>IFERROR(VLOOKUP(B337,'Security Type'!$A$2:$C$1000,3,FALSE),"")</f>
        <v/>
      </c>
      <c r="E337" s="34" t="str">
        <f>IF(B337="","",IF(ISNUMBER(MATCH(B337,'2022 Port'!$D$6:$D$67,0)),VLOOKUP(B337,'Security Type'!$A$3:$D$1000,4,FALSE),"NOT IN PORT"))</f>
        <v/>
      </c>
      <c r="F337" t="str" cm="1">
        <f t="array" ref="F337">IFERROR(INDEX('Schwab Positions'!$D$8:$D$10000,SMALL(IF('Schwab Positions'!$E$8:$E$10000=$C$2,ROW('Schwab Positions'!$E$8:$E$10000)-7,""),ROWS($F$19:$F337))),"")</f>
        <v/>
      </c>
      <c r="G337" s="1" t="str" cm="1">
        <f t="array" ref="G337">IFERROR(INDEX('Schwab Positions'!$I$8:$I$10000,SMALL(IF('Schwab Positions'!$E$8:$E$10000=$C$2,ROW('Schwab Positions'!$E$8:$E$10000)-7,""),ROWS($G$19:$G337))),"")</f>
        <v/>
      </c>
      <c r="H337" s="100" t="str">
        <f t="shared" si="14"/>
        <v/>
      </c>
      <c r="I337" s="37" t="str" cm="1">
        <f t="array" ref="I337">IFERROR(IF($D337="Bond",IFERROR(INDEX('Schwab Positions'!$J$8:$J$10000,SMALL(IF('Schwab Positions'!$E$8:$E$10000=$C$2,ROW('Schwab Positions'!$E$8:$E$10000)-7,""),ROWS($I$19:$I337))),""),$F337*$G337),"")</f>
        <v/>
      </c>
    </row>
    <row r="338" spans="2:9">
      <c r="B338" t="str" cm="1">
        <f t="array" ref="B338">IFERROR(INDEX('Schwab Positions'!$A$8:$A$10000,SMALL(IF('Schwab Positions'!$E$8:$E$10000=$C$2,ROW('Schwab Positions'!$E$8:$E$10000)-7,""),ROWS($B$19:B338))),"")</f>
        <v/>
      </c>
      <c r="C338" t="str">
        <f>IFERROR(VLOOKUP(B338,'Schwab Positions'!$A$8:$B$10000,2,FALSE),"")</f>
        <v/>
      </c>
      <c r="D338" s="34" t="str">
        <f>IFERROR(VLOOKUP(B338,'Security Type'!$A$2:$C$1000,3,FALSE),"")</f>
        <v/>
      </c>
      <c r="E338" s="34" t="str">
        <f>IF(B338="","",IF(ISNUMBER(MATCH(B338,'2022 Port'!$D$6:$D$67,0)),VLOOKUP(B338,'Security Type'!$A$3:$D$1000,4,FALSE),"NOT IN PORT"))</f>
        <v/>
      </c>
      <c r="F338" t="str" cm="1">
        <f t="array" ref="F338">IFERROR(INDEX('Schwab Positions'!$D$8:$D$10000,SMALL(IF('Schwab Positions'!$E$8:$E$10000=$C$2,ROW('Schwab Positions'!$E$8:$E$10000)-7,""),ROWS($F$19:$F338))),"")</f>
        <v/>
      </c>
      <c r="G338" s="1" t="str" cm="1">
        <f t="array" ref="G338">IFERROR(INDEX('Schwab Positions'!$I$8:$I$10000,SMALL(IF('Schwab Positions'!$E$8:$E$10000=$C$2,ROW('Schwab Positions'!$E$8:$E$10000)-7,""),ROWS($G$19:$G338))),"")</f>
        <v/>
      </c>
      <c r="H338" s="100" t="str">
        <f t="shared" si="14"/>
        <v/>
      </c>
      <c r="I338" s="37" t="str" cm="1">
        <f t="array" ref="I338">IFERROR(IF($D338="Bond",IFERROR(INDEX('Schwab Positions'!$J$8:$J$10000,SMALL(IF('Schwab Positions'!$E$8:$E$10000=$C$2,ROW('Schwab Positions'!$E$8:$E$10000)-7,""),ROWS($I$19:$I338))),""),$F338*$G338),"")</f>
        <v/>
      </c>
    </row>
    <row r="339" spans="2:9">
      <c r="B339" t="str" cm="1">
        <f t="array" ref="B339">IFERROR(INDEX('Schwab Positions'!$A$8:$A$10000,SMALL(IF('Schwab Positions'!$E$8:$E$10000=$C$2,ROW('Schwab Positions'!$E$8:$E$10000)-7,""),ROWS($B$19:B339))),"")</f>
        <v/>
      </c>
      <c r="C339" t="str">
        <f>IFERROR(VLOOKUP(B339,'Schwab Positions'!$A$8:$B$10000,2,FALSE),"")</f>
        <v/>
      </c>
      <c r="D339" s="34" t="str">
        <f>IFERROR(VLOOKUP(B339,'Security Type'!$A$2:$C$1000,3,FALSE),"")</f>
        <v/>
      </c>
      <c r="E339" s="34" t="str">
        <f>IF(B339="","",IF(ISNUMBER(MATCH(B339,'2022 Port'!$D$6:$D$67,0)),VLOOKUP(B339,'Security Type'!$A$3:$D$1000,4,FALSE),"NOT IN PORT"))</f>
        <v/>
      </c>
      <c r="F339" t="str" cm="1">
        <f t="array" ref="F339">IFERROR(INDEX('Schwab Positions'!$D$8:$D$10000,SMALL(IF('Schwab Positions'!$E$8:$E$10000=$C$2,ROW('Schwab Positions'!$E$8:$E$10000)-7,""),ROWS($F$19:$F339))),"")</f>
        <v/>
      </c>
      <c r="G339" s="1" t="str" cm="1">
        <f t="array" ref="G339">IFERROR(INDEX('Schwab Positions'!$I$8:$I$10000,SMALL(IF('Schwab Positions'!$E$8:$E$10000=$C$2,ROW('Schwab Positions'!$E$8:$E$10000)-7,""),ROWS($G$19:$G339))),"")</f>
        <v/>
      </c>
      <c r="H339" s="100" t="str">
        <f t="shared" si="14"/>
        <v/>
      </c>
      <c r="I339" s="37" t="str" cm="1">
        <f t="array" ref="I339">IFERROR(IF($D339="Bond",IFERROR(INDEX('Schwab Positions'!$J$8:$J$10000,SMALL(IF('Schwab Positions'!$E$8:$E$10000=$C$2,ROW('Schwab Positions'!$E$8:$E$10000)-7,""),ROWS($I$19:$I339))),""),$F339*$G339),"")</f>
        <v/>
      </c>
    </row>
    <row r="340" spans="2:9">
      <c r="B340" t="str" cm="1">
        <f t="array" ref="B340">IFERROR(INDEX('Schwab Positions'!$A$8:$A$10000,SMALL(IF('Schwab Positions'!$E$8:$E$10000=$C$2,ROW('Schwab Positions'!$E$8:$E$10000)-7,""),ROWS($B$19:B340))),"")</f>
        <v/>
      </c>
      <c r="C340" t="str">
        <f>IFERROR(VLOOKUP(B340,'Schwab Positions'!$A$8:$B$10000,2,FALSE),"")</f>
        <v/>
      </c>
      <c r="D340" s="34" t="str">
        <f>IFERROR(VLOOKUP(B340,'Security Type'!$A$2:$C$1000,3,FALSE),"")</f>
        <v/>
      </c>
      <c r="E340" s="34" t="str">
        <f>IF(B340="","",IF(ISNUMBER(MATCH(B340,'2022 Port'!$D$6:$D$67,0)),VLOOKUP(B340,'Security Type'!$A$3:$D$1000,4,FALSE),"NOT IN PORT"))</f>
        <v/>
      </c>
      <c r="F340" t="str" cm="1">
        <f t="array" ref="F340">IFERROR(INDEX('Schwab Positions'!$D$8:$D$10000,SMALL(IF('Schwab Positions'!$E$8:$E$10000=$C$2,ROW('Schwab Positions'!$E$8:$E$10000)-7,""),ROWS($F$19:$F340))),"")</f>
        <v/>
      </c>
      <c r="G340" s="1" t="str" cm="1">
        <f t="array" ref="G340">IFERROR(INDEX('Schwab Positions'!$I$8:$I$10000,SMALL(IF('Schwab Positions'!$E$8:$E$10000=$C$2,ROW('Schwab Positions'!$E$8:$E$10000)-7,""),ROWS($G$19:$G340))),"")</f>
        <v/>
      </c>
      <c r="H340" s="100" t="str">
        <f t="shared" ref="H340:H403" si="15">IFERROR(I340/$C$15,"")</f>
        <v/>
      </c>
      <c r="I340" s="37" t="str" cm="1">
        <f t="array" ref="I340">IFERROR(IF($D340="Bond",IFERROR(INDEX('Schwab Positions'!$J$8:$J$10000,SMALL(IF('Schwab Positions'!$E$8:$E$10000=$C$2,ROW('Schwab Positions'!$E$8:$E$10000)-7,""),ROWS($I$19:$I340))),""),$F340*$G340),"")</f>
        <v/>
      </c>
    </row>
    <row r="341" spans="2:9">
      <c r="B341" t="str" cm="1">
        <f t="array" ref="B341">IFERROR(INDEX('Schwab Positions'!$A$8:$A$10000,SMALL(IF('Schwab Positions'!$E$8:$E$10000=$C$2,ROW('Schwab Positions'!$E$8:$E$10000)-7,""),ROWS($B$19:B341))),"")</f>
        <v/>
      </c>
      <c r="C341" t="str">
        <f>IFERROR(VLOOKUP(B341,'Schwab Positions'!$A$8:$B$10000,2,FALSE),"")</f>
        <v/>
      </c>
      <c r="D341" s="34" t="str">
        <f>IFERROR(VLOOKUP(B341,'Security Type'!$A$2:$C$1000,3,FALSE),"")</f>
        <v/>
      </c>
      <c r="E341" s="34" t="str">
        <f>IF(B341="","",IF(ISNUMBER(MATCH(B341,'2022 Port'!$D$6:$D$67,0)),VLOOKUP(B341,'Security Type'!$A$3:$D$1000,4,FALSE),"NOT IN PORT"))</f>
        <v/>
      </c>
      <c r="F341" t="str" cm="1">
        <f t="array" ref="F341">IFERROR(INDEX('Schwab Positions'!$D$8:$D$10000,SMALL(IF('Schwab Positions'!$E$8:$E$10000=$C$2,ROW('Schwab Positions'!$E$8:$E$10000)-7,""),ROWS($F$19:$F341))),"")</f>
        <v/>
      </c>
      <c r="G341" s="1" t="str" cm="1">
        <f t="array" ref="G341">IFERROR(INDEX('Schwab Positions'!$I$8:$I$10000,SMALL(IF('Schwab Positions'!$E$8:$E$10000=$C$2,ROW('Schwab Positions'!$E$8:$E$10000)-7,""),ROWS($G$19:$G341))),"")</f>
        <v/>
      </c>
      <c r="H341" s="100" t="str">
        <f t="shared" si="15"/>
        <v/>
      </c>
      <c r="I341" s="37" t="str" cm="1">
        <f t="array" ref="I341">IFERROR(IF($D341="Bond",IFERROR(INDEX('Schwab Positions'!$J$8:$J$10000,SMALL(IF('Schwab Positions'!$E$8:$E$10000=$C$2,ROW('Schwab Positions'!$E$8:$E$10000)-7,""),ROWS($I$19:$I341))),""),$F341*$G341),"")</f>
        <v/>
      </c>
    </row>
    <row r="342" spans="2:9">
      <c r="B342" t="str" cm="1">
        <f t="array" ref="B342">IFERROR(INDEX('Schwab Positions'!$A$8:$A$10000,SMALL(IF('Schwab Positions'!$E$8:$E$10000=$C$2,ROW('Schwab Positions'!$E$8:$E$10000)-7,""),ROWS($B$19:B342))),"")</f>
        <v/>
      </c>
      <c r="C342" t="str">
        <f>IFERROR(VLOOKUP(B342,'Schwab Positions'!$A$8:$B$10000,2,FALSE),"")</f>
        <v/>
      </c>
      <c r="D342" s="34" t="str">
        <f>IFERROR(VLOOKUP(B342,'Security Type'!$A$2:$C$1000,3,FALSE),"")</f>
        <v/>
      </c>
      <c r="E342" s="34" t="str">
        <f>IF(B342="","",IF(ISNUMBER(MATCH(B342,'2022 Port'!$D$6:$D$67,0)),VLOOKUP(B342,'Security Type'!$A$3:$D$1000,4,FALSE),"NOT IN PORT"))</f>
        <v/>
      </c>
      <c r="F342" t="str" cm="1">
        <f t="array" ref="F342">IFERROR(INDEX('Schwab Positions'!$D$8:$D$10000,SMALL(IF('Schwab Positions'!$E$8:$E$10000=$C$2,ROW('Schwab Positions'!$E$8:$E$10000)-7,""),ROWS($F$19:$F342))),"")</f>
        <v/>
      </c>
      <c r="G342" s="1" t="str" cm="1">
        <f t="array" ref="G342">IFERROR(INDEX('Schwab Positions'!$I$8:$I$10000,SMALL(IF('Schwab Positions'!$E$8:$E$10000=$C$2,ROW('Schwab Positions'!$E$8:$E$10000)-7,""),ROWS($G$19:$G342))),"")</f>
        <v/>
      </c>
      <c r="H342" s="100" t="str">
        <f t="shared" si="15"/>
        <v/>
      </c>
      <c r="I342" s="37" t="str" cm="1">
        <f t="array" ref="I342">IFERROR(IF($D342="Bond",IFERROR(INDEX('Schwab Positions'!$J$8:$J$10000,SMALL(IF('Schwab Positions'!$E$8:$E$10000=$C$2,ROW('Schwab Positions'!$E$8:$E$10000)-7,""),ROWS($I$19:$I342))),""),$F342*$G342),"")</f>
        <v/>
      </c>
    </row>
    <row r="343" spans="2:9">
      <c r="B343" t="str" cm="1">
        <f t="array" ref="B343">IFERROR(INDEX('Schwab Positions'!$A$8:$A$10000,SMALL(IF('Schwab Positions'!$E$8:$E$10000=$C$2,ROW('Schwab Positions'!$E$8:$E$10000)-7,""),ROWS($B$19:B343))),"")</f>
        <v/>
      </c>
      <c r="C343" t="str">
        <f>IFERROR(VLOOKUP(B343,'Schwab Positions'!$A$8:$B$10000,2,FALSE),"")</f>
        <v/>
      </c>
      <c r="D343" s="34" t="str">
        <f>IFERROR(VLOOKUP(B343,'Security Type'!$A$2:$C$1000,3,FALSE),"")</f>
        <v/>
      </c>
      <c r="E343" s="34" t="str">
        <f>IF(B343="","",IF(ISNUMBER(MATCH(B343,'2022 Port'!$D$6:$D$67,0)),VLOOKUP(B343,'Security Type'!$A$3:$D$1000,4,FALSE),"NOT IN PORT"))</f>
        <v/>
      </c>
      <c r="F343" t="str" cm="1">
        <f t="array" ref="F343">IFERROR(INDEX('Schwab Positions'!$D$8:$D$10000,SMALL(IF('Schwab Positions'!$E$8:$E$10000=$C$2,ROW('Schwab Positions'!$E$8:$E$10000)-7,""),ROWS($F$19:$F343))),"")</f>
        <v/>
      </c>
      <c r="G343" s="1" t="str" cm="1">
        <f t="array" ref="G343">IFERROR(INDEX('Schwab Positions'!$I$8:$I$10000,SMALL(IF('Schwab Positions'!$E$8:$E$10000=$C$2,ROW('Schwab Positions'!$E$8:$E$10000)-7,""),ROWS($G$19:$G343))),"")</f>
        <v/>
      </c>
      <c r="H343" s="100" t="str">
        <f t="shared" si="15"/>
        <v/>
      </c>
      <c r="I343" s="37" t="str" cm="1">
        <f t="array" ref="I343">IFERROR(IF($D343="Bond",IFERROR(INDEX('Schwab Positions'!$J$8:$J$10000,SMALL(IF('Schwab Positions'!$E$8:$E$10000=$C$2,ROW('Schwab Positions'!$E$8:$E$10000)-7,""),ROWS($I$19:$I343))),""),$F343*$G343),"")</f>
        <v/>
      </c>
    </row>
    <row r="344" spans="2:9">
      <c r="B344" t="str" cm="1">
        <f t="array" ref="B344">IFERROR(INDEX('Schwab Positions'!$A$8:$A$10000,SMALL(IF('Schwab Positions'!$E$8:$E$10000=$C$2,ROW('Schwab Positions'!$E$8:$E$10000)-7,""),ROWS($B$19:B344))),"")</f>
        <v/>
      </c>
      <c r="C344" t="str">
        <f>IFERROR(VLOOKUP(B344,'Schwab Positions'!$A$8:$B$10000,2,FALSE),"")</f>
        <v/>
      </c>
      <c r="D344" s="34" t="str">
        <f>IFERROR(VLOOKUP(B344,'Security Type'!$A$2:$C$1000,3,FALSE),"")</f>
        <v/>
      </c>
      <c r="E344" s="34" t="str">
        <f>IF(B344="","",IF(ISNUMBER(MATCH(B344,'2022 Port'!$D$6:$D$67,0)),VLOOKUP(B344,'Security Type'!$A$3:$D$1000,4,FALSE),"NOT IN PORT"))</f>
        <v/>
      </c>
      <c r="F344" t="str" cm="1">
        <f t="array" ref="F344">IFERROR(INDEX('Schwab Positions'!$D$8:$D$10000,SMALL(IF('Schwab Positions'!$E$8:$E$10000=$C$2,ROW('Schwab Positions'!$E$8:$E$10000)-7,""),ROWS($F$19:$F344))),"")</f>
        <v/>
      </c>
      <c r="G344" s="1" t="str" cm="1">
        <f t="array" ref="G344">IFERROR(INDEX('Schwab Positions'!$I$8:$I$10000,SMALL(IF('Schwab Positions'!$E$8:$E$10000=$C$2,ROW('Schwab Positions'!$E$8:$E$10000)-7,""),ROWS($G$19:$G344))),"")</f>
        <v/>
      </c>
      <c r="H344" s="100" t="str">
        <f t="shared" si="15"/>
        <v/>
      </c>
      <c r="I344" s="37" t="str" cm="1">
        <f t="array" ref="I344">IFERROR(IF($D344="Bond",IFERROR(INDEX('Schwab Positions'!$J$8:$J$10000,SMALL(IF('Schwab Positions'!$E$8:$E$10000=$C$2,ROW('Schwab Positions'!$E$8:$E$10000)-7,""),ROWS($I$19:$I344))),""),$F344*$G344),"")</f>
        <v/>
      </c>
    </row>
    <row r="345" spans="2:9">
      <c r="B345" t="str" cm="1">
        <f t="array" ref="B345">IFERROR(INDEX('Schwab Positions'!$A$8:$A$10000,SMALL(IF('Schwab Positions'!$E$8:$E$10000=$C$2,ROW('Schwab Positions'!$E$8:$E$10000)-7,""),ROWS($B$19:B345))),"")</f>
        <v/>
      </c>
      <c r="C345" t="str">
        <f>IFERROR(VLOOKUP(B345,'Schwab Positions'!$A$8:$B$10000,2,FALSE),"")</f>
        <v/>
      </c>
      <c r="D345" s="34" t="str">
        <f>IFERROR(VLOOKUP(B345,'Security Type'!$A$2:$C$1000,3,FALSE),"")</f>
        <v/>
      </c>
      <c r="E345" s="34" t="str">
        <f>IF(B345="","",IF(ISNUMBER(MATCH(B345,'2022 Port'!$D$6:$D$67,0)),VLOOKUP(B345,'Security Type'!$A$3:$D$1000,4,FALSE),"NOT IN PORT"))</f>
        <v/>
      </c>
      <c r="F345" t="str" cm="1">
        <f t="array" ref="F345">IFERROR(INDEX('Schwab Positions'!$D$8:$D$10000,SMALL(IF('Schwab Positions'!$E$8:$E$10000=$C$2,ROW('Schwab Positions'!$E$8:$E$10000)-7,""),ROWS($F$19:$F345))),"")</f>
        <v/>
      </c>
      <c r="G345" s="1" t="str" cm="1">
        <f t="array" ref="G345">IFERROR(INDEX('Schwab Positions'!$I$8:$I$10000,SMALL(IF('Schwab Positions'!$E$8:$E$10000=$C$2,ROW('Schwab Positions'!$E$8:$E$10000)-7,""),ROWS($G$19:$G345))),"")</f>
        <v/>
      </c>
      <c r="H345" s="100" t="str">
        <f t="shared" si="15"/>
        <v/>
      </c>
      <c r="I345" s="37" t="str" cm="1">
        <f t="array" ref="I345">IFERROR(IF($D345="Bond",IFERROR(INDEX('Schwab Positions'!$J$8:$J$10000,SMALL(IF('Schwab Positions'!$E$8:$E$10000=$C$2,ROW('Schwab Positions'!$E$8:$E$10000)-7,""),ROWS($I$19:$I345))),""),$F345*$G345),"")</f>
        <v/>
      </c>
    </row>
    <row r="346" spans="2:9">
      <c r="B346" t="str" cm="1">
        <f t="array" ref="B346">IFERROR(INDEX('Schwab Positions'!$A$8:$A$10000,SMALL(IF('Schwab Positions'!$E$8:$E$10000=$C$2,ROW('Schwab Positions'!$E$8:$E$10000)-7,""),ROWS($B$19:B346))),"")</f>
        <v/>
      </c>
      <c r="C346" t="str">
        <f>IFERROR(VLOOKUP(B346,'Schwab Positions'!$A$8:$B$10000,2,FALSE),"")</f>
        <v/>
      </c>
      <c r="D346" s="34" t="str">
        <f>IFERROR(VLOOKUP(B346,'Security Type'!$A$2:$C$1000,3,FALSE),"")</f>
        <v/>
      </c>
      <c r="E346" s="34" t="str">
        <f>IF(B346="","",IF(ISNUMBER(MATCH(B346,'2022 Port'!$D$6:$D$67,0)),VLOOKUP(B346,'Security Type'!$A$3:$D$1000,4,FALSE),"NOT IN PORT"))</f>
        <v/>
      </c>
      <c r="F346" t="str" cm="1">
        <f t="array" ref="F346">IFERROR(INDEX('Schwab Positions'!$D$8:$D$10000,SMALL(IF('Schwab Positions'!$E$8:$E$10000=$C$2,ROW('Schwab Positions'!$E$8:$E$10000)-7,""),ROWS($F$19:$F346))),"")</f>
        <v/>
      </c>
      <c r="G346" s="1" t="str" cm="1">
        <f t="array" ref="G346">IFERROR(INDEX('Schwab Positions'!$I$8:$I$10000,SMALL(IF('Schwab Positions'!$E$8:$E$10000=$C$2,ROW('Schwab Positions'!$E$8:$E$10000)-7,""),ROWS($G$19:$G346))),"")</f>
        <v/>
      </c>
      <c r="H346" s="100" t="str">
        <f t="shared" si="15"/>
        <v/>
      </c>
      <c r="I346" s="37" t="str" cm="1">
        <f t="array" ref="I346">IFERROR(IF($D346="Bond",IFERROR(INDEX('Schwab Positions'!$J$8:$J$10000,SMALL(IF('Schwab Positions'!$E$8:$E$10000=$C$2,ROW('Schwab Positions'!$E$8:$E$10000)-7,""),ROWS($I$19:$I346))),""),$F346*$G346),"")</f>
        <v/>
      </c>
    </row>
    <row r="347" spans="2:9">
      <c r="B347" t="str" cm="1">
        <f t="array" ref="B347">IFERROR(INDEX('Schwab Positions'!$A$8:$A$10000,SMALL(IF('Schwab Positions'!$E$8:$E$10000=$C$2,ROW('Schwab Positions'!$E$8:$E$10000)-7,""),ROWS($B$19:B347))),"")</f>
        <v/>
      </c>
      <c r="C347" t="str">
        <f>IFERROR(VLOOKUP(B347,'Schwab Positions'!$A$8:$B$10000,2,FALSE),"")</f>
        <v/>
      </c>
      <c r="D347" s="34" t="str">
        <f>IFERROR(VLOOKUP(B347,'Security Type'!$A$2:$C$1000,3,FALSE),"")</f>
        <v/>
      </c>
      <c r="E347" s="34" t="str">
        <f>IF(B347="","",IF(ISNUMBER(MATCH(B347,'2022 Port'!$D$6:$D$67,0)),VLOOKUP(B347,'Security Type'!$A$3:$D$1000,4,FALSE),"NOT IN PORT"))</f>
        <v/>
      </c>
      <c r="F347" t="str" cm="1">
        <f t="array" ref="F347">IFERROR(INDEX('Schwab Positions'!$D$8:$D$10000,SMALL(IF('Schwab Positions'!$E$8:$E$10000=$C$2,ROW('Schwab Positions'!$E$8:$E$10000)-7,""),ROWS($F$19:$F347))),"")</f>
        <v/>
      </c>
      <c r="G347" s="1" t="str" cm="1">
        <f t="array" ref="G347">IFERROR(INDEX('Schwab Positions'!$I$8:$I$10000,SMALL(IF('Schwab Positions'!$E$8:$E$10000=$C$2,ROW('Schwab Positions'!$E$8:$E$10000)-7,""),ROWS($G$19:$G347))),"")</f>
        <v/>
      </c>
      <c r="H347" s="100" t="str">
        <f t="shared" si="15"/>
        <v/>
      </c>
      <c r="I347" s="37" t="str" cm="1">
        <f t="array" ref="I347">IFERROR(IF($D347="Bond",IFERROR(INDEX('Schwab Positions'!$J$8:$J$10000,SMALL(IF('Schwab Positions'!$E$8:$E$10000=$C$2,ROW('Schwab Positions'!$E$8:$E$10000)-7,""),ROWS($I$19:$I347))),""),$F347*$G347),"")</f>
        <v/>
      </c>
    </row>
    <row r="348" spans="2:9">
      <c r="B348" t="str" cm="1">
        <f t="array" ref="B348">IFERROR(INDEX('Schwab Positions'!$A$8:$A$10000,SMALL(IF('Schwab Positions'!$E$8:$E$10000=$C$2,ROW('Schwab Positions'!$E$8:$E$10000)-7,""),ROWS($B$19:B348))),"")</f>
        <v/>
      </c>
      <c r="C348" t="str">
        <f>IFERROR(VLOOKUP(B348,'Schwab Positions'!$A$8:$B$10000,2,FALSE),"")</f>
        <v/>
      </c>
      <c r="D348" s="34" t="str">
        <f>IFERROR(VLOOKUP(B348,'Security Type'!$A$2:$C$1000,3,FALSE),"")</f>
        <v/>
      </c>
      <c r="E348" s="34" t="str">
        <f>IF(B348="","",IF(ISNUMBER(MATCH(B348,'2022 Port'!$D$6:$D$67,0)),VLOOKUP(B348,'Security Type'!$A$3:$D$1000,4,FALSE),"NOT IN PORT"))</f>
        <v/>
      </c>
      <c r="F348" t="str" cm="1">
        <f t="array" ref="F348">IFERROR(INDEX('Schwab Positions'!$D$8:$D$10000,SMALL(IF('Schwab Positions'!$E$8:$E$10000=$C$2,ROW('Schwab Positions'!$E$8:$E$10000)-7,""),ROWS($F$19:$F348))),"")</f>
        <v/>
      </c>
      <c r="G348" s="1" t="str" cm="1">
        <f t="array" ref="G348">IFERROR(INDEX('Schwab Positions'!$I$8:$I$10000,SMALL(IF('Schwab Positions'!$E$8:$E$10000=$C$2,ROW('Schwab Positions'!$E$8:$E$10000)-7,""),ROWS($G$19:$G348))),"")</f>
        <v/>
      </c>
      <c r="H348" s="100" t="str">
        <f t="shared" si="15"/>
        <v/>
      </c>
      <c r="I348" s="37" t="str" cm="1">
        <f t="array" ref="I348">IFERROR(IF($D348="Bond",IFERROR(INDEX('Schwab Positions'!$J$8:$J$10000,SMALL(IF('Schwab Positions'!$E$8:$E$10000=$C$2,ROW('Schwab Positions'!$E$8:$E$10000)-7,""),ROWS($I$19:$I348))),""),$F348*$G348),"")</f>
        <v/>
      </c>
    </row>
    <row r="349" spans="2:9">
      <c r="B349" t="str" cm="1">
        <f t="array" ref="B349">IFERROR(INDEX('Schwab Positions'!$A$8:$A$10000,SMALL(IF('Schwab Positions'!$E$8:$E$10000=$C$2,ROW('Schwab Positions'!$E$8:$E$10000)-7,""),ROWS($B$19:B349))),"")</f>
        <v/>
      </c>
      <c r="C349" t="str">
        <f>IFERROR(VLOOKUP(B349,'Schwab Positions'!$A$8:$B$10000,2,FALSE),"")</f>
        <v/>
      </c>
      <c r="D349" s="34" t="str">
        <f>IFERROR(VLOOKUP(B349,'Security Type'!$A$2:$C$1000,3,FALSE),"")</f>
        <v/>
      </c>
      <c r="E349" s="34" t="str">
        <f>IF(B349="","",IF(ISNUMBER(MATCH(B349,'2022 Port'!$D$6:$D$67,0)),VLOOKUP(B349,'Security Type'!$A$3:$D$1000,4,FALSE),"NOT IN PORT"))</f>
        <v/>
      </c>
      <c r="F349" t="str" cm="1">
        <f t="array" ref="F349">IFERROR(INDEX('Schwab Positions'!$D$8:$D$10000,SMALL(IF('Schwab Positions'!$E$8:$E$10000=$C$2,ROW('Schwab Positions'!$E$8:$E$10000)-7,""),ROWS($F$19:$F349))),"")</f>
        <v/>
      </c>
      <c r="G349" s="1" t="str" cm="1">
        <f t="array" ref="G349">IFERROR(INDEX('Schwab Positions'!$I$8:$I$10000,SMALL(IF('Schwab Positions'!$E$8:$E$10000=$C$2,ROW('Schwab Positions'!$E$8:$E$10000)-7,""),ROWS($G$19:$G349))),"")</f>
        <v/>
      </c>
      <c r="H349" s="100" t="str">
        <f t="shared" si="15"/>
        <v/>
      </c>
      <c r="I349" s="37" t="str" cm="1">
        <f t="array" ref="I349">IFERROR(IF($D349="Bond",IFERROR(INDEX('Schwab Positions'!$J$8:$J$10000,SMALL(IF('Schwab Positions'!$E$8:$E$10000=$C$2,ROW('Schwab Positions'!$E$8:$E$10000)-7,""),ROWS($I$19:$I349))),""),$F349*$G349),"")</f>
        <v/>
      </c>
    </row>
    <row r="350" spans="2:9">
      <c r="B350" t="str" cm="1">
        <f t="array" ref="B350">IFERROR(INDEX('Schwab Positions'!$A$8:$A$10000,SMALL(IF('Schwab Positions'!$E$8:$E$10000=$C$2,ROW('Schwab Positions'!$E$8:$E$10000)-7,""),ROWS($B$19:B350))),"")</f>
        <v/>
      </c>
      <c r="C350" t="str">
        <f>IFERROR(VLOOKUP(B350,'Schwab Positions'!$A$8:$B$10000,2,FALSE),"")</f>
        <v/>
      </c>
      <c r="D350" s="34" t="str">
        <f>IFERROR(VLOOKUP(B350,'Security Type'!$A$2:$C$1000,3,FALSE),"")</f>
        <v/>
      </c>
      <c r="E350" s="34" t="str">
        <f>IF(B350="","",IF(ISNUMBER(MATCH(B350,'2022 Port'!$D$6:$D$67,0)),VLOOKUP(B350,'Security Type'!$A$3:$D$1000,4,FALSE),"NOT IN PORT"))</f>
        <v/>
      </c>
      <c r="F350" t="str" cm="1">
        <f t="array" ref="F350">IFERROR(INDEX('Schwab Positions'!$D$8:$D$10000,SMALL(IF('Schwab Positions'!$E$8:$E$10000=$C$2,ROW('Schwab Positions'!$E$8:$E$10000)-7,""),ROWS($F$19:$F350))),"")</f>
        <v/>
      </c>
      <c r="G350" s="1" t="str" cm="1">
        <f t="array" ref="G350">IFERROR(INDEX('Schwab Positions'!$I$8:$I$10000,SMALL(IF('Schwab Positions'!$E$8:$E$10000=$C$2,ROW('Schwab Positions'!$E$8:$E$10000)-7,""),ROWS($G$19:$G350))),"")</f>
        <v/>
      </c>
      <c r="H350" s="100" t="str">
        <f t="shared" si="15"/>
        <v/>
      </c>
      <c r="I350" s="37" t="str" cm="1">
        <f t="array" ref="I350">IFERROR(IF($D350="Bond",IFERROR(INDEX('Schwab Positions'!$J$8:$J$10000,SMALL(IF('Schwab Positions'!$E$8:$E$10000=$C$2,ROW('Schwab Positions'!$E$8:$E$10000)-7,""),ROWS($I$19:$I350))),""),$F350*$G350),"")</f>
        <v/>
      </c>
    </row>
    <row r="351" spans="2:9">
      <c r="B351" t="str" cm="1">
        <f t="array" ref="B351">IFERROR(INDEX('Schwab Positions'!$A$8:$A$10000,SMALL(IF('Schwab Positions'!$E$8:$E$10000=$C$2,ROW('Schwab Positions'!$E$8:$E$10000)-7,""),ROWS($B$19:B351))),"")</f>
        <v/>
      </c>
      <c r="C351" t="str">
        <f>IFERROR(VLOOKUP(B351,'Schwab Positions'!$A$8:$B$10000,2,FALSE),"")</f>
        <v/>
      </c>
      <c r="D351" s="34" t="str">
        <f>IFERROR(VLOOKUP(B351,'Security Type'!$A$2:$C$1000,3,FALSE),"")</f>
        <v/>
      </c>
      <c r="E351" s="34" t="str">
        <f>IF(B351="","",IF(ISNUMBER(MATCH(B351,'2022 Port'!$D$6:$D$67,0)),VLOOKUP(B351,'Security Type'!$A$3:$D$1000,4,FALSE),"NOT IN PORT"))</f>
        <v/>
      </c>
      <c r="F351" t="str" cm="1">
        <f t="array" ref="F351">IFERROR(INDEX('Schwab Positions'!$D$8:$D$10000,SMALL(IF('Schwab Positions'!$E$8:$E$10000=$C$2,ROW('Schwab Positions'!$E$8:$E$10000)-7,""),ROWS($F$19:$F351))),"")</f>
        <v/>
      </c>
      <c r="G351" s="1" t="str" cm="1">
        <f t="array" ref="G351">IFERROR(INDEX('Schwab Positions'!$I$8:$I$10000,SMALL(IF('Schwab Positions'!$E$8:$E$10000=$C$2,ROW('Schwab Positions'!$E$8:$E$10000)-7,""),ROWS($G$19:$G351))),"")</f>
        <v/>
      </c>
      <c r="H351" s="100" t="str">
        <f t="shared" si="15"/>
        <v/>
      </c>
      <c r="I351" s="37" t="str" cm="1">
        <f t="array" ref="I351">IFERROR(IF($D351="Bond",IFERROR(INDEX('Schwab Positions'!$J$8:$J$10000,SMALL(IF('Schwab Positions'!$E$8:$E$10000=$C$2,ROW('Schwab Positions'!$E$8:$E$10000)-7,""),ROWS($I$19:$I351))),""),$F351*$G351),"")</f>
        <v/>
      </c>
    </row>
    <row r="352" spans="2:9">
      <c r="B352" t="str" cm="1">
        <f t="array" ref="B352">IFERROR(INDEX('Schwab Positions'!$A$8:$A$10000,SMALL(IF('Schwab Positions'!$E$8:$E$10000=$C$2,ROW('Schwab Positions'!$E$8:$E$10000)-7,""),ROWS($B$19:B352))),"")</f>
        <v/>
      </c>
      <c r="C352" t="str">
        <f>IFERROR(VLOOKUP(B352,'Schwab Positions'!$A$8:$B$10000,2,FALSE),"")</f>
        <v/>
      </c>
      <c r="D352" s="34" t="str">
        <f>IFERROR(VLOOKUP(B352,'Security Type'!$A$2:$C$1000,3,FALSE),"")</f>
        <v/>
      </c>
      <c r="E352" s="34" t="str">
        <f>IF(B352="","",IF(ISNUMBER(MATCH(B352,'2022 Port'!$D$6:$D$67,0)),VLOOKUP(B352,'Security Type'!$A$3:$D$1000,4,FALSE),"NOT IN PORT"))</f>
        <v/>
      </c>
      <c r="F352" t="str" cm="1">
        <f t="array" ref="F352">IFERROR(INDEX('Schwab Positions'!$D$8:$D$10000,SMALL(IF('Schwab Positions'!$E$8:$E$10000=$C$2,ROW('Schwab Positions'!$E$8:$E$10000)-7,""),ROWS($F$19:$F352))),"")</f>
        <v/>
      </c>
      <c r="G352" s="1" t="str" cm="1">
        <f t="array" ref="G352">IFERROR(INDEX('Schwab Positions'!$I$8:$I$10000,SMALL(IF('Schwab Positions'!$E$8:$E$10000=$C$2,ROW('Schwab Positions'!$E$8:$E$10000)-7,""),ROWS($G$19:$G352))),"")</f>
        <v/>
      </c>
      <c r="H352" s="100" t="str">
        <f t="shared" si="15"/>
        <v/>
      </c>
      <c r="I352" s="37" t="str" cm="1">
        <f t="array" ref="I352">IFERROR(IF($D352="Bond",IFERROR(INDEX('Schwab Positions'!$J$8:$J$10000,SMALL(IF('Schwab Positions'!$E$8:$E$10000=$C$2,ROW('Schwab Positions'!$E$8:$E$10000)-7,""),ROWS($I$19:$I352))),""),$F352*$G352),"")</f>
        <v/>
      </c>
    </row>
    <row r="353" spans="2:9">
      <c r="B353" t="str" cm="1">
        <f t="array" ref="B353">IFERROR(INDEX('Schwab Positions'!$A$8:$A$10000,SMALL(IF('Schwab Positions'!$E$8:$E$10000=$C$2,ROW('Schwab Positions'!$E$8:$E$10000)-7,""),ROWS($B$19:B353))),"")</f>
        <v/>
      </c>
      <c r="C353" t="str">
        <f>IFERROR(VLOOKUP(B353,'Schwab Positions'!$A$8:$B$10000,2,FALSE),"")</f>
        <v/>
      </c>
      <c r="D353" s="34" t="str">
        <f>IFERROR(VLOOKUP(B353,'Security Type'!$A$2:$C$1000,3,FALSE),"")</f>
        <v/>
      </c>
      <c r="E353" s="34" t="str">
        <f>IF(B353="","",IF(ISNUMBER(MATCH(B353,'2022 Port'!$D$6:$D$67,0)),VLOOKUP(B353,'Security Type'!$A$3:$D$1000,4,FALSE),"NOT IN PORT"))</f>
        <v/>
      </c>
      <c r="F353" t="str" cm="1">
        <f t="array" ref="F353">IFERROR(INDEX('Schwab Positions'!$D$8:$D$10000,SMALL(IF('Schwab Positions'!$E$8:$E$10000=$C$2,ROW('Schwab Positions'!$E$8:$E$10000)-7,""),ROWS($F$19:$F353))),"")</f>
        <v/>
      </c>
      <c r="G353" s="1" t="str" cm="1">
        <f t="array" ref="G353">IFERROR(INDEX('Schwab Positions'!$I$8:$I$10000,SMALL(IF('Schwab Positions'!$E$8:$E$10000=$C$2,ROW('Schwab Positions'!$E$8:$E$10000)-7,""),ROWS($G$19:$G353))),"")</f>
        <v/>
      </c>
      <c r="H353" s="100" t="str">
        <f t="shared" si="15"/>
        <v/>
      </c>
      <c r="I353" s="37" t="str" cm="1">
        <f t="array" ref="I353">IFERROR(IF($D353="Bond",IFERROR(INDEX('Schwab Positions'!$J$8:$J$10000,SMALL(IF('Schwab Positions'!$E$8:$E$10000=$C$2,ROW('Schwab Positions'!$E$8:$E$10000)-7,""),ROWS($I$19:$I353))),""),$F353*$G353),"")</f>
        <v/>
      </c>
    </row>
    <row r="354" spans="2:9">
      <c r="B354" t="str" cm="1">
        <f t="array" ref="B354">IFERROR(INDEX('Schwab Positions'!$A$8:$A$10000,SMALL(IF('Schwab Positions'!$E$8:$E$10000=$C$2,ROW('Schwab Positions'!$E$8:$E$10000)-7,""),ROWS($B$19:B354))),"")</f>
        <v/>
      </c>
      <c r="C354" t="str">
        <f>IFERROR(VLOOKUP(B354,'Schwab Positions'!$A$8:$B$10000,2,FALSE),"")</f>
        <v/>
      </c>
      <c r="D354" s="34" t="str">
        <f>IFERROR(VLOOKUP(B354,'Security Type'!$A$2:$C$1000,3,FALSE),"")</f>
        <v/>
      </c>
      <c r="E354" s="34" t="str">
        <f>IF(B354="","",IF(ISNUMBER(MATCH(B354,'2022 Port'!$D$6:$D$67,0)),VLOOKUP(B354,'Security Type'!$A$3:$D$1000,4,FALSE),"NOT IN PORT"))</f>
        <v/>
      </c>
      <c r="F354" t="str" cm="1">
        <f t="array" ref="F354">IFERROR(INDEX('Schwab Positions'!$D$8:$D$10000,SMALL(IF('Schwab Positions'!$E$8:$E$10000=$C$2,ROW('Schwab Positions'!$E$8:$E$10000)-7,""),ROWS($F$19:$F354))),"")</f>
        <v/>
      </c>
      <c r="G354" s="1" t="str" cm="1">
        <f t="array" ref="G354">IFERROR(INDEX('Schwab Positions'!$I$8:$I$10000,SMALL(IF('Schwab Positions'!$E$8:$E$10000=$C$2,ROW('Schwab Positions'!$E$8:$E$10000)-7,""),ROWS($G$19:$G354))),"")</f>
        <v/>
      </c>
      <c r="H354" s="100" t="str">
        <f t="shared" si="15"/>
        <v/>
      </c>
      <c r="I354" s="37" t="str" cm="1">
        <f t="array" ref="I354">IFERROR(IF($D354="Bond",IFERROR(INDEX('Schwab Positions'!$J$8:$J$10000,SMALL(IF('Schwab Positions'!$E$8:$E$10000=$C$2,ROW('Schwab Positions'!$E$8:$E$10000)-7,""),ROWS($I$19:$I354))),""),$F354*$G354),"")</f>
        <v/>
      </c>
    </row>
    <row r="355" spans="2:9">
      <c r="B355" t="str" cm="1">
        <f t="array" ref="B355">IFERROR(INDEX('Schwab Positions'!$A$8:$A$10000,SMALL(IF('Schwab Positions'!$E$8:$E$10000=$C$2,ROW('Schwab Positions'!$E$8:$E$10000)-7,""),ROWS($B$19:B355))),"")</f>
        <v/>
      </c>
      <c r="C355" t="str">
        <f>IFERROR(VLOOKUP(B355,'Schwab Positions'!$A$8:$B$10000,2,FALSE),"")</f>
        <v/>
      </c>
      <c r="D355" s="34" t="str">
        <f>IFERROR(VLOOKUP(B355,'Security Type'!$A$2:$C$1000,3,FALSE),"")</f>
        <v/>
      </c>
      <c r="E355" s="34" t="str">
        <f>IF(B355="","",IF(ISNUMBER(MATCH(B355,'2022 Port'!$D$6:$D$67,0)),VLOOKUP(B355,'Security Type'!$A$3:$D$1000,4,FALSE),"NOT IN PORT"))</f>
        <v/>
      </c>
      <c r="F355" t="str" cm="1">
        <f t="array" ref="F355">IFERROR(INDEX('Schwab Positions'!$D$8:$D$10000,SMALL(IF('Schwab Positions'!$E$8:$E$10000=$C$2,ROW('Schwab Positions'!$E$8:$E$10000)-7,""),ROWS($F$19:$F355))),"")</f>
        <v/>
      </c>
      <c r="G355" s="1" t="str" cm="1">
        <f t="array" ref="G355">IFERROR(INDEX('Schwab Positions'!$I$8:$I$10000,SMALL(IF('Schwab Positions'!$E$8:$E$10000=$C$2,ROW('Schwab Positions'!$E$8:$E$10000)-7,""),ROWS($G$19:$G355))),"")</f>
        <v/>
      </c>
      <c r="H355" s="100" t="str">
        <f t="shared" si="15"/>
        <v/>
      </c>
      <c r="I355" s="37" t="str" cm="1">
        <f t="array" ref="I355">IFERROR(IF($D355="Bond",IFERROR(INDEX('Schwab Positions'!$J$8:$J$10000,SMALL(IF('Schwab Positions'!$E$8:$E$10000=$C$2,ROW('Schwab Positions'!$E$8:$E$10000)-7,""),ROWS($I$19:$I355))),""),$F355*$G355),"")</f>
        <v/>
      </c>
    </row>
    <row r="356" spans="2:9">
      <c r="B356" t="str" cm="1">
        <f t="array" ref="B356">IFERROR(INDEX('Schwab Positions'!$A$8:$A$10000,SMALL(IF('Schwab Positions'!$E$8:$E$10000=$C$2,ROW('Schwab Positions'!$E$8:$E$10000)-7,""),ROWS($B$19:B356))),"")</f>
        <v/>
      </c>
      <c r="C356" t="str">
        <f>IFERROR(VLOOKUP(B356,'Schwab Positions'!$A$8:$B$10000,2,FALSE),"")</f>
        <v/>
      </c>
      <c r="D356" s="34" t="str">
        <f>IFERROR(VLOOKUP(B356,'Security Type'!$A$2:$C$1000,3,FALSE),"")</f>
        <v/>
      </c>
      <c r="E356" s="34" t="str">
        <f>IF(B356="","",IF(ISNUMBER(MATCH(B356,'2022 Port'!$D$6:$D$67,0)),VLOOKUP(B356,'Security Type'!$A$3:$D$1000,4,FALSE),"NOT IN PORT"))</f>
        <v/>
      </c>
      <c r="F356" t="str" cm="1">
        <f t="array" ref="F356">IFERROR(INDEX('Schwab Positions'!$D$8:$D$10000,SMALL(IF('Schwab Positions'!$E$8:$E$10000=$C$2,ROW('Schwab Positions'!$E$8:$E$10000)-7,""),ROWS($F$19:$F356))),"")</f>
        <v/>
      </c>
      <c r="G356" s="1" t="str" cm="1">
        <f t="array" ref="G356">IFERROR(INDEX('Schwab Positions'!$I$8:$I$10000,SMALL(IF('Schwab Positions'!$E$8:$E$10000=$C$2,ROW('Schwab Positions'!$E$8:$E$10000)-7,""),ROWS($G$19:$G356))),"")</f>
        <v/>
      </c>
      <c r="H356" s="100" t="str">
        <f t="shared" si="15"/>
        <v/>
      </c>
      <c r="I356" s="37" t="str" cm="1">
        <f t="array" ref="I356">IFERROR(IF($D356="Bond",IFERROR(INDEX('Schwab Positions'!$J$8:$J$10000,SMALL(IF('Schwab Positions'!$E$8:$E$10000=$C$2,ROW('Schwab Positions'!$E$8:$E$10000)-7,""),ROWS($I$19:$I356))),""),$F356*$G356),"")</f>
        <v/>
      </c>
    </row>
    <row r="357" spans="2:9">
      <c r="B357" t="str" cm="1">
        <f t="array" ref="B357">IFERROR(INDEX('Schwab Positions'!$A$8:$A$10000,SMALL(IF('Schwab Positions'!$E$8:$E$10000=$C$2,ROW('Schwab Positions'!$E$8:$E$10000)-7,""),ROWS($B$19:B357))),"")</f>
        <v/>
      </c>
      <c r="C357" t="str">
        <f>IFERROR(VLOOKUP(B357,'Schwab Positions'!$A$8:$B$10000,2,FALSE),"")</f>
        <v/>
      </c>
      <c r="D357" s="34" t="str">
        <f>IFERROR(VLOOKUP(B357,'Security Type'!$A$2:$C$1000,3,FALSE),"")</f>
        <v/>
      </c>
      <c r="E357" s="34" t="str">
        <f>IF(B357="","",IF(ISNUMBER(MATCH(B357,'2022 Port'!$D$6:$D$67,0)),VLOOKUP(B357,'Security Type'!$A$3:$D$1000,4,FALSE),"NOT IN PORT"))</f>
        <v/>
      </c>
      <c r="F357" t="str" cm="1">
        <f t="array" ref="F357">IFERROR(INDEX('Schwab Positions'!$D$8:$D$10000,SMALL(IF('Schwab Positions'!$E$8:$E$10000=$C$2,ROW('Schwab Positions'!$E$8:$E$10000)-7,""),ROWS($F$19:$F357))),"")</f>
        <v/>
      </c>
      <c r="G357" s="1" t="str" cm="1">
        <f t="array" ref="G357">IFERROR(INDEX('Schwab Positions'!$I$8:$I$10000,SMALL(IF('Schwab Positions'!$E$8:$E$10000=$C$2,ROW('Schwab Positions'!$E$8:$E$10000)-7,""),ROWS($G$19:$G357))),"")</f>
        <v/>
      </c>
      <c r="H357" s="100" t="str">
        <f t="shared" si="15"/>
        <v/>
      </c>
      <c r="I357" s="37" t="str" cm="1">
        <f t="array" ref="I357">IFERROR(IF($D357="Bond",IFERROR(INDEX('Schwab Positions'!$J$8:$J$10000,SMALL(IF('Schwab Positions'!$E$8:$E$10000=$C$2,ROW('Schwab Positions'!$E$8:$E$10000)-7,""),ROWS($I$19:$I357))),""),$F357*$G357),"")</f>
        <v/>
      </c>
    </row>
    <row r="358" spans="2:9">
      <c r="B358" t="str" cm="1">
        <f t="array" ref="B358">IFERROR(INDEX('Schwab Positions'!$A$8:$A$10000,SMALL(IF('Schwab Positions'!$E$8:$E$10000=$C$2,ROW('Schwab Positions'!$E$8:$E$10000)-7,""),ROWS($B$19:B358))),"")</f>
        <v/>
      </c>
      <c r="C358" t="str">
        <f>IFERROR(VLOOKUP(B358,'Schwab Positions'!$A$8:$B$10000,2,FALSE),"")</f>
        <v/>
      </c>
      <c r="D358" s="34" t="str">
        <f>IFERROR(VLOOKUP(B358,'Security Type'!$A$2:$C$1000,3,FALSE),"")</f>
        <v/>
      </c>
      <c r="E358" s="34" t="str">
        <f>IF(B358="","",IF(ISNUMBER(MATCH(B358,'2022 Port'!$D$6:$D$67,0)),VLOOKUP(B358,'Security Type'!$A$3:$D$1000,4,FALSE),"NOT IN PORT"))</f>
        <v/>
      </c>
      <c r="F358" t="str" cm="1">
        <f t="array" ref="F358">IFERROR(INDEX('Schwab Positions'!$D$8:$D$10000,SMALL(IF('Schwab Positions'!$E$8:$E$10000=$C$2,ROW('Schwab Positions'!$E$8:$E$10000)-7,""),ROWS($F$19:$F358))),"")</f>
        <v/>
      </c>
      <c r="G358" s="1" t="str" cm="1">
        <f t="array" ref="G358">IFERROR(INDEX('Schwab Positions'!$I$8:$I$10000,SMALL(IF('Schwab Positions'!$E$8:$E$10000=$C$2,ROW('Schwab Positions'!$E$8:$E$10000)-7,""),ROWS($G$19:$G358))),"")</f>
        <v/>
      </c>
      <c r="H358" s="100" t="str">
        <f t="shared" si="15"/>
        <v/>
      </c>
      <c r="I358" s="37" t="str" cm="1">
        <f t="array" ref="I358">IFERROR(IF($D358="Bond",IFERROR(INDEX('Schwab Positions'!$J$8:$J$10000,SMALL(IF('Schwab Positions'!$E$8:$E$10000=$C$2,ROW('Schwab Positions'!$E$8:$E$10000)-7,""),ROWS($I$19:$I358))),""),$F358*$G358),"")</f>
        <v/>
      </c>
    </row>
    <row r="359" spans="2:9">
      <c r="B359" t="str" cm="1">
        <f t="array" ref="B359">IFERROR(INDEX('Schwab Positions'!$A$8:$A$10000,SMALL(IF('Schwab Positions'!$E$8:$E$10000=$C$2,ROW('Schwab Positions'!$E$8:$E$10000)-7,""),ROWS($B$19:B359))),"")</f>
        <v/>
      </c>
      <c r="C359" t="str">
        <f>IFERROR(VLOOKUP(B359,'Schwab Positions'!$A$8:$B$10000,2,FALSE),"")</f>
        <v/>
      </c>
      <c r="D359" s="34" t="str">
        <f>IFERROR(VLOOKUP(B359,'Security Type'!$A$2:$C$1000,3,FALSE),"")</f>
        <v/>
      </c>
      <c r="E359" s="34" t="str">
        <f>IF(B359="","",IF(ISNUMBER(MATCH(B359,'2022 Port'!$D$6:$D$67,0)),VLOOKUP(B359,'Security Type'!$A$3:$D$1000,4,FALSE),"NOT IN PORT"))</f>
        <v/>
      </c>
      <c r="F359" t="str" cm="1">
        <f t="array" ref="F359">IFERROR(INDEX('Schwab Positions'!$D$8:$D$10000,SMALL(IF('Schwab Positions'!$E$8:$E$10000=$C$2,ROW('Schwab Positions'!$E$8:$E$10000)-7,""),ROWS($F$19:$F359))),"")</f>
        <v/>
      </c>
      <c r="G359" s="1" t="str" cm="1">
        <f t="array" ref="G359">IFERROR(INDEX('Schwab Positions'!$I$8:$I$10000,SMALL(IF('Schwab Positions'!$E$8:$E$10000=$C$2,ROW('Schwab Positions'!$E$8:$E$10000)-7,""),ROWS($G$19:$G359))),"")</f>
        <v/>
      </c>
      <c r="H359" s="100" t="str">
        <f t="shared" si="15"/>
        <v/>
      </c>
      <c r="I359" s="37" t="str" cm="1">
        <f t="array" ref="I359">IFERROR(IF($D359="Bond",IFERROR(INDEX('Schwab Positions'!$J$8:$J$10000,SMALL(IF('Schwab Positions'!$E$8:$E$10000=$C$2,ROW('Schwab Positions'!$E$8:$E$10000)-7,""),ROWS($I$19:$I359))),""),$F359*$G359),"")</f>
        <v/>
      </c>
    </row>
    <row r="360" spans="2:9">
      <c r="B360" t="str" cm="1">
        <f t="array" ref="B360">IFERROR(INDEX('Schwab Positions'!$A$8:$A$10000,SMALL(IF('Schwab Positions'!$E$8:$E$10000=$C$2,ROW('Schwab Positions'!$E$8:$E$10000)-7,""),ROWS($B$19:B360))),"")</f>
        <v/>
      </c>
      <c r="C360" t="str">
        <f>IFERROR(VLOOKUP(B360,'Schwab Positions'!$A$8:$B$10000,2,FALSE),"")</f>
        <v/>
      </c>
      <c r="D360" s="34" t="str">
        <f>IFERROR(VLOOKUP(B360,'Security Type'!$A$2:$C$1000,3,FALSE),"")</f>
        <v/>
      </c>
      <c r="E360" s="34" t="str">
        <f>IF(B360="","",IF(ISNUMBER(MATCH(B360,'2022 Port'!$D$6:$D$67,0)),VLOOKUP(B360,'Security Type'!$A$3:$D$1000,4,FALSE),"NOT IN PORT"))</f>
        <v/>
      </c>
      <c r="F360" t="str" cm="1">
        <f t="array" ref="F360">IFERROR(INDEX('Schwab Positions'!$D$8:$D$10000,SMALL(IF('Schwab Positions'!$E$8:$E$10000=$C$2,ROW('Schwab Positions'!$E$8:$E$10000)-7,""),ROWS($F$19:$F360))),"")</f>
        <v/>
      </c>
      <c r="G360" s="1" t="str" cm="1">
        <f t="array" ref="G360">IFERROR(INDEX('Schwab Positions'!$I$8:$I$10000,SMALL(IF('Schwab Positions'!$E$8:$E$10000=$C$2,ROW('Schwab Positions'!$E$8:$E$10000)-7,""),ROWS($G$19:$G360))),"")</f>
        <v/>
      </c>
      <c r="H360" s="100" t="str">
        <f t="shared" si="15"/>
        <v/>
      </c>
      <c r="I360" s="37" t="str" cm="1">
        <f t="array" ref="I360">IFERROR(IF($D360="Bond",IFERROR(INDEX('Schwab Positions'!$J$8:$J$10000,SMALL(IF('Schwab Positions'!$E$8:$E$10000=$C$2,ROW('Schwab Positions'!$E$8:$E$10000)-7,""),ROWS($I$19:$I360))),""),$F360*$G360),"")</f>
        <v/>
      </c>
    </row>
    <row r="361" spans="2:9">
      <c r="B361" t="str" cm="1">
        <f t="array" ref="B361">IFERROR(INDEX('Schwab Positions'!$A$8:$A$10000,SMALL(IF('Schwab Positions'!$E$8:$E$10000=$C$2,ROW('Schwab Positions'!$E$8:$E$10000)-7,""),ROWS($B$19:B361))),"")</f>
        <v/>
      </c>
      <c r="C361" t="str">
        <f>IFERROR(VLOOKUP(B361,'Schwab Positions'!$A$8:$B$10000,2,FALSE),"")</f>
        <v/>
      </c>
      <c r="D361" s="34" t="str">
        <f>IFERROR(VLOOKUP(B361,'Security Type'!$A$2:$C$1000,3,FALSE),"")</f>
        <v/>
      </c>
      <c r="E361" s="34" t="str">
        <f>IF(B361="","",IF(ISNUMBER(MATCH(B361,'2022 Port'!$D$6:$D$67,0)),VLOOKUP(B361,'Security Type'!$A$3:$D$1000,4,FALSE),"NOT IN PORT"))</f>
        <v/>
      </c>
      <c r="F361" t="str" cm="1">
        <f t="array" ref="F361">IFERROR(INDEX('Schwab Positions'!$D$8:$D$10000,SMALL(IF('Schwab Positions'!$E$8:$E$10000=$C$2,ROW('Schwab Positions'!$E$8:$E$10000)-7,""),ROWS($F$19:$F361))),"")</f>
        <v/>
      </c>
      <c r="G361" s="1" t="str" cm="1">
        <f t="array" ref="G361">IFERROR(INDEX('Schwab Positions'!$I$8:$I$10000,SMALL(IF('Schwab Positions'!$E$8:$E$10000=$C$2,ROW('Schwab Positions'!$E$8:$E$10000)-7,""),ROWS($G$19:$G361))),"")</f>
        <v/>
      </c>
      <c r="H361" s="100" t="str">
        <f t="shared" si="15"/>
        <v/>
      </c>
      <c r="I361" s="37" t="str" cm="1">
        <f t="array" ref="I361">IFERROR(IF($D361="Bond",IFERROR(INDEX('Schwab Positions'!$J$8:$J$10000,SMALL(IF('Schwab Positions'!$E$8:$E$10000=$C$2,ROW('Schwab Positions'!$E$8:$E$10000)-7,""),ROWS($I$19:$I361))),""),$F361*$G361),"")</f>
        <v/>
      </c>
    </row>
    <row r="362" spans="2:9">
      <c r="B362" t="str" cm="1">
        <f t="array" ref="B362">IFERROR(INDEX('Schwab Positions'!$A$8:$A$10000,SMALL(IF('Schwab Positions'!$E$8:$E$10000=$C$2,ROW('Schwab Positions'!$E$8:$E$10000)-7,""),ROWS($B$19:B362))),"")</f>
        <v/>
      </c>
      <c r="C362" t="str">
        <f>IFERROR(VLOOKUP(B362,'Schwab Positions'!$A$8:$B$10000,2,FALSE),"")</f>
        <v/>
      </c>
      <c r="D362" s="34" t="str">
        <f>IFERROR(VLOOKUP(B362,'Security Type'!$A$2:$C$1000,3,FALSE),"")</f>
        <v/>
      </c>
      <c r="E362" s="34" t="str">
        <f>IF(B362="","",IF(ISNUMBER(MATCH(B362,'2022 Port'!$D$6:$D$67,0)),VLOOKUP(B362,'Security Type'!$A$3:$D$1000,4,FALSE),"NOT IN PORT"))</f>
        <v/>
      </c>
      <c r="F362" t="str" cm="1">
        <f t="array" ref="F362">IFERROR(INDEX('Schwab Positions'!$D$8:$D$10000,SMALL(IF('Schwab Positions'!$E$8:$E$10000=$C$2,ROW('Schwab Positions'!$E$8:$E$10000)-7,""),ROWS($F$19:$F362))),"")</f>
        <v/>
      </c>
      <c r="G362" s="1" t="str" cm="1">
        <f t="array" ref="G362">IFERROR(INDEX('Schwab Positions'!$I$8:$I$10000,SMALL(IF('Schwab Positions'!$E$8:$E$10000=$C$2,ROW('Schwab Positions'!$E$8:$E$10000)-7,""),ROWS($G$19:$G362))),"")</f>
        <v/>
      </c>
      <c r="H362" s="100" t="str">
        <f t="shared" si="15"/>
        <v/>
      </c>
      <c r="I362" s="37" t="str" cm="1">
        <f t="array" ref="I362">IFERROR(IF($D362="Bond",IFERROR(INDEX('Schwab Positions'!$J$8:$J$10000,SMALL(IF('Schwab Positions'!$E$8:$E$10000=$C$2,ROW('Schwab Positions'!$E$8:$E$10000)-7,""),ROWS($I$19:$I362))),""),$F362*$G362),"")</f>
        <v/>
      </c>
    </row>
    <row r="363" spans="2:9">
      <c r="B363" t="str" cm="1">
        <f t="array" ref="B363">IFERROR(INDEX('Schwab Positions'!$A$8:$A$10000,SMALL(IF('Schwab Positions'!$E$8:$E$10000=$C$2,ROW('Schwab Positions'!$E$8:$E$10000)-7,""),ROWS($B$19:B363))),"")</f>
        <v/>
      </c>
      <c r="C363" t="str">
        <f>IFERROR(VLOOKUP(B363,'Schwab Positions'!$A$8:$B$10000,2,FALSE),"")</f>
        <v/>
      </c>
      <c r="D363" s="34" t="str">
        <f>IFERROR(VLOOKUP(B363,'Security Type'!$A$2:$C$1000,3,FALSE),"")</f>
        <v/>
      </c>
      <c r="E363" s="34" t="str">
        <f>IF(B363="","",IF(ISNUMBER(MATCH(B363,'2022 Port'!$D$6:$D$67,0)),VLOOKUP(B363,'Security Type'!$A$3:$D$1000,4,FALSE),"NOT IN PORT"))</f>
        <v/>
      </c>
      <c r="F363" t="str" cm="1">
        <f t="array" ref="F363">IFERROR(INDEX('Schwab Positions'!$D$8:$D$10000,SMALL(IF('Schwab Positions'!$E$8:$E$10000=$C$2,ROW('Schwab Positions'!$E$8:$E$10000)-7,""),ROWS($F$19:$F363))),"")</f>
        <v/>
      </c>
      <c r="G363" s="1" t="str" cm="1">
        <f t="array" ref="G363">IFERROR(INDEX('Schwab Positions'!$I$8:$I$10000,SMALL(IF('Schwab Positions'!$E$8:$E$10000=$C$2,ROW('Schwab Positions'!$E$8:$E$10000)-7,""),ROWS($G$19:$G363))),"")</f>
        <v/>
      </c>
      <c r="H363" s="100" t="str">
        <f t="shared" si="15"/>
        <v/>
      </c>
      <c r="I363" s="37" t="str" cm="1">
        <f t="array" ref="I363">IFERROR(IF($D363="Bond",IFERROR(INDEX('Schwab Positions'!$J$8:$J$10000,SMALL(IF('Schwab Positions'!$E$8:$E$10000=$C$2,ROW('Schwab Positions'!$E$8:$E$10000)-7,""),ROWS($I$19:$I363))),""),$F363*$G363),"")</f>
        <v/>
      </c>
    </row>
    <row r="364" spans="2:9">
      <c r="B364" t="str" cm="1">
        <f t="array" ref="B364">IFERROR(INDEX('Schwab Positions'!$A$8:$A$10000,SMALL(IF('Schwab Positions'!$E$8:$E$10000=$C$2,ROW('Schwab Positions'!$E$8:$E$10000)-7,""),ROWS($B$19:B364))),"")</f>
        <v/>
      </c>
      <c r="C364" t="str">
        <f>IFERROR(VLOOKUP(B364,'Schwab Positions'!$A$8:$B$10000,2,FALSE),"")</f>
        <v/>
      </c>
      <c r="D364" s="34" t="str">
        <f>IFERROR(VLOOKUP(B364,'Security Type'!$A$2:$C$1000,3,FALSE),"")</f>
        <v/>
      </c>
      <c r="E364" s="34" t="str">
        <f>IF(B364="","",IF(ISNUMBER(MATCH(B364,'2022 Port'!$D$6:$D$67,0)),VLOOKUP(B364,'Security Type'!$A$3:$D$1000,4,FALSE),"NOT IN PORT"))</f>
        <v/>
      </c>
      <c r="F364" t="str" cm="1">
        <f t="array" ref="F364">IFERROR(INDEX('Schwab Positions'!$D$8:$D$10000,SMALL(IF('Schwab Positions'!$E$8:$E$10000=$C$2,ROW('Schwab Positions'!$E$8:$E$10000)-7,""),ROWS($F$19:$F364))),"")</f>
        <v/>
      </c>
      <c r="G364" s="1" t="str" cm="1">
        <f t="array" ref="G364">IFERROR(INDEX('Schwab Positions'!$I$8:$I$10000,SMALL(IF('Schwab Positions'!$E$8:$E$10000=$C$2,ROW('Schwab Positions'!$E$8:$E$10000)-7,""),ROWS($G$19:$G364))),"")</f>
        <v/>
      </c>
      <c r="H364" s="100" t="str">
        <f t="shared" si="15"/>
        <v/>
      </c>
      <c r="I364" s="37" t="str" cm="1">
        <f t="array" ref="I364">IFERROR(IF($D364="Bond",IFERROR(INDEX('Schwab Positions'!$J$8:$J$10000,SMALL(IF('Schwab Positions'!$E$8:$E$10000=$C$2,ROW('Schwab Positions'!$E$8:$E$10000)-7,""),ROWS($I$19:$I364))),""),$F364*$G364),"")</f>
        <v/>
      </c>
    </row>
    <row r="365" spans="2:9">
      <c r="B365" t="str" cm="1">
        <f t="array" ref="B365">IFERROR(INDEX('Schwab Positions'!$A$8:$A$10000,SMALL(IF('Schwab Positions'!$E$8:$E$10000=$C$2,ROW('Schwab Positions'!$E$8:$E$10000)-7,""),ROWS($B$19:B365))),"")</f>
        <v/>
      </c>
      <c r="C365" t="str">
        <f>IFERROR(VLOOKUP(B365,'Schwab Positions'!$A$8:$B$10000,2,FALSE),"")</f>
        <v/>
      </c>
      <c r="D365" s="34" t="str">
        <f>IFERROR(VLOOKUP(B365,'Security Type'!$A$2:$C$1000,3,FALSE),"")</f>
        <v/>
      </c>
      <c r="E365" s="34" t="str">
        <f>IF(B365="","",IF(ISNUMBER(MATCH(B365,'2022 Port'!$D$6:$D$67,0)),VLOOKUP(B365,'Security Type'!$A$3:$D$1000,4,FALSE),"NOT IN PORT"))</f>
        <v/>
      </c>
      <c r="F365" t="str" cm="1">
        <f t="array" ref="F365">IFERROR(INDEX('Schwab Positions'!$D$8:$D$10000,SMALL(IF('Schwab Positions'!$E$8:$E$10000=$C$2,ROW('Schwab Positions'!$E$8:$E$10000)-7,""),ROWS($F$19:$F365))),"")</f>
        <v/>
      </c>
      <c r="G365" s="1" t="str" cm="1">
        <f t="array" ref="G365">IFERROR(INDEX('Schwab Positions'!$I$8:$I$10000,SMALL(IF('Schwab Positions'!$E$8:$E$10000=$C$2,ROW('Schwab Positions'!$E$8:$E$10000)-7,""),ROWS($G$19:$G365))),"")</f>
        <v/>
      </c>
      <c r="H365" s="100" t="str">
        <f t="shared" si="15"/>
        <v/>
      </c>
      <c r="I365" s="37" t="str" cm="1">
        <f t="array" ref="I365">IFERROR(IF($D365="Bond",IFERROR(INDEX('Schwab Positions'!$J$8:$J$10000,SMALL(IF('Schwab Positions'!$E$8:$E$10000=$C$2,ROW('Schwab Positions'!$E$8:$E$10000)-7,""),ROWS($I$19:$I365))),""),$F365*$G365),"")</f>
        <v/>
      </c>
    </row>
    <row r="366" spans="2:9">
      <c r="B366" t="str" cm="1">
        <f t="array" ref="B366">IFERROR(INDEX('Schwab Positions'!$A$8:$A$10000,SMALL(IF('Schwab Positions'!$E$8:$E$10000=$C$2,ROW('Schwab Positions'!$E$8:$E$10000)-7,""),ROWS($B$19:B366))),"")</f>
        <v/>
      </c>
      <c r="C366" t="str">
        <f>IFERROR(VLOOKUP(B366,'Schwab Positions'!$A$8:$B$10000,2,FALSE),"")</f>
        <v/>
      </c>
      <c r="D366" s="34" t="str">
        <f>IFERROR(VLOOKUP(B366,'Security Type'!$A$2:$C$1000,3,FALSE),"")</f>
        <v/>
      </c>
      <c r="E366" s="34" t="str">
        <f>IF(B366="","",IF(ISNUMBER(MATCH(B366,'2022 Port'!$D$6:$D$67,0)),VLOOKUP(B366,'Security Type'!$A$3:$D$1000,4,FALSE),"NOT IN PORT"))</f>
        <v/>
      </c>
      <c r="F366" t="str" cm="1">
        <f t="array" ref="F366">IFERROR(INDEX('Schwab Positions'!$D$8:$D$10000,SMALL(IF('Schwab Positions'!$E$8:$E$10000=$C$2,ROW('Schwab Positions'!$E$8:$E$10000)-7,""),ROWS($F$19:$F366))),"")</f>
        <v/>
      </c>
      <c r="G366" s="1" t="str" cm="1">
        <f t="array" ref="G366">IFERROR(INDEX('Schwab Positions'!$I$8:$I$10000,SMALL(IF('Schwab Positions'!$E$8:$E$10000=$C$2,ROW('Schwab Positions'!$E$8:$E$10000)-7,""),ROWS($G$19:$G366))),"")</f>
        <v/>
      </c>
      <c r="H366" s="100" t="str">
        <f t="shared" si="15"/>
        <v/>
      </c>
      <c r="I366" s="37" t="str" cm="1">
        <f t="array" ref="I366">IFERROR(IF($D366="Bond",IFERROR(INDEX('Schwab Positions'!$J$8:$J$10000,SMALL(IF('Schwab Positions'!$E$8:$E$10000=$C$2,ROW('Schwab Positions'!$E$8:$E$10000)-7,""),ROWS($I$19:$I366))),""),$F366*$G366),"")</f>
        <v/>
      </c>
    </row>
    <row r="367" spans="2:9">
      <c r="B367" t="str" cm="1">
        <f t="array" ref="B367">IFERROR(INDEX('Schwab Positions'!$A$8:$A$10000,SMALL(IF('Schwab Positions'!$E$8:$E$10000=$C$2,ROW('Schwab Positions'!$E$8:$E$10000)-7,""),ROWS($B$19:B367))),"")</f>
        <v/>
      </c>
      <c r="C367" t="str">
        <f>IFERROR(VLOOKUP(B367,'Schwab Positions'!$A$8:$B$10000,2,FALSE),"")</f>
        <v/>
      </c>
      <c r="D367" s="34" t="str">
        <f>IFERROR(VLOOKUP(B367,'Security Type'!$A$2:$C$1000,3,FALSE),"")</f>
        <v/>
      </c>
      <c r="E367" s="34" t="str">
        <f>IF(B367="","",IF(ISNUMBER(MATCH(B367,'2022 Port'!$D$6:$D$67,0)),VLOOKUP(B367,'Security Type'!$A$3:$D$1000,4,FALSE),"NOT IN PORT"))</f>
        <v/>
      </c>
      <c r="F367" t="str" cm="1">
        <f t="array" ref="F367">IFERROR(INDEX('Schwab Positions'!$D$8:$D$10000,SMALL(IF('Schwab Positions'!$E$8:$E$10000=$C$2,ROW('Schwab Positions'!$E$8:$E$10000)-7,""),ROWS($F$19:$F367))),"")</f>
        <v/>
      </c>
      <c r="G367" s="1" t="str" cm="1">
        <f t="array" ref="G367">IFERROR(INDEX('Schwab Positions'!$I$8:$I$10000,SMALL(IF('Schwab Positions'!$E$8:$E$10000=$C$2,ROW('Schwab Positions'!$E$8:$E$10000)-7,""),ROWS($G$19:$G367))),"")</f>
        <v/>
      </c>
      <c r="H367" s="100" t="str">
        <f t="shared" si="15"/>
        <v/>
      </c>
      <c r="I367" s="37" t="str" cm="1">
        <f t="array" ref="I367">IFERROR(IF($D367="Bond",IFERROR(INDEX('Schwab Positions'!$J$8:$J$10000,SMALL(IF('Schwab Positions'!$E$8:$E$10000=$C$2,ROW('Schwab Positions'!$E$8:$E$10000)-7,""),ROWS($I$19:$I367))),""),$F367*$G367),"")</f>
        <v/>
      </c>
    </row>
    <row r="368" spans="2:9">
      <c r="B368" t="str" cm="1">
        <f t="array" ref="B368">IFERROR(INDEX('Schwab Positions'!$A$8:$A$10000,SMALL(IF('Schwab Positions'!$E$8:$E$10000=$C$2,ROW('Schwab Positions'!$E$8:$E$10000)-7,""),ROWS($B$19:B368))),"")</f>
        <v/>
      </c>
      <c r="C368" t="str">
        <f>IFERROR(VLOOKUP(B368,'Schwab Positions'!$A$8:$B$10000,2,FALSE),"")</f>
        <v/>
      </c>
      <c r="D368" s="34" t="str">
        <f>IFERROR(VLOOKUP(B368,'Security Type'!$A$2:$C$1000,3,FALSE),"")</f>
        <v/>
      </c>
      <c r="E368" s="34" t="str">
        <f>IF(B368="","",IF(ISNUMBER(MATCH(B368,'2022 Port'!$D$6:$D$67,0)),VLOOKUP(B368,'Security Type'!$A$3:$D$1000,4,FALSE),"NOT IN PORT"))</f>
        <v/>
      </c>
      <c r="F368" t="str" cm="1">
        <f t="array" ref="F368">IFERROR(INDEX('Schwab Positions'!$D$8:$D$10000,SMALL(IF('Schwab Positions'!$E$8:$E$10000=$C$2,ROW('Schwab Positions'!$E$8:$E$10000)-7,""),ROWS($F$19:$F368))),"")</f>
        <v/>
      </c>
      <c r="G368" s="1" t="str" cm="1">
        <f t="array" ref="G368">IFERROR(INDEX('Schwab Positions'!$I$8:$I$10000,SMALL(IF('Schwab Positions'!$E$8:$E$10000=$C$2,ROW('Schwab Positions'!$E$8:$E$10000)-7,""),ROWS($G$19:$G368))),"")</f>
        <v/>
      </c>
      <c r="H368" s="100" t="str">
        <f t="shared" si="15"/>
        <v/>
      </c>
      <c r="I368" s="37" t="str" cm="1">
        <f t="array" ref="I368">IFERROR(IF($D368="Bond",IFERROR(INDEX('Schwab Positions'!$J$8:$J$10000,SMALL(IF('Schwab Positions'!$E$8:$E$10000=$C$2,ROW('Schwab Positions'!$E$8:$E$10000)-7,""),ROWS($I$19:$I368))),""),$F368*$G368),"")</f>
        <v/>
      </c>
    </row>
    <row r="369" spans="2:9">
      <c r="B369" t="str" cm="1">
        <f t="array" ref="B369">IFERROR(INDEX('Schwab Positions'!$A$8:$A$10000,SMALL(IF('Schwab Positions'!$E$8:$E$10000=$C$2,ROW('Schwab Positions'!$E$8:$E$10000)-7,""),ROWS($B$19:B369))),"")</f>
        <v/>
      </c>
      <c r="C369" t="str">
        <f>IFERROR(VLOOKUP(B369,'Schwab Positions'!$A$8:$B$10000,2,FALSE),"")</f>
        <v/>
      </c>
      <c r="D369" s="34" t="str">
        <f>IFERROR(VLOOKUP(B369,'Security Type'!$A$2:$C$1000,3,FALSE),"")</f>
        <v/>
      </c>
      <c r="E369" s="34" t="str">
        <f>IF(B369="","",IF(ISNUMBER(MATCH(B369,'2022 Port'!$D$6:$D$67,0)),VLOOKUP(B369,'Security Type'!$A$3:$D$1000,4,FALSE),"NOT IN PORT"))</f>
        <v/>
      </c>
      <c r="F369" t="str" cm="1">
        <f t="array" ref="F369">IFERROR(INDEX('Schwab Positions'!$D$8:$D$10000,SMALL(IF('Schwab Positions'!$E$8:$E$10000=$C$2,ROW('Schwab Positions'!$E$8:$E$10000)-7,""),ROWS($F$19:$F369))),"")</f>
        <v/>
      </c>
      <c r="G369" s="1" t="str" cm="1">
        <f t="array" ref="G369">IFERROR(INDEX('Schwab Positions'!$I$8:$I$10000,SMALL(IF('Schwab Positions'!$E$8:$E$10000=$C$2,ROW('Schwab Positions'!$E$8:$E$10000)-7,""),ROWS($G$19:$G369))),"")</f>
        <v/>
      </c>
      <c r="H369" s="100" t="str">
        <f t="shared" si="15"/>
        <v/>
      </c>
      <c r="I369" s="37" t="str" cm="1">
        <f t="array" ref="I369">IFERROR(IF($D369="Bond",IFERROR(INDEX('Schwab Positions'!$J$8:$J$10000,SMALL(IF('Schwab Positions'!$E$8:$E$10000=$C$2,ROW('Schwab Positions'!$E$8:$E$10000)-7,""),ROWS($I$19:$I369))),""),$F369*$G369),"")</f>
        <v/>
      </c>
    </row>
    <row r="370" spans="2:9">
      <c r="B370" t="str" cm="1">
        <f t="array" ref="B370">IFERROR(INDEX('Schwab Positions'!$A$8:$A$10000,SMALL(IF('Schwab Positions'!$E$8:$E$10000=$C$2,ROW('Schwab Positions'!$E$8:$E$10000)-7,""),ROWS($B$19:B370))),"")</f>
        <v/>
      </c>
      <c r="C370" t="str">
        <f>IFERROR(VLOOKUP(B370,'Schwab Positions'!$A$8:$B$10000,2,FALSE),"")</f>
        <v/>
      </c>
      <c r="D370" s="34" t="str">
        <f>IFERROR(VLOOKUP(B370,'Security Type'!$A$2:$C$1000,3,FALSE),"")</f>
        <v/>
      </c>
      <c r="E370" s="34" t="str">
        <f>IF(B370="","",IF(ISNUMBER(MATCH(B370,'2022 Port'!$D$6:$D$67,0)),VLOOKUP(B370,'Security Type'!$A$3:$D$1000,4,FALSE),"NOT IN PORT"))</f>
        <v/>
      </c>
      <c r="F370" t="str" cm="1">
        <f t="array" ref="F370">IFERROR(INDEX('Schwab Positions'!$D$8:$D$10000,SMALL(IF('Schwab Positions'!$E$8:$E$10000=$C$2,ROW('Schwab Positions'!$E$8:$E$10000)-7,""),ROWS($F$19:$F370))),"")</f>
        <v/>
      </c>
      <c r="G370" s="1" t="str" cm="1">
        <f t="array" ref="G370">IFERROR(INDEX('Schwab Positions'!$I$8:$I$10000,SMALL(IF('Schwab Positions'!$E$8:$E$10000=$C$2,ROW('Schwab Positions'!$E$8:$E$10000)-7,""),ROWS($G$19:$G370))),"")</f>
        <v/>
      </c>
      <c r="H370" s="100" t="str">
        <f t="shared" si="15"/>
        <v/>
      </c>
      <c r="I370" s="37" t="str" cm="1">
        <f t="array" ref="I370">IFERROR(IF($D370="Bond",IFERROR(INDEX('Schwab Positions'!$J$8:$J$10000,SMALL(IF('Schwab Positions'!$E$8:$E$10000=$C$2,ROW('Schwab Positions'!$E$8:$E$10000)-7,""),ROWS($I$19:$I370))),""),$F370*$G370),"")</f>
        <v/>
      </c>
    </row>
    <row r="371" spans="2:9">
      <c r="B371" t="str" cm="1">
        <f t="array" ref="B371">IFERROR(INDEX('Schwab Positions'!$A$8:$A$10000,SMALL(IF('Schwab Positions'!$E$8:$E$10000=$C$2,ROW('Schwab Positions'!$E$8:$E$10000)-7,""),ROWS($B$19:B371))),"")</f>
        <v/>
      </c>
      <c r="C371" t="str">
        <f>IFERROR(VLOOKUP(B371,'Schwab Positions'!$A$8:$B$10000,2,FALSE),"")</f>
        <v/>
      </c>
      <c r="D371" s="34" t="str">
        <f>IFERROR(VLOOKUP(B371,'Security Type'!$A$2:$C$1000,3,FALSE),"")</f>
        <v/>
      </c>
      <c r="E371" s="34" t="str">
        <f>IF(B371="","",IF(ISNUMBER(MATCH(B371,'2022 Port'!$D$6:$D$67,0)),VLOOKUP(B371,'Security Type'!$A$3:$D$1000,4,FALSE),"NOT IN PORT"))</f>
        <v/>
      </c>
      <c r="F371" t="str" cm="1">
        <f t="array" ref="F371">IFERROR(INDEX('Schwab Positions'!$D$8:$D$10000,SMALL(IF('Schwab Positions'!$E$8:$E$10000=$C$2,ROW('Schwab Positions'!$E$8:$E$10000)-7,""),ROWS($F$19:$F371))),"")</f>
        <v/>
      </c>
      <c r="G371" s="1" t="str" cm="1">
        <f t="array" ref="G371">IFERROR(INDEX('Schwab Positions'!$I$8:$I$10000,SMALL(IF('Schwab Positions'!$E$8:$E$10000=$C$2,ROW('Schwab Positions'!$E$8:$E$10000)-7,""),ROWS($G$19:$G371))),"")</f>
        <v/>
      </c>
      <c r="H371" s="100" t="str">
        <f t="shared" si="15"/>
        <v/>
      </c>
      <c r="I371" s="37" t="str" cm="1">
        <f t="array" ref="I371">IFERROR(IF($D371="Bond",IFERROR(INDEX('Schwab Positions'!$J$8:$J$10000,SMALL(IF('Schwab Positions'!$E$8:$E$10000=$C$2,ROW('Schwab Positions'!$E$8:$E$10000)-7,""),ROWS($I$19:$I371))),""),$F371*$G371),"")</f>
        <v/>
      </c>
    </row>
    <row r="372" spans="2:9">
      <c r="B372" t="str" cm="1">
        <f t="array" ref="B372">IFERROR(INDEX('Schwab Positions'!$A$8:$A$10000,SMALL(IF('Schwab Positions'!$E$8:$E$10000=$C$2,ROW('Schwab Positions'!$E$8:$E$10000)-7,""),ROWS($B$19:B372))),"")</f>
        <v/>
      </c>
      <c r="C372" t="str">
        <f>IFERROR(VLOOKUP(B372,'Schwab Positions'!$A$8:$B$10000,2,FALSE),"")</f>
        <v/>
      </c>
      <c r="D372" s="34" t="str">
        <f>IFERROR(VLOOKUP(B372,'Security Type'!$A$2:$C$1000,3,FALSE),"")</f>
        <v/>
      </c>
      <c r="E372" s="34" t="str">
        <f>IF(B372="","",IF(ISNUMBER(MATCH(B372,'2022 Port'!$D$6:$D$67,0)),VLOOKUP(B372,'Security Type'!$A$3:$D$1000,4,FALSE),"NOT IN PORT"))</f>
        <v/>
      </c>
      <c r="F372" t="str" cm="1">
        <f t="array" ref="F372">IFERROR(INDEX('Schwab Positions'!$D$8:$D$10000,SMALL(IF('Schwab Positions'!$E$8:$E$10000=$C$2,ROW('Schwab Positions'!$E$8:$E$10000)-7,""),ROWS($F$19:$F372))),"")</f>
        <v/>
      </c>
      <c r="G372" s="1" t="str" cm="1">
        <f t="array" ref="G372">IFERROR(INDEX('Schwab Positions'!$I$8:$I$10000,SMALL(IF('Schwab Positions'!$E$8:$E$10000=$C$2,ROW('Schwab Positions'!$E$8:$E$10000)-7,""),ROWS($G$19:$G372))),"")</f>
        <v/>
      </c>
      <c r="H372" s="100" t="str">
        <f t="shared" si="15"/>
        <v/>
      </c>
      <c r="I372" s="37" t="str" cm="1">
        <f t="array" ref="I372">IFERROR(IF($D372="Bond",IFERROR(INDEX('Schwab Positions'!$J$8:$J$10000,SMALL(IF('Schwab Positions'!$E$8:$E$10000=$C$2,ROW('Schwab Positions'!$E$8:$E$10000)-7,""),ROWS($I$19:$I372))),""),$F372*$G372),"")</f>
        <v/>
      </c>
    </row>
    <row r="373" spans="2:9">
      <c r="B373" t="str" cm="1">
        <f t="array" ref="B373">IFERROR(INDEX('Schwab Positions'!$A$8:$A$10000,SMALL(IF('Schwab Positions'!$E$8:$E$10000=$C$2,ROW('Schwab Positions'!$E$8:$E$10000)-7,""),ROWS($B$19:B373))),"")</f>
        <v/>
      </c>
      <c r="C373" t="str">
        <f>IFERROR(VLOOKUP(B373,'Schwab Positions'!$A$8:$B$10000,2,FALSE),"")</f>
        <v/>
      </c>
      <c r="D373" s="34" t="str">
        <f>IFERROR(VLOOKUP(B373,'Security Type'!$A$2:$C$1000,3,FALSE),"")</f>
        <v/>
      </c>
      <c r="E373" s="34" t="str">
        <f>IF(B373="","",IF(ISNUMBER(MATCH(B373,'2022 Port'!$D$6:$D$67,0)),VLOOKUP(B373,'Security Type'!$A$3:$D$1000,4,FALSE),"NOT IN PORT"))</f>
        <v/>
      </c>
      <c r="F373" t="str" cm="1">
        <f t="array" ref="F373">IFERROR(INDEX('Schwab Positions'!$D$8:$D$10000,SMALL(IF('Schwab Positions'!$E$8:$E$10000=$C$2,ROW('Schwab Positions'!$E$8:$E$10000)-7,""),ROWS($F$19:$F373))),"")</f>
        <v/>
      </c>
      <c r="G373" s="1" t="str" cm="1">
        <f t="array" ref="G373">IFERROR(INDEX('Schwab Positions'!$I$8:$I$10000,SMALL(IF('Schwab Positions'!$E$8:$E$10000=$C$2,ROW('Schwab Positions'!$E$8:$E$10000)-7,""),ROWS($G$19:$G373))),"")</f>
        <v/>
      </c>
      <c r="H373" s="100" t="str">
        <f t="shared" si="15"/>
        <v/>
      </c>
      <c r="I373" s="37" t="str" cm="1">
        <f t="array" ref="I373">IFERROR(IF($D373="Bond",IFERROR(INDEX('Schwab Positions'!$J$8:$J$10000,SMALL(IF('Schwab Positions'!$E$8:$E$10000=$C$2,ROW('Schwab Positions'!$E$8:$E$10000)-7,""),ROWS($I$19:$I373))),""),$F373*$G373),"")</f>
        <v/>
      </c>
    </row>
    <row r="374" spans="2:9">
      <c r="B374" t="str" cm="1">
        <f t="array" ref="B374">IFERROR(INDEX('Schwab Positions'!$A$8:$A$10000,SMALL(IF('Schwab Positions'!$E$8:$E$10000=$C$2,ROW('Schwab Positions'!$E$8:$E$10000)-7,""),ROWS($B$19:B374))),"")</f>
        <v/>
      </c>
      <c r="C374" t="str">
        <f>IFERROR(VLOOKUP(B374,'Schwab Positions'!$A$8:$B$10000,2,FALSE),"")</f>
        <v/>
      </c>
      <c r="D374" s="34" t="str">
        <f>IFERROR(VLOOKUP(B374,'Security Type'!$A$2:$C$1000,3,FALSE),"")</f>
        <v/>
      </c>
      <c r="E374" s="34" t="str">
        <f>IF(B374="","",IF(ISNUMBER(MATCH(B374,'2022 Port'!$D$6:$D$67,0)),VLOOKUP(B374,'Security Type'!$A$3:$D$1000,4,FALSE),"NOT IN PORT"))</f>
        <v/>
      </c>
      <c r="F374" t="str" cm="1">
        <f t="array" ref="F374">IFERROR(INDEX('Schwab Positions'!$D$8:$D$10000,SMALL(IF('Schwab Positions'!$E$8:$E$10000=$C$2,ROW('Schwab Positions'!$E$8:$E$10000)-7,""),ROWS($F$19:$F374))),"")</f>
        <v/>
      </c>
      <c r="G374" s="1" t="str" cm="1">
        <f t="array" ref="G374">IFERROR(INDEX('Schwab Positions'!$I$8:$I$10000,SMALL(IF('Schwab Positions'!$E$8:$E$10000=$C$2,ROW('Schwab Positions'!$E$8:$E$10000)-7,""),ROWS($G$19:$G374))),"")</f>
        <v/>
      </c>
      <c r="H374" s="100" t="str">
        <f t="shared" si="15"/>
        <v/>
      </c>
      <c r="I374" s="37" t="str" cm="1">
        <f t="array" ref="I374">IFERROR(IF($D374="Bond",IFERROR(INDEX('Schwab Positions'!$J$8:$J$10000,SMALL(IF('Schwab Positions'!$E$8:$E$10000=$C$2,ROW('Schwab Positions'!$E$8:$E$10000)-7,""),ROWS($I$19:$I374))),""),$F374*$G374),"")</f>
        <v/>
      </c>
    </row>
    <row r="375" spans="2:9">
      <c r="B375" t="str" cm="1">
        <f t="array" ref="B375">IFERROR(INDEX('Schwab Positions'!$A$8:$A$10000,SMALL(IF('Schwab Positions'!$E$8:$E$10000=$C$2,ROW('Schwab Positions'!$E$8:$E$10000)-7,""),ROWS($B$19:B375))),"")</f>
        <v/>
      </c>
      <c r="C375" t="str">
        <f>IFERROR(VLOOKUP(B375,'Schwab Positions'!$A$8:$B$10000,2,FALSE),"")</f>
        <v/>
      </c>
      <c r="D375" s="34" t="str">
        <f>IFERROR(VLOOKUP(B375,'Security Type'!$A$2:$C$1000,3,FALSE),"")</f>
        <v/>
      </c>
      <c r="E375" s="34" t="str">
        <f>IF(B375="","",IF(ISNUMBER(MATCH(B375,'2022 Port'!$D$6:$D$67,0)),VLOOKUP(B375,'Security Type'!$A$3:$D$1000,4,FALSE),"NOT IN PORT"))</f>
        <v/>
      </c>
      <c r="F375" t="str" cm="1">
        <f t="array" ref="F375">IFERROR(INDEX('Schwab Positions'!$D$8:$D$10000,SMALL(IF('Schwab Positions'!$E$8:$E$10000=$C$2,ROW('Schwab Positions'!$E$8:$E$10000)-7,""),ROWS($F$19:$F375))),"")</f>
        <v/>
      </c>
      <c r="G375" s="1" t="str" cm="1">
        <f t="array" ref="G375">IFERROR(INDEX('Schwab Positions'!$I$8:$I$10000,SMALL(IF('Schwab Positions'!$E$8:$E$10000=$C$2,ROW('Schwab Positions'!$E$8:$E$10000)-7,""),ROWS($G$19:$G375))),"")</f>
        <v/>
      </c>
      <c r="H375" s="100" t="str">
        <f t="shared" si="15"/>
        <v/>
      </c>
      <c r="I375" s="37" t="str" cm="1">
        <f t="array" ref="I375">IFERROR(IF($D375="Bond",IFERROR(INDEX('Schwab Positions'!$J$8:$J$10000,SMALL(IF('Schwab Positions'!$E$8:$E$10000=$C$2,ROW('Schwab Positions'!$E$8:$E$10000)-7,""),ROWS($I$19:$I375))),""),$F375*$G375),"")</f>
        <v/>
      </c>
    </row>
    <row r="376" spans="2:9">
      <c r="B376" t="str" cm="1">
        <f t="array" ref="B376">IFERROR(INDEX('Schwab Positions'!$A$8:$A$10000,SMALL(IF('Schwab Positions'!$E$8:$E$10000=$C$2,ROW('Schwab Positions'!$E$8:$E$10000)-7,""),ROWS($B$19:B376))),"")</f>
        <v/>
      </c>
      <c r="C376" t="str">
        <f>IFERROR(VLOOKUP(B376,'Schwab Positions'!$A$8:$B$10000,2,FALSE),"")</f>
        <v/>
      </c>
      <c r="D376" s="34" t="str">
        <f>IFERROR(VLOOKUP(B376,'Security Type'!$A$2:$C$1000,3,FALSE),"")</f>
        <v/>
      </c>
      <c r="E376" s="34" t="str">
        <f>IF(B376="","",IF(ISNUMBER(MATCH(B376,'2022 Port'!$D$6:$D$67,0)),VLOOKUP(B376,'Security Type'!$A$3:$D$1000,4,FALSE),"NOT IN PORT"))</f>
        <v/>
      </c>
      <c r="F376" t="str" cm="1">
        <f t="array" ref="F376">IFERROR(INDEX('Schwab Positions'!$D$8:$D$10000,SMALL(IF('Schwab Positions'!$E$8:$E$10000=$C$2,ROW('Schwab Positions'!$E$8:$E$10000)-7,""),ROWS($F$19:$F376))),"")</f>
        <v/>
      </c>
      <c r="G376" s="1" t="str" cm="1">
        <f t="array" ref="G376">IFERROR(INDEX('Schwab Positions'!$I$8:$I$10000,SMALL(IF('Schwab Positions'!$E$8:$E$10000=$C$2,ROW('Schwab Positions'!$E$8:$E$10000)-7,""),ROWS($G$19:$G376))),"")</f>
        <v/>
      </c>
      <c r="H376" s="100" t="str">
        <f t="shared" si="15"/>
        <v/>
      </c>
      <c r="I376" s="37" t="str" cm="1">
        <f t="array" ref="I376">IFERROR(IF($D376="Bond",IFERROR(INDEX('Schwab Positions'!$J$8:$J$10000,SMALL(IF('Schwab Positions'!$E$8:$E$10000=$C$2,ROW('Schwab Positions'!$E$8:$E$10000)-7,""),ROWS($I$19:$I376))),""),$F376*$G376),"")</f>
        <v/>
      </c>
    </row>
    <row r="377" spans="2:9">
      <c r="B377" t="str" cm="1">
        <f t="array" ref="B377">IFERROR(INDEX('Schwab Positions'!$A$8:$A$10000,SMALL(IF('Schwab Positions'!$E$8:$E$10000=$C$2,ROW('Schwab Positions'!$E$8:$E$10000)-7,""),ROWS($B$19:B377))),"")</f>
        <v/>
      </c>
      <c r="C377" t="str">
        <f>IFERROR(VLOOKUP(B377,'Schwab Positions'!$A$8:$B$10000,2,FALSE),"")</f>
        <v/>
      </c>
      <c r="D377" s="34" t="str">
        <f>IFERROR(VLOOKUP(B377,'Security Type'!$A$2:$C$1000,3,FALSE),"")</f>
        <v/>
      </c>
      <c r="E377" s="34" t="str">
        <f>IF(B377="","",IF(ISNUMBER(MATCH(B377,'2022 Port'!$D$6:$D$67,0)),VLOOKUP(B377,'Security Type'!$A$3:$D$1000,4,FALSE),"NOT IN PORT"))</f>
        <v/>
      </c>
      <c r="F377" t="str" cm="1">
        <f t="array" ref="F377">IFERROR(INDEX('Schwab Positions'!$D$8:$D$10000,SMALL(IF('Schwab Positions'!$E$8:$E$10000=$C$2,ROW('Schwab Positions'!$E$8:$E$10000)-7,""),ROWS($F$19:$F377))),"")</f>
        <v/>
      </c>
      <c r="G377" s="1" t="str" cm="1">
        <f t="array" ref="G377">IFERROR(INDEX('Schwab Positions'!$I$8:$I$10000,SMALL(IF('Schwab Positions'!$E$8:$E$10000=$C$2,ROW('Schwab Positions'!$E$8:$E$10000)-7,""),ROWS($G$19:$G377))),"")</f>
        <v/>
      </c>
      <c r="H377" s="100" t="str">
        <f t="shared" si="15"/>
        <v/>
      </c>
      <c r="I377" s="37" t="str" cm="1">
        <f t="array" ref="I377">IFERROR(IF($D377="Bond",IFERROR(INDEX('Schwab Positions'!$J$8:$J$10000,SMALL(IF('Schwab Positions'!$E$8:$E$10000=$C$2,ROW('Schwab Positions'!$E$8:$E$10000)-7,""),ROWS($I$19:$I377))),""),$F377*$G377),"")</f>
        <v/>
      </c>
    </row>
    <row r="378" spans="2:9">
      <c r="B378" t="str" cm="1">
        <f t="array" ref="B378">IFERROR(INDEX('Schwab Positions'!$A$8:$A$10000,SMALL(IF('Schwab Positions'!$E$8:$E$10000=$C$2,ROW('Schwab Positions'!$E$8:$E$10000)-7,""),ROWS($B$19:B378))),"")</f>
        <v/>
      </c>
      <c r="C378" t="str">
        <f>IFERROR(VLOOKUP(B378,'Schwab Positions'!$A$8:$B$10000,2,FALSE),"")</f>
        <v/>
      </c>
      <c r="D378" s="34" t="str">
        <f>IFERROR(VLOOKUP(B378,'Security Type'!$A$2:$C$1000,3,FALSE),"")</f>
        <v/>
      </c>
      <c r="E378" s="34" t="str">
        <f>IF(B378="","",IF(ISNUMBER(MATCH(B378,'2022 Port'!$D$6:$D$67,0)),VLOOKUP(B378,'Security Type'!$A$3:$D$1000,4,FALSE),"NOT IN PORT"))</f>
        <v/>
      </c>
      <c r="F378" t="str" cm="1">
        <f t="array" ref="F378">IFERROR(INDEX('Schwab Positions'!$D$8:$D$10000,SMALL(IF('Schwab Positions'!$E$8:$E$10000=$C$2,ROW('Schwab Positions'!$E$8:$E$10000)-7,""),ROWS($F$19:$F378))),"")</f>
        <v/>
      </c>
      <c r="G378" s="1" t="str" cm="1">
        <f t="array" ref="G378">IFERROR(INDEX('Schwab Positions'!$I$8:$I$10000,SMALL(IF('Schwab Positions'!$E$8:$E$10000=$C$2,ROW('Schwab Positions'!$E$8:$E$10000)-7,""),ROWS($G$19:$G378))),"")</f>
        <v/>
      </c>
      <c r="H378" s="100" t="str">
        <f t="shared" si="15"/>
        <v/>
      </c>
      <c r="I378" s="37" t="str" cm="1">
        <f t="array" ref="I378">IFERROR(IF($D378="Bond",IFERROR(INDEX('Schwab Positions'!$J$8:$J$10000,SMALL(IF('Schwab Positions'!$E$8:$E$10000=$C$2,ROW('Schwab Positions'!$E$8:$E$10000)-7,""),ROWS($I$19:$I378))),""),$F378*$G378),"")</f>
        <v/>
      </c>
    </row>
    <row r="379" spans="2:9">
      <c r="B379" t="str" cm="1">
        <f t="array" ref="B379">IFERROR(INDEX('Schwab Positions'!$A$8:$A$10000,SMALL(IF('Schwab Positions'!$E$8:$E$10000=$C$2,ROW('Schwab Positions'!$E$8:$E$10000)-7,""),ROWS($B$19:B379))),"")</f>
        <v/>
      </c>
      <c r="C379" t="str">
        <f>IFERROR(VLOOKUP(B379,'Schwab Positions'!$A$8:$B$10000,2,FALSE),"")</f>
        <v/>
      </c>
      <c r="D379" s="34" t="str">
        <f>IFERROR(VLOOKUP(B379,'Security Type'!$A$2:$C$1000,3,FALSE),"")</f>
        <v/>
      </c>
      <c r="E379" s="34" t="str">
        <f>IF(B379="","",IF(ISNUMBER(MATCH(B379,'2022 Port'!$D$6:$D$67,0)),VLOOKUP(B379,'Security Type'!$A$3:$D$1000,4,FALSE),"NOT IN PORT"))</f>
        <v/>
      </c>
      <c r="F379" t="str" cm="1">
        <f t="array" ref="F379">IFERROR(INDEX('Schwab Positions'!$D$8:$D$10000,SMALL(IF('Schwab Positions'!$E$8:$E$10000=$C$2,ROW('Schwab Positions'!$E$8:$E$10000)-7,""),ROWS($F$19:$F379))),"")</f>
        <v/>
      </c>
      <c r="G379" s="1" t="str" cm="1">
        <f t="array" ref="G379">IFERROR(INDEX('Schwab Positions'!$I$8:$I$10000,SMALL(IF('Schwab Positions'!$E$8:$E$10000=$C$2,ROW('Schwab Positions'!$E$8:$E$10000)-7,""),ROWS($G$19:$G379))),"")</f>
        <v/>
      </c>
      <c r="H379" s="100" t="str">
        <f t="shared" si="15"/>
        <v/>
      </c>
      <c r="I379" s="37" t="str" cm="1">
        <f t="array" ref="I379">IFERROR(IF($D379="Bond",IFERROR(INDEX('Schwab Positions'!$J$8:$J$10000,SMALL(IF('Schwab Positions'!$E$8:$E$10000=$C$2,ROW('Schwab Positions'!$E$8:$E$10000)-7,""),ROWS($I$19:$I379))),""),$F379*$G379),"")</f>
        <v/>
      </c>
    </row>
    <row r="380" spans="2:9">
      <c r="B380" t="str" cm="1">
        <f t="array" ref="B380">IFERROR(INDEX('Schwab Positions'!$A$8:$A$10000,SMALL(IF('Schwab Positions'!$E$8:$E$10000=$C$2,ROW('Schwab Positions'!$E$8:$E$10000)-7,""),ROWS($B$19:B380))),"")</f>
        <v/>
      </c>
      <c r="C380" t="str">
        <f>IFERROR(VLOOKUP(B380,'Schwab Positions'!$A$8:$B$10000,2,FALSE),"")</f>
        <v/>
      </c>
      <c r="D380" s="34" t="str">
        <f>IFERROR(VLOOKUP(B380,'Security Type'!$A$2:$C$1000,3,FALSE),"")</f>
        <v/>
      </c>
      <c r="E380" s="34" t="str">
        <f>IF(B380="","",IF(ISNUMBER(MATCH(B380,'2022 Port'!$D$6:$D$67,0)),VLOOKUP(B380,'Security Type'!$A$3:$D$1000,4,FALSE),"NOT IN PORT"))</f>
        <v/>
      </c>
      <c r="F380" t="str" cm="1">
        <f t="array" ref="F380">IFERROR(INDEX('Schwab Positions'!$D$8:$D$10000,SMALL(IF('Schwab Positions'!$E$8:$E$10000=$C$2,ROW('Schwab Positions'!$E$8:$E$10000)-7,""),ROWS($F$19:$F380))),"")</f>
        <v/>
      </c>
      <c r="G380" s="1" t="str" cm="1">
        <f t="array" ref="G380">IFERROR(INDEX('Schwab Positions'!$I$8:$I$10000,SMALL(IF('Schwab Positions'!$E$8:$E$10000=$C$2,ROW('Schwab Positions'!$E$8:$E$10000)-7,""),ROWS($G$19:$G380))),"")</f>
        <v/>
      </c>
      <c r="H380" s="100" t="str">
        <f t="shared" si="15"/>
        <v/>
      </c>
      <c r="I380" s="37" t="str" cm="1">
        <f t="array" ref="I380">IFERROR(IF($D380="Bond",IFERROR(INDEX('Schwab Positions'!$J$8:$J$10000,SMALL(IF('Schwab Positions'!$E$8:$E$10000=$C$2,ROW('Schwab Positions'!$E$8:$E$10000)-7,""),ROWS($I$19:$I380))),""),$F380*$G380),"")</f>
        <v/>
      </c>
    </row>
    <row r="381" spans="2:9">
      <c r="B381" t="str" cm="1">
        <f t="array" ref="B381">IFERROR(INDEX('Schwab Positions'!$A$8:$A$10000,SMALL(IF('Schwab Positions'!$E$8:$E$10000=$C$2,ROW('Schwab Positions'!$E$8:$E$10000)-7,""),ROWS($B$19:B381))),"")</f>
        <v/>
      </c>
      <c r="C381" t="str">
        <f>IFERROR(VLOOKUP(B381,'Schwab Positions'!$A$8:$B$10000,2,FALSE),"")</f>
        <v/>
      </c>
      <c r="D381" s="34" t="str">
        <f>IFERROR(VLOOKUP(B381,'Security Type'!$A$2:$C$1000,3,FALSE),"")</f>
        <v/>
      </c>
      <c r="E381" s="34" t="str">
        <f>IF(B381="","",IF(ISNUMBER(MATCH(B381,'2022 Port'!$D$6:$D$67,0)),VLOOKUP(B381,'Security Type'!$A$3:$D$1000,4,FALSE),"NOT IN PORT"))</f>
        <v/>
      </c>
      <c r="F381" t="str" cm="1">
        <f t="array" ref="F381">IFERROR(INDEX('Schwab Positions'!$D$8:$D$10000,SMALL(IF('Schwab Positions'!$E$8:$E$10000=$C$2,ROW('Schwab Positions'!$E$8:$E$10000)-7,""),ROWS($F$19:$F381))),"")</f>
        <v/>
      </c>
      <c r="G381" s="1" t="str" cm="1">
        <f t="array" ref="G381">IFERROR(INDEX('Schwab Positions'!$I$8:$I$10000,SMALL(IF('Schwab Positions'!$E$8:$E$10000=$C$2,ROW('Schwab Positions'!$E$8:$E$10000)-7,""),ROWS($G$19:$G381))),"")</f>
        <v/>
      </c>
      <c r="H381" s="100" t="str">
        <f t="shared" si="15"/>
        <v/>
      </c>
      <c r="I381" s="37" t="str" cm="1">
        <f t="array" ref="I381">IFERROR(IF($D381="Bond",IFERROR(INDEX('Schwab Positions'!$J$8:$J$10000,SMALL(IF('Schwab Positions'!$E$8:$E$10000=$C$2,ROW('Schwab Positions'!$E$8:$E$10000)-7,""),ROWS($I$19:$I381))),""),$F381*$G381),"")</f>
        <v/>
      </c>
    </row>
    <row r="382" spans="2:9">
      <c r="B382" t="str" cm="1">
        <f t="array" ref="B382">IFERROR(INDEX('Schwab Positions'!$A$8:$A$10000,SMALL(IF('Schwab Positions'!$E$8:$E$10000=$C$2,ROW('Schwab Positions'!$E$8:$E$10000)-7,""),ROWS($B$19:B382))),"")</f>
        <v/>
      </c>
      <c r="C382" t="str">
        <f>IFERROR(VLOOKUP(B382,'Schwab Positions'!$A$8:$B$10000,2,FALSE),"")</f>
        <v/>
      </c>
      <c r="D382" s="34" t="str">
        <f>IFERROR(VLOOKUP(B382,'Security Type'!$A$2:$C$1000,3,FALSE),"")</f>
        <v/>
      </c>
      <c r="E382" s="34" t="str">
        <f>IF(B382="","",IF(ISNUMBER(MATCH(B382,'2022 Port'!$D$6:$D$67,0)),VLOOKUP(B382,'Security Type'!$A$3:$D$1000,4,FALSE),"NOT IN PORT"))</f>
        <v/>
      </c>
      <c r="F382" t="str" cm="1">
        <f t="array" ref="F382">IFERROR(INDEX('Schwab Positions'!$D$8:$D$10000,SMALL(IF('Schwab Positions'!$E$8:$E$10000=$C$2,ROW('Schwab Positions'!$E$8:$E$10000)-7,""),ROWS($F$19:$F382))),"")</f>
        <v/>
      </c>
      <c r="G382" s="1" t="str" cm="1">
        <f t="array" ref="G382">IFERROR(INDEX('Schwab Positions'!$I$8:$I$10000,SMALL(IF('Schwab Positions'!$E$8:$E$10000=$C$2,ROW('Schwab Positions'!$E$8:$E$10000)-7,""),ROWS($G$19:$G382))),"")</f>
        <v/>
      </c>
      <c r="H382" s="100" t="str">
        <f t="shared" si="15"/>
        <v/>
      </c>
      <c r="I382" s="37" t="str" cm="1">
        <f t="array" ref="I382">IFERROR(IF($D382="Bond",IFERROR(INDEX('Schwab Positions'!$J$8:$J$10000,SMALL(IF('Schwab Positions'!$E$8:$E$10000=$C$2,ROW('Schwab Positions'!$E$8:$E$10000)-7,""),ROWS($I$19:$I382))),""),$F382*$G382),"")</f>
        <v/>
      </c>
    </row>
    <row r="383" spans="2:9">
      <c r="B383" t="str" cm="1">
        <f t="array" ref="B383">IFERROR(INDEX('Schwab Positions'!$A$8:$A$10000,SMALL(IF('Schwab Positions'!$E$8:$E$10000=$C$2,ROW('Schwab Positions'!$E$8:$E$10000)-7,""),ROWS($B$19:B383))),"")</f>
        <v/>
      </c>
      <c r="C383" t="str">
        <f>IFERROR(VLOOKUP(B383,'Schwab Positions'!$A$8:$B$10000,2,FALSE),"")</f>
        <v/>
      </c>
      <c r="D383" s="34" t="str">
        <f>IFERROR(VLOOKUP(B383,'Security Type'!$A$2:$C$1000,3,FALSE),"")</f>
        <v/>
      </c>
      <c r="E383" s="34" t="str">
        <f>IF(B383="","",IF(ISNUMBER(MATCH(B383,'2022 Port'!$D$6:$D$67,0)),VLOOKUP(B383,'Security Type'!$A$3:$D$1000,4,FALSE),"NOT IN PORT"))</f>
        <v/>
      </c>
      <c r="F383" t="str" cm="1">
        <f t="array" ref="F383">IFERROR(INDEX('Schwab Positions'!$D$8:$D$10000,SMALL(IF('Schwab Positions'!$E$8:$E$10000=$C$2,ROW('Schwab Positions'!$E$8:$E$10000)-7,""),ROWS($F$19:$F383))),"")</f>
        <v/>
      </c>
      <c r="G383" s="1" t="str" cm="1">
        <f t="array" ref="G383">IFERROR(INDEX('Schwab Positions'!$I$8:$I$10000,SMALL(IF('Schwab Positions'!$E$8:$E$10000=$C$2,ROW('Schwab Positions'!$E$8:$E$10000)-7,""),ROWS($G$19:$G383))),"")</f>
        <v/>
      </c>
      <c r="H383" s="100" t="str">
        <f t="shared" si="15"/>
        <v/>
      </c>
      <c r="I383" s="37" t="str" cm="1">
        <f t="array" ref="I383">IFERROR(IF($D383="Bond",IFERROR(INDEX('Schwab Positions'!$J$8:$J$10000,SMALL(IF('Schwab Positions'!$E$8:$E$10000=$C$2,ROW('Schwab Positions'!$E$8:$E$10000)-7,""),ROWS($I$19:$I383))),""),$F383*$G383),"")</f>
        <v/>
      </c>
    </row>
    <row r="384" spans="2:9">
      <c r="B384" t="str" cm="1">
        <f t="array" ref="B384">IFERROR(INDEX('Schwab Positions'!$A$8:$A$10000,SMALL(IF('Schwab Positions'!$E$8:$E$10000=$C$2,ROW('Schwab Positions'!$E$8:$E$10000)-7,""),ROWS($B$19:B384))),"")</f>
        <v/>
      </c>
      <c r="C384" t="str">
        <f>IFERROR(VLOOKUP(B384,'Schwab Positions'!$A$8:$B$10000,2,FALSE),"")</f>
        <v/>
      </c>
      <c r="D384" s="34" t="str">
        <f>IFERROR(VLOOKUP(B384,'Security Type'!$A$2:$C$1000,3,FALSE),"")</f>
        <v/>
      </c>
      <c r="E384" s="34" t="str">
        <f>IF(B384="","",IF(ISNUMBER(MATCH(B384,'2022 Port'!$D$6:$D$67,0)),VLOOKUP(B384,'Security Type'!$A$3:$D$1000,4,FALSE),"NOT IN PORT"))</f>
        <v/>
      </c>
      <c r="F384" t="str" cm="1">
        <f t="array" ref="F384">IFERROR(INDEX('Schwab Positions'!$D$8:$D$10000,SMALL(IF('Schwab Positions'!$E$8:$E$10000=$C$2,ROW('Schwab Positions'!$E$8:$E$10000)-7,""),ROWS($F$19:$F384))),"")</f>
        <v/>
      </c>
      <c r="G384" s="1" t="str" cm="1">
        <f t="array" ref="G384">IFERROR(INDEX('Schwab Positions'!$I$8:$I$10000,SMALL(IF('Schwab Positions'!$E$8:$E$10000=$C$2,ROW('Schwab Positions'!$E$8:$E$10000)-7,""),ROWS($G$19:$G384))),"")</f>
        <v/>
      </c>
      <c r="H384" s="100" t="str">
        <f t="shared" si="15"/>
        <v/>
      </c>
      <c r="I384" s="37" t="str" cm="1">
        <f t="array" ref="I384">IFERROR(IF($D384="Bond",IFERROR(INDEX('Schwab Positions'!$J$8:$J$10000,SMALL(IF('Schwab Positions'!$E$8:$E$10000=$C$2,ROW('Schwab Positions'!$E$8:$E$10000)-7,""),ROWS($I$19:$I384))),""),$F384*$G384),"")</f>
        <v/>
      </c>
    </row>
    <row r="385" spans="2:9">
      <c r="B385" t="str" cm="1">
        <f t="array" ref="B385">IFERROR(INDEX('Schwab Positions'!$A$8:$A$10000,SMALL(IF('Schwab Positions'!$E$8:$E$10000=$C$2,ROW('Schwab Positions'!$E$8:$E$10000)-7,""),ROWS($B$19:B385))),"")</f>
        <v/>
      </c>
      <c r="C385" t="str">
        <f>IFERROR(VLOOKUP(B385,'Schwab Positions'!$A$8:$B$10000,2,FALSE),"")</f>
        <v/>
      </c>
      <c r="D385" s="34" t="str">
        <f>IFERROR(VLOOKUP(B385,'Security Type'!$A$2:$C$1000,3,FALSE),"")</f>
        <v/>
      </c>
      <c r="E385" s="34" t="str">
        <f>IF(B385="","",IF(ISNUMBER(MATCH(B385,'2022 Port'!$D$6:$D$67,0)),VLOOKUP(B385,'Security Type'!$A$3:$D$1000,4,FALSE),"NOT IN PORT"))</f>
        <v/>
      </c>
      <c r="F385" t="str" cm="1">
        <f t="array" ref="F385">IFERROR(INDEX('Schwab Positions'!$D$8:$D$10000,SMALL(IF('Schwab Positions'!$E$8:$E$10000=$C$2,ROW('Schwab Positions'!$E$8:$E$10000)-7,""),ROWS($F$19:$F385))),"")</f>
        <v/>
      </c>
      <c r="G385" s="1" t="str" cm="1">
        <f t="array" ref="G385">IFERROR(INDEX('Schwab Positions'!$I$8:$I$10000,SMALL(IF('Schwab Positions'!$E$8:$E$10000=$C$2,ROW('Schwab Positions'!$E$8:$E$10000)-7,""),ROWS($G$19:$G385))),"")</f>
        <v/>
      </c>
      <c r="H385" s="100" t="str">
        <f t="shared" si="15"/>
        <v/>
      </c>
      <c r="I385" s="37" t="str" cm="1">
        <f t="array" ref="I385">IFERROR(IF($D385="Bond",IFERROR(INDEX('Schwab Positions'!$J$8:$J$10000,SMALL(IF('Schwab Positions'!$E$8:$E$10000=$C$2,ROW('Schwab Positions'!$E$8:$E$10000)-7,""),ROWS($I$19:$I385))),""),$F385*$G385),"")</f>
        <v/>
      </c>
    </row>
    <row r="386" spans="2:9">
      <c r="B386" t="str" cm="1">
        <f t="array" ref="B386">IFERROR(INDEX('Schwab Positions'!$A$8:$A$10000,SMALL(IF('Schwab Positions'!$E$8:$E$10000=$C$2,ROW('Schwab Positions'!$E$8:$E$10000)-7,""),ROWS($B$19:B386))),"")</f>
        <v/>
      </c>
      <c r="C386" t="str">
        <f>IFERROR(VLOOKUP(B386,'Schwab Positions'!$A$8:$B$10000,2,FALSE),"")</f>
        <v/>
      </c>
      <c r="D386" s="34" t="str">
        <f>IFERROR(VLOOKUP(B386,'Security Type'!$A$2:$C$1000,3,FALSE),"")</f>
        <v/>
      </c>
      <c r="E386" s="34" t="str">
        <f>IF(B386="","",IF(ISNUMBER(MATCH(B386,'2022 Port'!$D$6:$D$67,0)),VLOOKUP(B386,'Security Type'!$A$3:$D$1000,4,FALSE),"NOT IN PORT"))</f>
        <v/>
      </c>
      <c r="F386" t="str" cm="1">
        <f t="array" ref="F386">IFERROR(INDEX('Schwab Positions'!$D$8:$D$10000,SMALL(IF('Schwab Positions'!$E$8:$E$10000=$C$2,ROW('Schwab Positions'!$E$8:$E$10000)-7,""),ROWS($F$19:$F386))),"")</f>
        <v/>
      </c>
      <c r="G386" s="1" t="str" cm="1">
        <f t="array" ref="G386">IFERROR(INDEX('Schwab Positions'!$I$8:$I$10000,SMALL(IF('Schwab Positions'!$E$8:$E$10000=$C$2,ROW('Schwab Positions'!$E$8:$E$10000)-7,""),ROWS($G$19:$G386))),"")</f>
        <v/>
      </c>
      <c r="H386" s="100" t="str">
        <f t="shared" si="15"/>
        <v/>
      </c>
      <c r="I386" s="37" t="str" cm="1">
        <f t="array" ref="I386">IFERROR(IF($D386="Bond",IFERROR(INDEX('Schwab Positions'!$J$8:$J$10000,SMALL(IF('Schwab Positions'!$E$8:$E$10000=$C$2,ROW('Schwab Positions'!$E$8:$E$10000)-7,""),ROWS($I$19:$I386))),""),$F386*$G386),"")</f>
        <v/>
      </c>
    </row>
    <row r="387" spans="2:9">
      <c r="B387" t="str" cm="1">
        <f t="array" ref="B387">IFERROR(INDEX('Schwab Positions'!$A$8:$A$10000,SMALL(IF('Schwab Positions'!$E$8:$E$10000=$C$2,ROW('Schwab Positions'!$E$8:$E$10000)-7,""),ROWS($B$19:B387))),"")</f>
        <v/>
      </c>
      <c r="C387" t="str">
        <f>IFERROR(VLOOKUP(B387,'Schwab Positions'!$A$8:$B$10000,2,FALSE),"")</f>
        <v/>
      </c>
      <c r="D387" s="34" t="str">
        <f>IFERROR(VLOOKUP(B387,'Security Type'!$A$2:$C$1000,3,FALSE),"")</f>
        <v/>
      </c>
      <c r="E387" s="34" t="str">
        <f>IF(B387="","",IF(ISNUMBER(MATCH(B387,'2022 Port'!$D$6:$D$67,0)),VLOOKUP(B387,'Security Type'!$A$3:$D$1000,4,FALSE),"NOT IN PORT"))</f>
        <v/>
      </c>
      <c r="F387" t="str" cm="1">
        <f t="array" ref="F387">IFERROR(INDEX('Schwab Positions'!$D$8:$D$10000,SMALL(IF('Schwab Positions'!$E$8:$E$10000=$C$2,ROW('Schwab Positions'!$E$8:$E$10000)-7,""),ROWS($F$19:$F387))),"")</f>
        <v/>
      </c>
      <c r="G387" s="1" t="str" cm="1">
        <f t="array" ref="G387">IFERROR(INDEX('Schwab Positions'!$I$8:$I$10000,SMALL(IF('Schwab Positions'!$E$8:$E$10000=$C$2,ROW('Schwab Positions'!$E$8:$E$10000)-7,""),ROWS($G$19:$G387))),"")</f>
        <v/>
      </c>
      <c r="H387" s="100" t="str">
        <f t="shared" si="15"/>
        <v/>
      </c>
      <c r="I387" s="37" t="str" cm="1">
        <f t="array" ref="I387">IFERROR(IF($D387="Bond",IFERROR(INDEX('Schwab Positions'!$J$8:$J$10000,SMALL(IF('Schwab Positions'!$E$8:$E$10000=$C$2,ROW('Schwab Positions'!$E$8:$E$10000)-7,""),ROWS($I$19:$I387))),""),$F387*$G387),"")</f>
        <v/>
      </c>
    </row>
    <row r="388" spans="2:9">
      <c r="B388" t="str" cm="1">
        <f t="array" ref="B388">IFERROR(INDEX('Schwab Positions'!$A$8:$A$10000,SMALL(IF('Schwab Positions'!$E$8:$E$10000=$C$2,ROW('Schwab Positions'!$E$8:$E$10000)-7,""),ROWS($B$19:B388))),"")</f>
        <v/>
      </c>
      <c r="C388" t="str">
        <f>IFERROR(VLOOKUP(B388,'Schwab Positions'!$A$8:$B$10000,2,FALSE),"")</f>
        <v/>
      </c>
      <c r="D388" s="34" t="str">
        <f>IFERROR(VLOOKUP(B388,'Security Type'!$A$2:$C$1000,3,FALSE),"")</f>
        <v/>
      </c>
      <c r="E388" s="34" t="str">
        <f>IF(B388="","",IF(ISNUMBER(MATCH(B388,'2022 Port'!$D$6:$D$67,0)),VLOOKUP(B388,'Security Type'!$A$3:$D$1000,4,FALSE),"NOT IN PORT"))</f>
        <v/>
      </c>
      <c r="F388" t="str" cm="1">
        <f t="array" ref="F388">IFERROR(INDEX('Schwab Positions'!$D$8:$D$10000,SMALL(IF('Schwab Positions'!$E$8:$E$10000=$C$2,ROW('Schwab Positions'!$E$8:$E$10000)-7,""),ROWS($F$19:$F388))),"")</f>
        <v/>
      </c>
      <c r="G388" s="1" t="str" cm="1">
        <f t="array" ref="G388">IFERROR(INDEX('Schwab Positions'!$I$8:$I$10000,SMALL(IF('Schwab Positions'!$E$8:$E$10000=$C$2,ROW('Schwab Positions'!$E$8:$E$10000)-7,""),ROWS($G$19:$G388))),"")</f>
        <v/>
      </c>
      <c r="H388" s="100" t="str">
        <f t="shared" si="15"/>
        <v/>
      </c>
      <c r="I388" s="37" t="str" cm="1">
        <f t="array" ref="I388">IFERROR(IF($D388="Bond",IFERROR(INDEX('Schwab Positions'!$J$8:$J$10000,SMALL(IF('Schwab Positions'!$E$8:$E$10000=$C$2,ROW('Schwab Positions'!$E$8:$E$10000)-7,""),ROWS($I$19:$I388))),""),$F388*$G388),"")</f>
        <v/>
      </c>
    </row>
    <row r="389" spans="2:9">
      <c r="B389" t="str" cm="1">
        <f t="array" ref="B389">IFERROR(INDEX('Schwab Positions'!$A$8:$A$10000,SMALL(IF('Schwab Positions'!$E$8:$E$10000=$C$2,ROW('Schwab Positions'!$E$8:$E$10000)-7,""),ROWS($B$19:B389))),"")</f>
        <v/>
      </c>
      <c r="C389" t="str">
        <f>IFERROR(VLOOKUP(B389,'Schwab Positions'!$A$8:$B$10000,2,FALSE),"")</f>
        <v/>
      </c>
      <c r="D389" s="34" t="str">
        <f>IFERROR(VLOOKUP(B389,'Security Type'!$A$2:$C$1000,3,FALSE),"")</f>
        <v/>
      </c>
      <c r="E389" s="34" t="str">
        <f>IF(B389="","",IF(ISNUMBER(MATCH(B389,'2022 Port'!$D$6:$D$67,0)),VLOOKUP(B389,'Security Type'!$A$3:$D$1000,4,FALSE),"NOT IN PORT"))</f>
        <v/>
      </c>
      <c r="F389" t="str" cm="1">
        <f t="array" ref="F389">IFERROR(INDEX('Schwab Positions'!$D$8:$D$10000,SMALL(IF('Schwab Positions'!$E$8:$E$10000=$C$2,ROW('Schwab Positions'!$E$8:$E$10000)-7,""),ROWS($F$19:$F389))),"")</f>
        <v/>
      </c>
      <c r="G389" s="1" t="str" cm="1">
        <f t="array" ref="G389">IFERROR(INDEX('Schwab Positions'!$I$8:$I$10000,SMALL(IF('Schwab Positions'!$E$8:$E$10000=$C$2,ROW('Schwab Positions'!$E$8:$E$10000)-7,""),ROWS($G$19:$G389))),"")</f>
        <v/>
      </c>
      <c r="H389" s="100" t="str">
        <f t="shared" si="15"/>
        <v/>
      </c>
      <c r="I389" s="37" t="str" cm="1">
        <f t="array" ref="I389">IFERROR(IF($D389="Bond",IFERROR(INDEX('Schwab Positions'!$J$8:$J$10000,SMALL(IF('Schwab Positions'!$E$8:$E$10000=$C$2,ROW('Schwab Positions'!$E$8:$E$10000)-7,""),ROWS($I$19:$I389))),""),$F389*$G389),"")</f>
        <v/>
      </c>
    </row>
    <row r="390" spans="2:9">
      <c r="B390" t="str" cm="1">
        <f t="array" ref="B390">IFERROR(INDEX('Schwab Positions'!$A$8:$A$10000,SMALL(IF('Schwab Positions'!$E$8:$E$10000=$C$2,ROW('Schwab Positions'!$E$8:$E$10000)-7,""),ROWS($B$19:B390))),"")</f>
        <v/>
      </c>
      <c r="C390" t="str">
        <f>IFERROR(VLOOKUP(B390,'Schwab Positions'!$A$8:$B$10000,2,FALSE),"")</f>
        <v/>
      </c>
      <c r="D390" s="34" t="str">
        <f>IFERROR(VLOOKUP(B390,'Security Type'!$A$2:$C$1000,3,FALSE),"")</f>
        <v/>
      </c>
      <c r="E390" s="34" t="str">
        <f>IF(B390="","",IF(ISNUMBER(MATCH(B390,'2022 Port'!$D$6:$D$67,0)),VLOOKUP(B390,'Security Type'!$A$3:$D$1000,4,FALSE),"NOT IN PORT"))</f>
        <v/>
      </c>
      <c r="F390" t="str" cm="1">
        <f t="array" ref="F390">IFERROR(INDEX('Schwab Positions'!$D$8:$D$10000,SMALL(IF('Schwab Positions'!$E$8:$E$10000=$C$2,ROW('Schwab Positions'!$E$8:$E$10000)-7,""),ROWS($F$19:$F390))),"")</f>
        <v/>
      </c>
      <c r="G390" s="1" t="str" cm="1">
        <f t="array" ref="G390">IFERROR(INDEX('Schwab Positions'!$I$8:$I$10000,SMALL(IF('Schwab Positions'!$E$8:$E$10000=$C$2,ROW('Schwab Positions'!$E$8:$E$10000)-7,""),ROWS($G$19:$G390))),"")</f>
        <v/>
      </c>
      <c r="H390" s="100" t="str">
        <f t="shared" si="15"/>
        <v/>
      </c>
      <c r="I390" s="37" t="str" cm="1">
        <f t="array" ref="I390">IFERROR(IF($D390="Bond",IFERROR(INDEX('Schwab Positions'!$J$8:$J$10000,SMALL(IF('Schwab Positions'!$E$8:$E$10000=$C$2,ROW('Schwab Positions'!$E$8:$E$10000)-7,""),ROWS($I$19:$I390))),""),$F390*$G390),"")</f>
        <v/>
      </c>
    </row>
    <row r="391" spans="2:9">
      <c r="B391" t="str" cm="1">
        <f t="array" ref="B391">IFERROR(INDEX('Schwab Positions'!$A$8:$A$10000,SMALL(IF('Schwab Positions'!$E$8:$E$10000=$C$2,ROW('Schwab Positions'!$E$8:$E$10000)-7,""),ROWS($B$19:B391))),"")</f>
        <v/>
      </c>
      <c r="C391" t="str">
        <f>IFERROR(VLOOKUP(B391,'Schwab Positions'!$A$8:$B$10000,2,FALSE),"")</f>
        <v/>
      </c>
      <c r="D391" s="34" t="str">
        <f>IFERROR(VLOOKUP(B391,'Security Type'!$A$2:$C$1000,3,FALSE),"")</f>
        <v/>
      </c>
      <c r="E391" s="34" t="str">
        <f>IF(B391="","",IF(ISNUMBER(MATCH(B391,'2022 Port'!$D$6:$D$67,0)),VLOOKUP(B391,'Security Type'!$A$3:$D$1000,4,FALSE),"NOT IN PORT"))</f>
        <v/>
      </c>
      <c r="F391" t="str" cm="1">
        <f t="array" ref="F391">IFERROR(INDEX('Schwab Positions'!$D$8:$D$10000,SMALL(IF('Schwab Positions'!$E$8:$E$10000=$C$2,ROW('Schwab Positions'!$E$8:$E$10000)-7,""),ROWS($F$19:$F391))),"")</f>
        <v/>
      </c>
      <c r="G391" s="1" t="str" cm="1">
        <f t="array" ref="G391">IFERROR(INDEX('Schwab Positions'!$I$8:$I$10000,SMALL(IF('Schwab Positions'!$E$8:$E$10000=$C$2,ROW('Schwab Positions'!$E$8:$E$10000)-7,""),ROWS($G$19:$G391))),"")</f>
        <v/>
      </c>
      <c r="H391" s="100" t="str">
        <f t="shared" si="15"/>
        <v/>
      </c>
      <c r="I391" s="37" t="str" cm="1">
        <f t="array" ref="I391">IFERROR(IF($D391="Bond",IFERROR(INDEX('Schwab Positions'!$J$8:$J$10000,SMALL(IF('Schwab Positions'!$E$8:$E$10000=$C$2,ROW('Schwab Positions'!$E$8:$E$10000)-7,""),ROWS($I$19:$I391))),""),$F391*$G391),"")</f>
        <v/>
      </c>
    </row>
    <row r="392" spans="2:9">
      <c r="B392" t="str" cm="1">
        <f t="array" ref="B392">IFERROR(INDEX('Schwab Positions'!$A$8:$A$10000,SMALL(IF('Schwab Positions'!$E$8:$E$10000=$C$2,ROW('Schwab Positions'!$E$8:$E$10000)-7,""),ROWS($B$19:B392))),"")</f>
        <v/>
      </c>
      <c r="C392" t="str">
        <f>IFERROR(VLOOKUP(B392,'Schwab Positions'!$A$8:$B$10000,2,FALSE),"")</f>
        <v/>
      </c>
      <c r="D392" s="34" t="str">
        <f>IFERROR(VLOOKUP(B392,'Security Type'!$A$2:$C$1000,3,FALSE),"")</f>
        <v/>
      </c>
      <c r="E392" s="34" t="str">
        <f>IF(B392="","",IF(ISNUMBER(MATCH(B392,'2022 Port'!$D$6:$D$67,0)),VLOOKUP(B392,'Security Type'!$A$3:$D$1000,4,FALSE),"NOT IN PORT"))</f>
        <v/>
      </c>
      <c r="F392" t="str" cm="1">
        <f t="array" ref="F392">IFERROR(INDEX('Schwab Positions'!$D$8:$D$10000,SMALL(IF('Schwab Positions'!$E$8:$E$10000=$C$2,ROW('Schwab Positions'!$E$8:$E$10000)-7,""),ROWS($F$19:$F392))),"")</f>
        <v/>
      </c>
      <c r="G392" s="1" t="str" cm="1">
        <f t="array" ref="G392">IFERROR(INDEX('Schwab Positions'!$I$8:$I$10000,SMALL(IF('Schwab Positions'!$E$8:$E$10000=$C$2,ROW('Schwab Positions'!$E$8:$E$10000)-7,""),ROWS($G$19:$G392))),"")</f>
        <v/>
      </c>
      <c r="H392" s="100" t="str">
        <f t="shared" si="15"/>
        <v/>
      </c>
      <c r="I392" s="37" t="str" cm="1">
        <f t="array" ref="I392">IFERROR(IF($D392="Bond",IFERROR(INDEX('Schwab Positions'!$J$8:$J$10000,SMALL(IF('Schwab Positions'!$E$8:$E$10000=$C$2,ROW('Schwab Positions'!$E$8:$E$10000)-7,""),ROWS($I$19:$I392))),""),$F392*$G392),"")</f>
        <v/>
      </c>
    </row>
    <row r="393" spans="2:9">
      <c r="B393" t="str" cm="1">
        <f t="array" ref="B393">IFERROR(INDEX('Schwab Positions'!$A$8:$A$10000,SMALL(IF('Schwab Positions'!$E$8:$E$10000=$C$2,ROW('Schwab Positions'!$E$8:$E$10000)-7,""),ROWS($B$19:B393))),"")</f>
        <v/>
      </c>
      <c r="C393" t="str">
        <f>IFERROR(VLOOKUP(B393,'Schwab Positions'!$A$8:$B$10000,2,FALSE),"")</f>
        <v/>
      </c>
      <c r="D393" s="34" t="str">
        <f>IFERROR(VLOOKUP(B393,'Security Type'!$A$2:$C$1000,3,FALSE),"")</f>
        <v/>
      </c>
      <c r="E393" s="34" t="str">
        <f>IF(B393="","",IF(ISNUMBER(MATCH(B393,'2022 Port'!$D$6:$D$67,0)),VLOOKUP(B393,'Security Type'!$A$3:$D$1000,4,FALSE),"NOT IN PORT"))</f>
        <v/>
      </c>
      <c r="F393" t="str" cm="1">
        <f t="array" ref="F393">IFERROR(INDEX('Schwab Positions'!$D$8:$D$10000,SMALL(IF('Schwab Positions'!$E$8:$E$10000=$C$2,ROW('Schwab Positions'!$E$8:$E$10000)-7,""),ROWS($F$19:$F393))),"")</f>
        <v/>
      </c>
      <c r="G393" s="1" t="str" cm="1">
        <f t="array" ref="G393">IFERROR(INDEX('Schwab Positions'!$I$8:$I$10000,SMALL(IF('Schwab Positions'!$E$8:$E$10000=$C$2,ROW('Schwab Positions'!$E$8:$E$10000)-7,""),ROWS($G$19:$G393))),"")</f>
        <v/>
      </c>
      <c r="H393" s="100" t="str">
        <f t="shared" si="15"/>
        <v/>
      </c>
      <c r="I393" s="37" t="str" cm="1">
        <f t="array" ref="I393">IFERROR(IF($D393="Bond",IFERROR(INDEX('Schwab Positions'!$J$8:$J$10000,SMALL(IF('Schwab Positions'!$E$8:$E$10000=$C$2,ROW('Schwab Positions'!$E$8:$E$10000)-7,""),ROWS($I$19:$I393))),""),$F393*$G393),"")</f>
        <v/>
      </c>
    </row>
    <row r="394" spans="2:9">
      <c r="B394" t="str" cm="1">
        <f t="array" ref="B394">IFERROR(INDEX('Schwab Positions'!$A$8:$A$10000,SMALL(IF('Schwab Positions'!$E$8:$E$10000=$C$2,ROW('Schwab Positions'!$E$8:$E$10000)-7,""),ROWS($B$19:B394))),"")</f>
        <v/>
      </c>
      <c r="C394" t="str">
        <f>IFERROR(VLOOKUP(B394,'Schwab Positions'!$A$8:$B$10000,2,FALSE),"")</f>
        <v/>
      </c>
      <c r="D394" s="34" t="str">
        <f>IFERROR(VLOOKUP(B394,'Security Type'!$A$2:$C$1000,3,FALSE),"")</f>
        <v/>
      </c>
      <c r="E394" s="34" t="str">
        <f>IF(B394="","",IF(ISNUMBER(MATCH(B394,'2022 Port'!$D$6:$D$67,0)),VLOOKUP(B394,'Security Type'!$A$3:$D$1000,4,FALSE),"NOT IN PORT"))</f>
        <v/>
      </c>
      <c r="F394" t="str" cm="1">
        <f t="array" ref="F394">IFERROR(INDEX('Schwab Positions'!$D$8:$D$10000,SMALL(IF('Schwab Positions'!$E$8:$E$10000=$C$2,ROW('Schwab Positions'!$E$8:$E$10000)-7,""),ROWS($F$19:$F394))),"")</f>
        <v/>
      </c>
      <c r="G394" s="1" t="str" cm="1">
        <f t="array" ref="G394">IFERROR(INDEX('Schwab Positions'!$I$8:$I$10000,SMALL(IF('Schwab Positions'!$E$8:$E$10000=$C$2,ROW('Schwab Positions'!$E$8:$E$10000)-7,""),ROWS($G$19:$G394))),"")</f>
        <v/>
      </c>
      <c r="H394" s="100" t="str">
        <f t="shared" si="15"/>
        <v/>
      </c>
      <c r="I394" s="37" t="str" cm="1">
        <f t="array" ref="I394">IFERROR(IF($D394="Bond",IFERROR(INDEX('Schwab Positions'!$J$8:$J$10000,SMALL(IF('Schwab Positions'!$E$8:$E$10000=$C$2,ROW('Schwab Positions'!$E$8:$E$10000)-7,""),ROWS($I$19:$I394))),""),$F394*$G394),"")</f>
        <v/>
      </c>
    </row>
    <row r="395" spans="2:9">
      <c r="B395" t="str" cm="1">
        <f t="array" ref="B395">IFERROR(INDEX('Schwab Positions'!$A$8:$A$10000,SMALL(IF('Schwab Positions'!$E$8:$E$10000=$C$2,ROW('Schwab Positions'!$E$8:$E$10000)-7,""),ROWS($B$19:B395))),"")</f>
        <v/>
      </c>
      <c r="C395" t="str">
        <f>IFERROR(VLOOKUP(B395,'Schwab Positions'!$A$8:$B$10000,2,FALSE),"")</f>
        <v/>
      </c>
      <c r="D395" s="34" t="str">
        <f>IFERROR(VLOOKUP(B395,'Security Type'!$A$2:$C$1000,3,FALSE),"")</f>
        <v/>
      </c>
      <c r="E395" s="34" t="str">
        <f>IF(B395="","",IF(ISNUMBER(MATCH(B395,'2022 Port'!$D$6:$D$67,0)),VLOOKUP(B395,'Security Type'!$A$3:$D$1000,4,FALSE),"NOT IN PORT"))</f>
        <v/>
      </c>
      <c r="F395" t="str" cm="1">
        <f t="array" ref="F395">IFERROR(INDEX('Schwab Positions'!$D$8:$D$10000,SMALL(IF('Schwab Positions'!$E$8:$E$10000=$C$2,ROW('Schwab Positions'!$E$8:$E$10000)-7,""),ROWS($F$19:$F395))),"")</f>
        <v/>
      </c>
      <c r="G395" s="1" t="str" cm="1">
        <f t="array" ref="G395">IFERROR(INDEX('Schwab Positions'!$I$8:$I$10000,SMALL(IF('Schwab Positions'!$E$8:$E$10000=$C$2,ROW('Schwab Positions'!$E$8:$E$10000)-7,""),ROWS($G$19:$G395))),"")</f>
        <v/>
      </c>
      <c r="H395" s="100" t="str">
        <f t="shared" si="15"/>
        <v/>
      </c>
      <c r="I395" s="37" t="str" cm="1">
        <f t="array" ref="I395">IFERROR(IF($D395="Bond",IFERROR(INDEX('Schwab Positions'!$J$8:$J$10000,SMALL(IF('Schwab Positions'!$E$8:$E$10000=$C$2,ROW('Schwab Positions'!$E$8:$E$10000)-7,""),ROWS($I$19:$I395))),""),$F395*$G395),"")</f>
        <v/>
      </c>
    </row>
    <row r="396" spans="2:9">
      <c r="B396" t="str" cm="1">
        <f t="array" ref="B396">IFERROR(INDEX('Schwab Positions'!$A$8:$A$10000,SMALL(IF('Schwab Positions'!$E$8:$E$10000=$C$2,ROW('Schwab Positions'!$E$8:$E$10000)-7,""),ROWS($B$19:B396))),"")</f>
        <v/>
      </c>
      <c r="C396" t="str">
        <f>IFERROR(VLOOKUP(B396,'Schwab Positions'!$A$8:$B$10000,2,FALSE),"")</f>
        <v/>
      </c>
      <c r="D396" s="34" t="str">
        <f>IFERROR(VLOOKUP(B396,'Security Type'!$A$2:$C$1000,3,FALSE),"")</f>
        <v/>
      </c>
      <c r="E396" s="34" t="str">
        <f>IF(B396="","",IF(ISNUMBER(MATCH(B396,'2022 Port'!$D$6:$D$67,0)),VLOOKUP(B396,'Security Type'!$A$3:$D$1000,4,FALSE),"NOT IN PORT"))</f>
        <v/>
      </c>
      <c r="F396" t="str" cm="1">
        <f t="array" ref="F396">IFERROR(INDEX('Schwab Positions'!$D$8:$D$10000,SMALL(IF('Schwab Positions'!$E$8:$E$10000=$C$2,ROW('Schwab Positions'!$E$8:$E$10000)-7,""),ROWS($F$19:$F396))),"")</f>
        <v/>
      </c>
      <c r="G396" s="1" t="str" cm="1">
        <f t="array" ref="G396">IFERROR(INDEX('Schwab Positions'!$I$8:$I$10000,SMALL(IF('Schwab Positions'!$E$8:$E$10000=$C$2,ROW('Schwab Positions'!$E$8:$E$10000)-7,""),ROWS($G$19:$G396))),"")</f>
        <v/>
      </c>
      <c r="H396" s="100" t="str">
        <f t="shared" si="15"/>
        <v/>
      </c>
      <c r="I396" s="37" t="str" cm="1">
        <f t="array" ref="I396">IFERROR(IF($D396="Bond",IFERROR(INDEX('Schwab Positions'!$J$8:$J$10000,SMALL(IF('Schwab Positions'!$E$8:$E$10000=$C$2,ROW('Schwab Positions'!$E$8:$E$10000)-7,""),ROWS($I$19:$I396))),""),$F396*$G396),"")</f>
        <v/>
      </c>
    </row>
    <row r="397" spans="2:9">
      <c r="D397" s="34" t="str">
        <f>IFERROR(VLOOKUP(B397,'Security Type'!$A$2:$C$1000,3,FALSE),"")</f>
        <v/>
      </c>
      <c r="E397" s="34" t="str">
        <f>IF(B397="","",IF(ISNUMBER(MATCH(B397,'2022 Port'!$D$6:$D$67,0)),VLOOKUP(B397,'Security Type'!$A$3:$D$1000,4,FALSE),"NOT IN PORT"))</f>
        <v/>
      </c>
      <c r="F397" t="str" cm="1">
        <f t="array" ref="F397">IFERROR(INDEX('Schwab Positions'!$D$8:$D$10000,SMALL(IF('Schwab Positions'!$E$8:$E$10000=$C$2,ROW('Schwab Positions'!$E$8:$E$10000)-7,""),ROWS($F$19:$F397))),"")</f>
        <v/>
      </c>
      <c r="G397" s="1" t="str" cm="1">
        <f t="array" ref="G397">IFERROR(INDEX('Schwab Positions'!$I$8:$I$10000,SMALL(IF('Schwab Positions'!$E$8:$E$10000=$C$2,ROW('Schwab Positions'!$E$8:$E$10000)-7,""),ROWS($G$19:$G397))),"")</f>
        <v/>
      </c>
      <c r="H397" s="100" t="str">
        <f t="shared" si="15"/>
        <v/>
      </c>
      <c r="I397" s="37" t="str" cm="1">
        <f t="array" ref="I397">IFERROR(IF($D397="Bond",IFERROR(INDEX('Schwab Positions'!$J$8:$J$10000,SMALL(IF('Schwab Positions'!$E$8:$E$10000=$C$2,ROW('Schwab Positions'!$E$8:$E$10000)-7,""),ROWS($I$19:$I397))),""),$F397*$G397),"")</f>
        <v/>
      </c>
    </row>
    <row r="398" spans="2:9">
      <c r="D398" s="34" t="str">
        <f>IFERROR(VLOOKUP(B398,'Security Type'!$A$2:$C$1000,3,FALSE),"")</f>
        <v/>
      </c>
      <c r="E398" s="34" t="str">
        <f>IF(B398="","",IF(ISNUMBER(MATCH(B398,'2022 Port'!$D$6:$D$67,0)),VLOOKUP(B398,'Security Type'!$A$3:$D$1000,4,FALSE),"NOT IN PORT"))</f>
        <v/>
      </c>
      <c r="F398" t="str" cm="1">
        <f t="array" ref="F398">IFERROR(INDEX('Schwab Positions'!$D$8:$D$10000,SMALL(IF('Schwab Positions'!$E$8:$E$10000=$C$2,ROW('Schwab Positions'!$E$8:$E$10000)-7,""),ROWS($F$19:$F398))),"")</f>
        <v/>
      </c>
      <c r="G398" s="1" t="str" cm="1">
        <f t="array" ref="G398">IFERROR(INDEX('Schwab Positions'!$I$8:$I$10000,SMALL(IF('Schwab Positions'!$E$8:$E$10000=$C$2,ROW('Schwab Positions'!$E$8:$E$10000)-7,""),ROWS($G$19:$G398))),"")</f>
        <v/>
      </c>
      <c r="H398" s="100" t="str">
        <f t="shared" si="15"/>
        <v/>
      </c>
      <c r="I398" s="37" t="str" cm="1">
        <f t="array" ref="I398">IFERROR(IF($D398="Bond",IFERROR(INDEX('Schwab Positions'!$J$8:$J$10000,SMALL(IF('Schwab Positions'!$E$8:$E$10000=$C$2,ROW('Schwab Positions'!$E$8:$E$10000)-7,""),ROWS($I$19:$I398))),""),$F398*$G398),"")</f>
        <v/>
      </c>
    </row>
    <row r="399" spans="2:9">
      <c r="D399" s="34" t="str">
        <f>IFERROR(VLOOKUP(B399,'Security Type'!$A$2:$C$1000,3,FALSE),"")</f>
        <v/>
      </c>
      <c r="E399" s="34" t="str">
        <f>IF(B399="","",IF(ISNUMBER(MATCH(B399,'2022 Port'!$D$6:$D$67,0)),VLOOKUP(B399,'Security Type'!$A$3:$D$1000,4,FALSE),"NOT IN PORT"))</f>
        <v/>
      </c>
      <c r="F399" t="str" cm="1">
        <f t="array" ref="F399">IFERROR(INDEX('Schwab Positions'!$D$8:$D$10000,SMALL(IF('Schwab Positions'!$E$8:$E$10000=$C$2,ROW('Schwab Positions'!$E$8:$E$10000)-7,""),ROWS($F$19:$F399))),"")</f>
        <v/>
      </c>
      <c r="G399" s="1" t="str" cm="1">
        <f t="array" ref="G399">IFERROR(INDEX('Schwab Positions'!$I$8:$I$10000,SMALL(IF('Schwab Positions'!$E$8:$E$10000=$C$2,ROW('Schwab Positions'!$E$8:$E$10000)-7,""),ROWS($G$19:$G399))),"")</f>
        <v/>
      </c>
      <c r="H399" s="100" t="str">
        <f t="shared" si="15"/>
        <v/>
      </c>
      <c r="I399" s="37" t="str" cm="1">
        <f t="array" ref="I399">IFERROR(IF($D399="Bond",IFERROR(INDEX('Schwab Positions'!$J$8:$J$10000,SMALL(IF('Schwab Positions'!$E$8:$E$10000=$C$2,ROW('Schwab Positions'!$E$8:$E$10000)-7,""),ROWS($I$19:$I399))),""),$F399*$G399),"")</f>
        <v/>
      </c>
    </row>
    <row r="400" spans="2:9">
      <c r="D400" s="34" t="str">
        <f>IFERROR(VLOOKUP(B400,'Security Type'!$A$2:$C$1000,3,FALSE),"")</f>
        <v/>
      </c>
      <c r="E400" s="34" t="str">
        <f>IF(B400="","",IF(ISNUMBER(MATCH(B400,'2022 Port'!$D$6:$D$67,0)),VLOOKUP(B400,'Security Type'!$A$3:$D$1000,4,FALSE),"NOT IN PORT"))</f>
        <v/>
      </c>
      <c r="F400" t="str" cm="1">
        <f t="array" ref="F400">IFERROR(INDEX('Schwab Positions'!$D$8:$D$10000,SMALL(IF('Schwab Positions'!$E$8:$E$10000=$C$2,ROW('Schwab Positions'!$E$8:$E$10000)-7,""),ROWS($F$19:$F400))),"")</f>
        <v/>
      </c>
      <c r="G400" s="1" t="str" cm="1">
        <f t="array" ref="G400">IFERROR(INDEX('Schwab Positions'!$I$8:$I$10000,SMALL(IF('Schwab Positions'!$E$8:$E$10000=$C$2,ROW('Schwab Positions'!$E$8:$E$10000)-7,""),ROWS($G$19:$G400))),"")</f>
        <v/>
      </c>
      <c r="H400" s="100" t="str">
        <f t="shared" si="15"/>
        <v/>
      </c>
      <c r="I400" s="37" t="str" cm="1">
        <f t="array" ref="I400">IFERROR(IF($D400="Bond",IFERROR(INDEX('Schwab Positions'!$J$8:$J$10000,SMALL(IF('Schwab Positions'!$E$8:$E$10000=$C$2,ROW('Schwab Positions'!$E$8:$E$10000)-7,""),ROWS($I$19:$I400))),""),$F400*$G400),"")</f>
        <v/>
      </c>
    </row>
    <row r="401" spans="4:9">
      <c r="D401" s="34" t="str">
        <f>IFERROR(VLOOKUP(B401,'Security Type'!$A$2:$C$1000,3,FALSE),"")</f>
        <v/>
      </c>
      <c r="E401" s="34" t="str">
        <f>IF(B401="","",IF(ISNUMBER(MATCH(B401,'2022 Port'!$D$6:$D$67,0)),VLOOKUP(B401,'Security Type'!$A$3:$D$1000,4,FALSE),"NOT IN PORT"))</f>
        <v/>
      </c>
      <c r="F401" t="str" cm="1">
        <f t="array" ref="F401">IFERROR(INDEX('Schwab Positions'!$D$8:$D$10000,SMALL(IF('Schwab Positions'!$E$8:$E$10000=$C$2,ROW('Schwab Positions'!$E$8:$E$10000)-7,""),ROWS($F$19:$F401))),"")</f>
        <v/>
      </c>
      <c r="G401" s="1" t="str" cm="1">
        <f t="array" ref="G401">IFERROR(INDEX('Schwab Positions'!$I$8:$I$10000,SMALL(IF('Schwab Positions'!$E$8:$E$10000=$C$2,ROW('Schwab Positions'!$E$8:$E$10000)-7,""),ROWS($G$19:$G401))),"")</f>
        <v/>
      </c>
      <c r="H401" s="100" t="str">
        <f t="shared" si="15"/>
        <v/>
      </c>
      <c r="I401" s="37" t="str" cm="1">
        <f t="array" ref="I401">IFERROR(IF($D401="Bond",IFERROR(INDEX('Schwab Positions'!$J$8:$J$10000,SMALL(IF('Schwab Positions'!$E$8:$E$10000=$C$2,ROW('Schwab Positions'!$E$8:$E$10000)-7,""),ROWS($I$19:$I401))),""),$F401*$G401),"")</f>
        <v/>
      </c>
    </row>
    <row r="402" spans="4:9">
      <c r="D402" s="34" t="str">
        <f>IFERROR(VLOOKUP(B402,'Security Type'!$A$2:$C$1000,3,FALSE),"")</f>
        <v/>
      </c>
      <c r="E402" s="34" t="str">
        <f>IF(B402="","",IF(ISNUMBER(MATCH(B402,'2022 Port'!$D$6:$D$67,0)),VLOOKUP(B402,'Security Type'!$A$3:$D$1000,4,FALSE),"NOT IN PORT"))</f>
        <v/>
      </c>
      <c r="F402" t="str" cm="1">
        <f t="array" ref="F402">IFERROR(INDEX('Schwab Positions'!$D$8:$D$10000,SMALL(IF('Schwab Positions'!$E$8:$E$10000=$C$2,ROW('Schwab Positions'!$E$8:$E$10000)-7,""),ROWS($F$19:$F402))),"")</f>
        <v/>
      </c>
      <c r="G402" s="1" t="str" cm="1">
        <f t="array" ref="G402">IFERROR(INDEX('Schwab Positions'!$I$8:$I$10000,SMALL(IF('Schwab Positions'!$E$8:$E$10000=$C$2,ROW('Schwab Positions'!$E$8:$E$10000)-7,""),ROWS($G$19:$G402))),"")</f>
        <v/>
      </c>
      <c r="H402" s="100" t="str">
        <f t="shared" si="15"/>
        <v/>
      </c>
      <c r="I402" s="37" t="str" cm="1">
        <f t="array" ref="I402">IFERROR(IF($D402="Bond",IFERROR(INDEX('Schwab Positions'!$J$8:$J$10000,SMALL(IF('Schwab Positions'!$E$8:$E$10000=$C$2,ROW('Schwab Positions'!$E$8:$E$10000)-7,""),ROWS($I$19:$I402))),""),$F402*$G402),"")</f>
        <v/>
      </c>
    </row>
    <row r="403" spans="4:9">
      <c r="D403" s="34" t="str">
        <f>IFERROR(VLOOKUP(B403,'Security Type'!$A$2:$C$1000,3,FALSE),"")</f>
        <v/>
      </c>
      <c r="E403" s="34" t="str">
        <f>IF(B403="","",IF(ISNUMBER(MATCH(B403,'2022 Port'!$D$6:$D$67,0)),VLOOKUP(B403,'Security Type'!$A$3:$D$1000,4,FALSE),"NOT IN PORT"))</f>
        <v/>
      </c>
      <c r="F403" t="str" cm="1">
        <f t="array" ref="F403">IFERROR(INDEX('Schwab Positions'!$D$8:$D$10000,SMALL(IF('Schwab Positions'!$E$8:$E$10000=$C$2,ROW('Schwab Positions'!$E$8:$E$10000)-7,""),ROWS($F$19:$F403))),"")</f>
        <v/>
      </c>
      <c r="G403" s="1" t="str" cm="1">
        <f t="array" ref="G403">IFERROR(INDEX('Schwab Positions'!$I$8:$I$10000,SMALL(IF('Schwab Positions'!$E$8:$E$10000=$C$2,ROW('Schwab Positions'!$E$8:$E$10000)-7,""),ROWS($G$19:$G403))),"")</f>
        <v/>
      </c>
      <c r="H403" s="100" t="str">
        <f t="shared" si="15"/>
        <v/>
      </c>
      <c r="I403" s="37" t="str" cm="1">
        <f t="array" ref="I403">IFERROR(IF($D403="Bond",IFERROR(INDEX('Schwab Positions'!$J$8:$J$10000,SMALL(IF('Schwab Positions'!$E$8:$E$10000=$C$2,ROW('Schwab Positions'!$E$8:$E$10000)-7,""),ROWS($I$19:$I403))),""),$F403*$G403),"")</f>
        <v/>
      </c>
    </row>
    <row r="404" spans="4:9">
      <c r="D404" s="34" t="str">
        <f>IFERROR(VLOOKUP(B404,'Security Type'!$A$2:$C$1000,3,FALSE),"")</f>
        <v/>
      </c>
      <c r="E404" s="34" t="str">
        <f>IF(B404="","",IF(ISNUMBER(MATCH(B404,'2022 Port'!$D$6:$D$67,0)),VLOOKUP(B404,'Security Type'!$A$3:$D$1000,4,FALSE),"NOT IN PORT"))</f>
        <v/>
      </c>
      <c r="F404" t="str" cm="1">
        <f t="array" ref="F404">IFERROR(INDEX('Schwab Positions'!$D$8:$D$10000,SMALL(IF('Schwab Positions'!$E$8:$E$10000=$C$2,ROW('Schwab Positions'!$E$8:$E$10000)-7,""),ROWS($F$19:$F404))),"")</f>
        <v/>
      </c>
      <c r="G404" s="1" t="str" cm="1">
        <f t="array" ref="G404">IFERROR(INDEX('Schwab Positions'!$I$8:$I$10000,SMALL(IF('Schwab Positions'!$E$8:$E$10000=$C$2,ROW('Schwab Positions'!$E$8:$E$10000)-7,""),ROWS($G$19:$G404))),"")</f>
        <v/>
      </c>
      <c r="H404" s="100" t="str">
        <f t="shared" ref="H404:H467" si="16">IFERROR(I404/$C$15,"")</f>
        <v/>
      </c>
      <c r="I404" s="37" t="str" cm="1">
        <f t="array" ref="I404">IFERROR(IF($D404="Bond",IFERROR(INDEX('Schwab Positions'!$J$8:$J$10000,SMALL(IF('Schwab Positions'!$E$8:$E$10000=$C$2,ROW('Schwab Positions'!$E$8:$E$10000)-7,""),ROWS($I$19:$I404))),""),$F404*$G404),"")</f>
        <v/>
      </c>
    </row>
    <row r="405" spans="4:9">
      <c r="D405" s="34" t="str">
        <f>IFERROR(VLOOKUP(B405,'Security Type'!$A$2:$C$1000,3,FALSE),"")</f>
        <v/>
      </c>
      <c r="E405" s="34" t="str">
        <f>IF(B405="","",IF(ISNUMBER(MATCH(B405,'2022 Port'!$D$6:$D$67,0)),VLOOKUP(B405,'Security Type'!$A$3:$D$1000,4,FALSE),"NOT IN PORT"))</f>
        <v/>
      </c>
      <c r="F405" t="str" cm="1">
        <f t="array" ref="F405">IFERROR(INDEX('Schwab Positions'!$D$8:$D$10000,SMALL(IF('Schwab Positions'!$E$8:$E$10000=$C$2,ROW('Schwab Positions'!$E$8:$E$10000)-7,""),ROWS($F$19:$F405))),"")</f>
        <v/>
      </c>
      <c r="G405" s="1" t="str" cm="1">
        <f t="array" ref="G405">IFERROR(INDEX('Schwab Positions'!$I$8:$I$10000,SMALL(IF('Schwab Positions'!$E$8:$E$10000=$C$2,ROW('Schwab Positions'!$E$8:$E$10000)-7,""),ROWS($G$19:$G405))),"")</f>
        <v/>
      </c>
      <c r="H405" s="100" t="str">
        <f t="shared" si="16"/>
        <v/>
      </c>
      <c r="I405" s="37" t="str" cm="1">
        <f t="array" ref="I405">IFERROR(IF($D405="Bond",IFERROR(INDEX('Schwab Positions'!$J$8:$J$10000,SMALL(IF('Schwab Positions'!$E$8:$E$10000=$C$2,ROW('Schwab Positions'!$E$8:$E$10000)-7,""),ROWS($I$19:$I405))),""),$F405*$G405),"")</f>
        <v/>
      </c>
    </row>
    <row r="406" spans="4:9">
      <c r="D406" s="34" t="str">
        <f>IFERROR(VLOOKUP(B406,'Security Type'!$A$2:$C$1000,3,FALSE),"")</f>
        <v/>
      </c>
      <c r="E406" s="34" t="str">
        <f>IF(B406="","",IF(ISNUMBER(MATCH(B406,'2022 Port'!$D$6:$D$67,0)),VLOOKUP(B406,'Security Type'!$A$3:$D$1000,4,FALSE),"NOT IN PORT"))</f>
        <v/>
      </c>
      <c r="F406" t="str" cm="1">
        <f t="array" ref="F406">IFERROR(INDEX('Schwab Positions'!$D$8:$D$10000,SMALL(IF('Schwab Positions'!$E$8:$E$10000=$C$2,ROW('Schwab Positions'!$E$8:$E$10000)-7,""),ROWS($F$19:$F406))),"")</f>
        <v/>
      </c>
      <c r="G406" s="1" t="str" cm="1">
        <f t="array" ref="G406">IFERROR(INDEX('Schwab Positions'!$I$8:$I$10000,SMALL(IF('Schwab Positions'!$E$8:$E$10000=$C$2,ROW('Schwab Positions'!$E$8:$E$10000)-7,""),ROWS($G$19:$G406))),"")</f>
        <v/>
      </c>
      <c r="H406" s="100" t="str">
        <f t="shared" si="16"/>
        <v/>
      </c>
      <c r="I406" s="37" t="str" cm="1">
        <f t="array" ref="I406">IFERROR(IF($D406="Bond",IFERROR(INDEX('Schwab Positions'!$J$8:$J$10000,SMALL(IF('Schwab Positions'!$E$8:$E$10000=$C$2,ROW('Schwab Positions'!$E$8:$E$10000)-7,""),ROWS($I$19:$I406))),""),$F406*$G406),"")</f>
        <v/>
      </c>
    </row>
    <row r="407" spans="4:9">
      <c r="D407" s="34" t="str">
        <f>IFERROR(VLOOKUP(B407,'Security Type'!$A$2:$C$1000,3,FALSE),"")</f>
        <v/>
      </c>
      <c r="E407" s="34" t="str">
        <f>IF(B407="","",IF(ISNUMBER(MATCH(B407,'2022 Port'!$D$6:$D$67,0)),VLOOKUP(B407,'Security Type'!$A$3:$D$1000,4,FALSE),"NOT IN PORT"))</f>
        <v/>
      </c>
      <c r="F407" t="str" cm="1">
        <f t="array" ref="F407">IFERROR(INDEX('Schwab Positions'!$D$8:$D$10000,SMALL(IF('Schwab Positions'!$E$8:$E$10000=$C$2,ROW('Schwab Positions'!$E$8:$E$10000)-7,""),ROWS($F$19:$F407))),"")</f>
        <v/>
      </c>
      <c r="G407" s="1" t="str" cm="1">
        <f t="array" ref="G407">IFERROR(INDEX('Schwab Positions'!$I$8:$I$10000,SMALL(IF('Schwab Positions'!$E$8:$E$10000=$C$2,ROW('Schwab Positions'!$E$8:$E$10000)-7,""),ROWS($G$19:$G407))),"")</f>
        <v/>
      </c>
      <c r="H407" s="100" t="str">
        <f t="shared" si="16"/>
        <v/>
      </c>
      <c r="I407" s="37" t="str" cm="1">
        <f t="array" ref="I407">IFERROR(IF($D407="Bond",IFERROR(INDEX('Schwab Positions'!$J$8:$J$10000,SMALL(IF('Schwab Positions'!$E$8:$E$10000=$C$2,ROW('Schwab Positions'!$E$8:$E$10000)-7,""),ROWS($I$19:$I407))),""),$F407*$G407),"")</f>
        <v/>
      </c>
    </row>
    <row r="408" spans="4:9">
      <c r="D408" s="34" t="str">
        <f>IFERROR(VLOOKUP(B408,'Security Type'!$A$2:$C$1000,3,FALSE),"")</f>
        <v/>
      </c>
      <c r="E408" s="34" t="str">
        <f>IF(B408="","",IF(ISNUMBER(MATCH(B408,'2022 Port'!$D$6:$D$67,0)),VLOOKUP(B408,'Security Type'!$A$3:$D$1000,4,FALSE),"NOT IN PORT"))</f>
        <v/>
      </c>
      <c r="F408" t="str" cm="1">
        <f t="array" ref="F408">IFERROR(INDEX('Schwab Positions'!$D$8:$D$10000,SMALL(IF('Schwab Positions'!$E$8:$E$10000=$C$2,ROW('Schwab Positions'!$E$8:$E$10000)-7,""),ROWS($F$19:$F408))),"")</f>
        <v/>
      </c>
      <c r="G408" s="1" t="str" cm="1">
        <f t="array" ref="G408">IFERROR(INDEX('Schwab Positions'!$I$8:$I$10000,SMALL(IF('Schwab Positions'!$E$8:$E$10000=$C$2,ROW('Schwab Positions'!$E$8:$E$10000)-7,""),ROWS($G$19:$G408))),"")</f>
        <v/>
      </c>
      <c r="H408" s="100" t="str">
        <f t="shared" si="16"/>
        <v/>
      </c>
      <c r="I408" s="37" t="str" cm="1">
        <f t="array" ref="I408">IFERROR(IF($D408="Bond",IFERROR(INDEX('Schwab Positions'!$J$8:$J$10000,SMALL(IF('Schwab Positions'!$E$8:$E$10000=$C$2,ROW('Schwab Positions'!$E$8:$E$10000)-7,""),ROWS($I$19:$I408))),""),$F408*$G408),"")</f>
        <v/>
      </c>
    </row>
    <row r="409" spans="4:9">
      <c r="D409" s="34" t="str">
        <f>IFERROR(VLOOKUP(B409,'Security Type'!$A$2:$C$1000,3,FALSE),"")</f>
        <v/>
      </c>
      <c r="E409" s="34" t="str">
        <f>IF(B409="","",IF(ISNUMBER(MATCH(B409,'2022 Port'!$D$6:$D$67,0)),VLOOKUP(B409,'Security Type'!$A$3:$D$1000,4,FALSE),"NOT IN PORT"))</f>
        <v/>
      </c>
      <c r="F409" t="str" cm="1">
        <f t="array" ref="F409">IFERROR(INDEX('Schwab Positions'!$D$8:$D$10000,SMALL(IF('Schwab Positions'!$E$8:$E$10000=$C$2,ROW('Schwab Positions'!$E$8:$E$10000)-7,""),ROWS($F$19:$F409))),"")</f>
        <v/>
      </c>
      <c r="G409" s="1" t="str" cm="1">
        <f t="array" ref="G409">IFERROR(INDEX('Schwab Positions'!$I$8:$I$10000,SMALL(IF('Schwab Positions'!$E$8:$E$10000=$C$2,ROW('Schwab Positions'!$E$8:$E$10000)-7,""),ROWS($G$19:$G409))),"")</f>
        <v/>
      </c>
      <c r="H409" s="100" t="str">
        <f t="shared" si="16"/>
        <v/>
      </c>
      <c r="I409" s="37" t="str" cm="1">
        <f t="array" ref="I409">IFERROR(IF($D409="Bond",IFERROR(INDEX('Schwab Positions'!$J$8:$J$10000,SMALL(IF('Schwab Positions'!$E$8:$E$10000=$C$2,ROW('Schwab Positions'!$E$8:$E$10000)-7,""),ROWS($I$19:$I409))),""),$F409*$G409),"")</f>
        <v/>
      </c>
    </row>
    <row r="410" spans="4:9">
      <c r="D410" s="34" t="str">
        <f>IFERROR(VLOOKUP(B410,'Security Type'!$A$2:$C$1000,3,FALSE),"")</f>
        <v/>
      </c>
      <c r="E410" s="34" t="str">
        <f>IF(B410="","",IF(ISNUMBER(MATCH(B410,'2022 Port'!$D$6:$D$67,0)),VLOOKUP(B410,'Security Type'!$A$3:$D$1000,4,FALSE),"NOT IN PORT"))</f>
        <v/>
      </c>
      <c r="F410" t="str" cm="1">
        <f t="array" ref="F410">IFERROR(INDEX('Schwab Positions'!$D$8:$D$10000,SMALL(IF('Schwab Positions'!$E$8:$E$10000=$C$2,ROW('Schwab Positions'!$E$8:$E$10000)-7,""),ROWS($F$19:$F410))),"")</f>
        <v/>
      </c>
      <c r="G410" s="1" t="str" cm="1">
        <f t="array" ref="G410">IFERROR(INDEX('Schwab Positions'!$I$8:$I$10000,SMALL(IF('Schwab Positions'!$E$8:$E$10000=$C$2,ROW('Schwab Positions'!$E$8:$E$10000)-7,""),ROWS($G$19:$G410))),"")</f>
        <v/>
      </c>
      <c r="H410" s="100" t="str">
        <f t="shared" si="16"/>
        <v/>
      </c>
      <c r="I410" s="37" t="str" cm="1">
        <f t="array" ref="I410">IFERROR(IF($D410="Bond",IFERROR(INDEX('Schwab Positions'!$J$8:$J$10000,SMALL(IF('Schwab Positions'!$E$8:$E$10000=$C$2,ROW('Schwab Positions'!$E$8:$E$10000)-7,""),ROWS($I$19:$I410))),""),$F410*$G410),"")</f>
        <v/>
      </c>
    </row>
    <row r="411" spans="4:9">
      <c r="D411" s="34" t="str">
        <f>IFERROR(VLOOKUP(B411,'Security Type'!$A$2:$C$1000,3,FALSE),"")</f>
        <v/>
      </c>
      <c r="E411" s="34" t="str">
        <f>IF(B411="","",IF(ISNUMBER(MATCH(B411,'2022 Port'!$D$6:$D$67,0)),VLOOKUP(B411,'Security Type'!$A$3:$D$1000,4,FALSE),"NOT IN PORT"))</f>
        <v/>
      </c>
      <c r="F411" t="str" cm="1">
        <f t="array" ref="F411">IFERROR(INDEX('Schwab Positions'!$D$8:$D$10000,SMALL(IF('Schwab Positions'!$E$8:$E$10000=$C$2,ROW('Schwab Positions'!$E$8:$E$10000)-7,""),ROWS($F$19:$F411))),"")</f>
        <v/>
      </c>
      <c r="G411" s="1" t="str" cm="1">
        <f t="array" ref="G411">IFERROR(INDEX('Schwab Positions'!$I$8:$I$10000,SMALL(IF('Schwab Positions'!$E$8:$E$10000=$C$2,ROW('Schwab Positions'!$E$8:$E$10000)-7,""),ROWS($G$19:$G411))),"")</f>
        <v/>
      </c>
      <c r="H411" s="100" t="str">
        <f t="shared" si="16"/>
        <v/>
      </c>
      <c r="I411" s="37" t="str" cm="1">
        <f t="array" ref="I411">IFERROR(IF($D411="Bond",IFERROR(INDEX('Schwab Positions'!$J$8:$J$10000,SMALL(IF('Schwab Positions'!$E$8:$E$10000=$C$2,ROW('Schwab Positions'!$E$8:$E$10000)-7,""),ROWS($I$19:$I411))),""),$F411*$G411),"")</f>
        <v/>
      </c>
    </row>
    <row r="412" spans="4:9">
      <c r="D412" s="34" t="str">
        <f>IFERROR(VLOOKUP(B412,'Security Type'!$A$2:$C$1000,3,FALSE),"")</f>
        <v/>
      </c>
      <c r="E412" s="34" t="str">
        <f>IF(B412="","",IF(ISNUMBER(MATCH(B412,'2022 Port'!$D$6:$D$67,0)),VLOOKUP(B412,'Security Type'!$A$3:$D$1000,4,FALSE),"NOT IN PORT"))</f>
        <v/>
      </c>
      <c r="F412" t="str" cm="1">
        <f t="array" ref="F412">IFERROR(INDEX('Schwab Positions'!$D$8:$D$10000,SMALL(IF('Schwab Positions'!$E$8:$E$10000=$C$2,ROW('Schwab Positions'!$E$8:$E$10000)-7,""),ROWS($F$19:$F412))),"")</f>
        <v/>
      </c>
      <c r="G412" s="1" t="str" cm="1">
        <f t="array" ref="G412">IFERROR(INDEX('Schwab Positions'!$I$8:$I$10000,SMALL(IF('Schwab Positions'!$E$8:$E$10000=$C$2,ROW('Schwab Positions'!$E$8:$E$10000)-7,""),ROWS($G$19:$G412))),"")</f>
        <v/>
      </c>
      <c r="H412" s="100" t="str">
        <f t="shared" si="16"/>
        <v/>
      </c>
      <c r="I412" s="37" t="str" cm="1">
        <f t="array" ref="I412">IFERROR(IF($D412="Bond",IFERROR(INDEX('Schwab Positions'!$J$8:$J$10000,SMALL(IF('Schwab Positions'!$E$8:$E$10000=$C$2,ROW('Schwab Positions'!$E$8:$E$10000)-7,""),ROWS($I$19:$I412))),""),$F412*$G412),"")</f>
        <v/>
      </c>
    </row>
    <row r="413" spans="4:9">
      <c r="D413" s="34" t="str">
        <f>IFERROR(VLOOKUP(B413,'Security Type'!$A$2:$C$1000,3,FALSE),"")</f>
        <v/>
      </c>
      <c r="E413" s="34" t="str">
        <f>IF(B413="","",IF(ISNUMBER(MATCH(B413,'2022 Port'!$D$6:$D$67,0)),VLOOKUP(B413,'Security Type'!$A$3:$D$1000,4,FALSE),"NOT IN PORT"))</f>
        <v/>
      </c>
      <c r="F413" t="str" cm="1">
        <f t="array" ref="F413">IFERROR(INDEX('Schwab Positions'!$D$8:$D$10000,SMALL(IF('Schwab Positions'!$E$8:$E$10000=$C$2,ROW('Schwab Positions'!$E$8:$E$10000)-7,""),ROWS($F$19:$F413))),"")</f>
        <v/>
      </c>
      <c r="G413" s="1" t="str" cm="1">
        <f t="array" ref="G413">IFERROR(INDEX('Schwab Positions'!$I$8:$I$10000,SMALL(IF('Schwab Positions'!$E$8:$E$10000=$C$2,ROW('Schwab Positions'!$E$8:$E$10000)-7,""),ROWS($G$19:$G413))),"")</f>
        <v/>
      </c>
      <c r="H413" s="100" t="str">
        <f t="shared" si="16"/>
        <v/>
      </c>
      <c r="I413" s="37" t="str" cm="1">
        <f t="array" ref="I413">IFERROR(IF($D413="Bond",IFERROR(INDEX('Schwab Positions'!$J$8:$J$10000,SMALL(IF('Schwab Positions'!$E$8:$E$10000=$C$2,ROW('Schwab Positions'!$E$8:$E$10000)-7,""),ROWS($I$19:$I413))),""),$F413*$G413),"")</f>
        <v/>
      </c>
    </row>
    <row r="414" spans="4:9">
      <c r="D414" s="34" t="str">
        <f>IFERROR(VLOOKUP(B414,'Security Type'!$A$2:$C$1000,3,FALSE),"")</f>
        <v/>
      </c>
      <c r="E414" s="34" t="str">
        <f>IF(B414="","",IF(ISNUMBER(MATCH(B414,'2022 Port'!$D$6:$D$67,0)),VLOOKUP(B414,'Security Type'!$A$3:$D$1000,4,FALSE),"NOT IN PORT"))</f>
        <v/>
      </c>
      <c r="F414" t="str" cm="1">
        <f t="array" ref="F414">IFERROR(INDEX('Schwab Positions'!$D$8:$D$10000,SMALL(IF('Schwab Positions'!$E$8:$E$10000=$C$2,ROW('Schwab Positions'!$E$8:$E$10000)-7,""),ROWS($F$19:$F414))),"")</f>
        <v/>
      </c>
      <c r="G414" s="1" t="str" cm="1">
        <f t="array" ref="G414">IFERROR(INDEX('Schwab Positions'!$I$8:$I$10000,SMALL(IF('Schwab Positions'!$E$8:$E$10000=$C$2,ROW('Schwab Positions'!$E$8:$E$10000)-7,""),ROWS($G$19:$G414))),"")</f>
        <v/>
      </c>
      <c r="H414" s="100" t="str">
        <f t="shared" si="16"/>
        <v/>
      </c>
      <c r="I414" s="37" t="str" cm="1">
        <f t="array" ref="I414">IFERROR(IF($D414="Bond",IFERROR(INDEX('Schwab Positions'!$J$8:$J$10000,SMALL(IF('Schwab Positions'!$E$8:$E$10000=$C$2,ROW('Schwab Positions'!$E$8:$E$10000)-7,""),ROWS($I$19:$I414))),""),$F414*$G414),"")</f>
        <v/>
      </c>
    </row>
    <row r="415" spans="4:9">
      <c r="D415" s="34" t="str">
        <f>IFERROR(VLOOKUP(B415,'Security Type'!$A$2:$C$1000,3,FALSE),"")</f>
        <v/>
      </c>
      <c r="E415" s="34" t="str">
        <f>IF(B415="","",IF(ISNUMBER(MATCH(B415,'2022 Port'!$D$6:$D$67,0)),VLOOKUP(B415,'Security Type'!$A$3:$D$1000,4,FALSE),"NOT IN PORT"))</f>
        <v/>
      </c>
      <c r="F415" t="str" cm="1">
        <f t="array" ref="F415">IFERROR(INDEX('Schwab Positions'!$D$8:$D$10000,SMALL(IF('Schwab Positions'!$E$8:$E$10000=$C$2,ROW('Schwab Positions'!$E$8:$E$10000)-7,""),ROWS($F$19:$F415))),"")</f>
        <v/>
      </c>
      <c r="G415" s="1" t="str" cm="1">
        <f t="array" ref="G415">IFERROR(INDEX('Schwab Positions'!$I$8:$I$10000,SMALL(IF('Schwab Positions'!$E$8:$E$10000=$C$2,ROW('Schwab Positions'!$E$8:$E$10000)-7,""),ROWS($G$19:$G415))),"")</f>
        <v/>
      </c>
      <c r="H415" s="100" t="str">
        <f t="shared" si="16"/>
        <v/>
      </c>
      <c r="I415" s="37" t="str" cm="1">
        <f t="array" ref="I415">IFERROR(IF($D415="Bond",IFERROR(INDEX('Schwab Positions'!$J$8:$J$10000,SMALL(IF('Schwab Positions'!$E$8:$E$10000=$C$2,ROW('Schwab Positions'!$E$8:$E$10000)-7,""),ROWS($I$19:$I415))),""),$F415*$G415),"")</f>
        <v/>
      </c>
    </row>
    <row r="416" spans="4:9">
      <c r="D416" s="34" t="str">
        <f>IFERROR(VLOOKUP(B416,'Security Type'!$A$2:$C$1000,3,FALSE),"")</f>
        <v/>
      </c>
      <c r="E416" s="34" t="str">
        <f>IF(B416="","",IF(ISNUMBER(MATCH(B416,'2022 Port'!$D$6:$D$67,0)),VLOOKUP(B416,'Security Type'!$A$3:$D$1000,4,FALSE),"NOT IN PORT"))</f>
        <v/>
      </c>
      <c r="F416" t="str" cm="1">
        <f t="array" ref="F416">IFERROR(INDEX('Schwab Positions'!$D$8:$D$10000,SMALL(IF('Schwab Positions'!$E$8:$E$10000=$C$2,ROW('Schwab Positions'!$E$8:$E$10000)-7,""),ROWS($F$19:$F416))),"")</f>
        <v/>
      </c>
      <c r="G416" s="1" t="str" cm="1">
        <f t="array" ref="G416">IFERROR(INDEX('Schwab Positions'!$I$8:$I$10000,SMALL(IF('Schwab Positions'!$E$8:$E$10000=$C$2,ROW('Schwab Positions'!$E$8:$E$10000)-7,""),ROWS($G$19:$G416))),"")</f>
        <v/>
      </c>
      <c r="H416" s="100" t="str">
        <f t="shared" si="16"/>
        <v/>
      </c>
      <c r="I416" s="37" t="str" cm="1">
        <f t="array" ref="I416">IFERROR(IF($D416="Bond",IFERROR(INDEX('Schwab Positions'!$J$8:$J$10000,SMALL(IF('Schwab Positions'!$E$8:$E$10000=$C$2,ROW('Schwab Positions'!$E$8:$E$10000)-7,""),ROWS($I$19:$I416))),""),$F416*$G416),"")</f>
        <v/>
      </c>
    </row>
    <row r="417" spans="4:9">
      <c r="D417" s="34" t="str">
        <f>IFERROR(VLOOKUP(B417,'Security Type'!$A$2:$C$1000,3,FALSE),"")</f>
        <v/>
      </c>
      <c r="E417" s="34" t="str">
        <f>IF(B417="","",IF(ISNUMBER(MATCH(B417,'2022 Port'!$D$6:$D$67,0)),VLOOKUP(B417,'Security Type'!$A$3:$D$1000,4,FALSE),"NOT IN PORT"))</f>
        <v/>
      </c>
      <c r="F417" t="str" cm="1">
        <f t="array" ref="F417">IFERROR(INDEX('Schwab Positions'!$D$8:$D$10000,SMALL(IF('Schwab Positions'!$E$8:$E$10000=$C$2,ROW('Schwab Positions'!$E$8:$E$10000)-7,""),ROWS($F$19:$F417))),"")</f>
        <v/>
      </c>
      <c r="G417" s="1" t="str" cm="1">
        <f t="array" ref="G417">IFERROR(INDEX('Schwab Positions'!$I$8:$I$10000,SMALL(IF('Schwab Positions'!$E$8:$E$10000=$C$2,ROW('Schwab Positions'!$E$8:$E$10000)-7,""),ROWS($G$19:$G417))),"")</f>
        <v/>
      </c>
      <c r="H417" s="100" t="str">
        <f t="shared" si="16"/>
        <v/>
      </c>
      <c r="I417" s="37" t="str" cm="1">
        <f t="array" ref="I417">IFERROR(IF($D417="Bond",IFERROR(INDEX('Schwab Positions'!$J$8:$J$10000,SMALL(IF('Schwab Positions'!$E$8:$E$10000=$C$2,ROW('Schwab Positions'!$E$8:$E$10000)-7,""),ROWS($I$19:$I417))),""),$F417*$G417),"")</f>
        <v/>
      </c>
    </row>
    <row r="418" spans="4:9">
      <c r="D418" s="34" t="str">
        <f>IFERROR(VLOOKUP(B418,'Security Type'!$A$2:$C$1000,3,FALSE),"")</f>
        <v/>
      </c>
      <c r="E418" s="34" t="str">
        <f>IF(B418="","",IF(ISNUMBER(MATCH(B418,'2022 Port'!$D$6:$D$67,0)),VLOOKUP(B418,'Security Type'!$A$3:$D$1000,4,FALSE),"NOT IN PORT"))</f>
        <v/>
      </c>
      <c r="F418" t="str" cm="1">
        <f t="array" ref="F418">IFERROR(INDEX('Schwab Positions'!$D$8:$D$10000,SMALL(IF('Schwab Positions'!$E$8:$E$10000=$C$2,ROW('Schwab Positions'!$E$8:$E$10000)-7,""),ROWS($F$19:$F418))),"")</f>
        <v/>
      </c>
      <c r="G418" s="1" t="str" cm="1">
        <f t="array" ref="G418">IFERROR(INDEX('Schwab Positions'!$I$8:$I$10000,SMALL(IF('Schwab Positions'!$E$8:$E$10000=$C$2,ROW('Schwab Positions'!$E$8:$E$10000)-7,""),ROWS($G$19:$G418))),"")</f>
        <v/>
      </c>
      <c r="H418" s="100" t="str">
        <f t="shared" si="16"/>
        <v/>
      </c>
      <c r="I418" s="37" t="str" cm="1">
        <f t="array" ref="I418">IFERROR(IF($D418="Bond",IFERROR(INDEX('Schwab Positions'!$J$8:$J$10000,SMALL(IF('Schwab Positions'!$E$8:$E$10000=$C$2,ROW('Schwab Positions'!$E$8:$E$10000)-7,""),ROWS($I$19:$I418))),""),$F418*$G418),"")</f>
        <v/>
      </c>
    </row>
    <row r="419" spans="4:9">
      <c r="D419" s="34" t="str">
        <f>IFERROR(VLOOKUP(B419,'Security Type'!$A$2:$C$1000,3,FALSE),"")</f>
        <v/>
      </c>
      <c r="E419" s="34" t="str">
        <f>IF(B419="","",IF(ISNUMBER(MATCH(B419,'2022 Port'!$D$6:$D$67,0)),VLOOKUP(B419,'Security Type'!$A$3:$D$1000,4,FALSE),"NOT IN PORT"))</f>
        <v/>
      </c>
      <c r="F419" t="str" cm="1">
        <f t="array" ref="F419">IFERROR(INDEX('Schwab Positions'!$D$8:$D$10000,SMALL(IF('Schwab Positions'!$E$8:$E$10000=$C$2,ROW('Schwab Positions'!$E$8:$E$10000)-7,""),ROWS($F$19:$F419))),"")</f>
        <v/>
      </c>
      <c r="G419" s="1" t="str" cm="1">
        <f t="array" ref="G419">IFERROR(INDEX('Schwab Positions'!$I$8:$I$10000,SMALL(IF('Schwab Positions'!$E$8:$E$10000=$C$2,ROW('Schwab Positions'!$E$8:$E$10000)-7,""),ROWS($G$19:$G419))),"")</f>
        <v/>
      </c>
      <c r="H419" s="100" t="str">
        <f t="shared" si="16"/>
        <v/>
      </c>
      <c r="I419" s="37" t="str" cm="1">
        <f t="array" ref="I419">IFERROR(IF($D419="Bond",IFERROR(INDEX('Schwab Positions'!$J$8:$J$10000,SMALL(IF('Schwab Positions'!$E$8:$E$10000=$C$2,ROW('Schwab Positions'!$E$8:$E$10000)-7,""),ROWS($I$19:$I419))),""),$F419*$G419),"")</f>
        <v/>
      </c>
    </row>
    <row r="420" spans="4:9">
      <c r="D420" s="34" t="str">
        <f>IFERROR(VLOOKUP(B420,'Security Type'!$A$2:$C$1000,3,FALSE),"")</f>
        <v/>
      </c>
      <c r="E420" s="34" t="str">
        <f>IF(B420="","",IF(ISNUMBER(MATCH(B420,'2022 Port'!$D$6:$D$67,0)),VLOOKUP(B420,'Security Type'!$A$3:$D$1000,4,FALSE),"NOT IN PORT"))</f>
        <v/>
      </c>
      <c r="F420" t="str" cm="1">
        <f t="array" ref="F420">IFERROR(INDEX('Schwab Positions'!$D$8:$D$10000,SMALL(IF('Schwab Positions'!$E$8:$E$10000=$C$2,ROW('Schwab Positions'!$E$8:$E$10000)-7,""),ROWS($F$19:$F420))),"")</f>
        <v/>
      </c>
      <c r="G420" s="1" t="str" cm="1">
        <f t="array" ref="G420">IFERROR(INDEX('Schwab Positions'!$I$8:$I$10000,SMALL(IF('Schwab Positions'!$E$8:$E$10000=$C$2,ROW('Schwab Positions'!$E$8:$E$10000)-7,""),ROWS($G$19:$G420))),"")</f>
        <v/>
      </c>
      <c r="H420" s="100" t="str">
        <f t="shared" si="16"/>
        <v/>
      </c>
      <c r="I420" s="37" t="str" cm="1">
        <f t="array" ref="I420">IFERROR(IF($D420="Bond",IFERROR(INDEX('Schwab Positions'!$J$8:$J$10000,SMALL(IF('Schwab Positions'!$E$8:$E$10000=$C$2,ROW('Schwab Positions'!$E$8:$E$10000)-7,""),ROWS($I$19:$I420))),""),$F420*$G420),"")</f>
        <v/>
      </c>
    </row>
    <row r="421" spans="4:9">
      <c r="D421" s="34" t="str">
        <f>IFERROR(VLOOKUP(B421,'Security Type'!$A$2:$C$1000,3,FALSE),"")</f>
        <v/>
      </c>
      <c r="E421" s="34" t="str">
        <f>IF(B421="","",IF(ISNUMBER(MATCH(B421,'2022 Port'!$D$6:$D$67,0)),VLOOKUP(B421,'Security Type'!$A$3:$D$1000,4,FALSE),"NOT IN PORT"))</f>
        <v/>
      </c>
      <c r="F421" t="str" cm="1">
        <f t="array" ref="F421">IFERROR(INDEX('Schwab Positions'!$D$8:$D$10000,SMALL(IF('Schwab Positions'!$E$8:$E$10000=$C$2,ROW('Schwab Positions'!$E$8:$E$10000)-7,""),ROWS($F$19:$F421))),"")</f>
        <v/>
      </c>
      <c r="G421" s="1" t="str" cm="1">
        <f t="array" ref="G421">IFERROR(INDEX('Schwab Positions'!$I$8:$I$10000,SMALL(IF('Schwab Positions'!$E$8:$E$10000=$C$2,ROW('Schwab Positions'!$E$8:$E$10000)-7,""),ROWS($G$19:$G421))),"")</f>
        <v/>
      </c>
      <c r="H421" s="100" t="str">
        <f t="shared" si="16"/>
        <v/>
      </c>
      <c r="I421" s="37" t="str" cm="1">
        <f t="array" ref="I421">IFERROR(IF($D421="Bond",IFERROR(INDEX('Schwab Positions'!$J$8:$J$10000,SMALL(IF('Schwab Positions'!$E$8:$E$10000=$C$2,ROW('Schwab Positions'!$E$8:$E$10000)-7,""),ROWS($I$19:$I421))),""),$F421*$G421),"")</f>
        <v/>
      </c>
    </row>
    <row r="422" spans="4:9">
      <c r="D422" s="34" t="str">
        <f>IFERROR(VLOOKUP(B422,'Security Type'!$A$2:$C$1000,3,FALSE),"")</f>
        <v/>
      </c>
      <c r="E422" s="34" t="str">
        <f>IF(B422="","",IF(ISNUMBER(MATCH(B422,'2022 Port'!$D$6:$D$67,0)),VLOOKUP(B422,'Security Type'!$A$3:$D$1000,4,FALSE),"NOT IN PORT"))</f>
        <v/>
      </c>
      <c r="F422" t="str" cm="1">
        <f t="array" ref="F422">IFERROR(INDEX('Schwab Positions'!$D$8:$D$10000,SMALL(IF('Schwab Positions'!$E$8:$E$10000=$C$2,ROW('Schwab Positions'!$E$8:$E$10000)-7,""),ROWS($F$19:$F422))),"")</f>
        <v/>
      </c>
      <c r="G422" s="1" t="str" cm="1">
        <f t="array" ref="G422">IFERROR(INDEX('Schwab Positions'!$I$8:$I$10000,SMALL(IF('Schwab Positions'!$E$8:$E$10000=$C$2,ROW('Schwab Positions'!$E$8:$E$10000)-7,""),ROWS($G$19:$G422))),"")</f>
        <v/>
      </c>
      <c r="H422" s="100" t="str">
        <f t="shared" si="16"/>
        <v/>
      </c>
      <c r="I422" s="37" t="str" cm="1">
        <f t="array" ref="I422">IFERROR(IF($D422="Bond",IFERROR(INDEX('Schwab Positions'!$J$8:$J$10000,SMALL(IF('Schwab Positions'!$E$8:$E$10000=$C$2,ROW('Schwab Positions'!$E$8:$E$10000)-7,""),ROWS($I$19:$I422))),""),$F422*$G422),"")</f>
        <v/>
      </c>
    </row>
    <row r="423" spans="4:9">
      <c r="D423" s="34" t="str">
        <f>IFERROR(VLOOKUP(B423,'Security Type'!$A$2:$C$1000,3,FALSE),"")</f>
        <v/>
      </c>
      <c r="E423" s="34" t="str">
        <f>IF(B423="","",IF(ISNUMBER(MATCH(B423,'2022 Port'!$D$6:$D$67,0)),VLOOKUP(B423,'Security Type'!$A$3:$D$1000,4,FALSE),"NOT IN PORT"))</f>
        <v/>
      </c>
      <c r="F423" t="str" cm="1">
        <f t="array" ref="F423">IFERROR(INDEX('Schwab Positions'!$D$8:$D$10000,SMALL(IF('Schwab Positions'!$E$8:$E$10000=$C$2,ROW('Schwab Positions'!$E$8:$E$10000)-7,""),ROWS($F$19:$F423))),"")</f>
        <v/>
      </c>
      <c r="G423" s="1" t="str" cm="1">
        <f t="array" ref="G423">IFERROR(INDEX('Schwab Positions'!$I$8:$I$10000,SMALL(IF('Schwab Positions'!$E$8:$E$10000=$C$2,ROW('Schwab Positions'!$E$8:$E$10000)-7,""),ROWS($G$19:$G423))),"")</f>
        <v/>
      </c>
      <c r="H423" s="100" t="str">
        <f t="shared" si="16"/>
        <v/>
      </c>
      <c r="I423" s="37" t="str" cm="1">
        <f t="array" ref="I423">IFERROR(IF($D423="Bond",IFERROR(INDEX('Schwab Positions'!$J$8:$J$10000,SMALL(IF('Schwab Positions'!$E$8:$E$10000=$C$2,ROW('Schwab Positions'!$E$8:$E$10000)-7,""),ROWS($I$19:$I423))),""),$F423*$G423),"")</f>
        <v/>
      </c>
    </row>
    <row r="424" spans="4:9">
      <c r="D424" s="34" t="str">
        <f>IFERROR(VLOOKUP(B424,'Security Type'!$A$2:$C$1000,3,FALSE),"")</f>
        <v/>
      </c>
      <c r="E424" s="34" t="str">
        <f>IF(B424="","",IF(ISNUMBER(MATCH(B424,'2022 Port'!$D$6:$D$67,0)),VLOOKUP(B424,'Security Type'!$A$3:$D$1000,4,FALSE),"NOT IN PORT"))</f>
        <v/>
      </c>
      <c r="F424" t="str" cm="1">
        <f t="array" ref="F424">IFERROR(INDEX('Schwab Positions'!$D$8:$D$10000,SMALL(IF('Schwab Positions'!$E$8:$E$10000=$C$2,ROW('Schwab Positions'!$E$8:$E$10000)-7,""),ROWS($F$19:$F424))),"")</f>
        <v/>
      </c>
      <c r="G424" s="1" t="str" cm="1">
        <f t="array" ref="G424">IFERROR(INDEX('Schwab Positions'!$I$8:$I$10000,SMALL(IF('Schwab Positions'!$E$8:$E$10000=$C$2,ROW('Schwab Positions'!$E$8:$E$10000)-7,""),ROWS($G$19:$G424))),"")</f>
        <v/>
      </c>
      <c r="H424" s="100" t="str">
        <f t="shared" si="16"/>
        <v/>
      </c>
      <c r="I424" s="37" t="str" cm="1">
        <f t="array" ref="I424">IFERROR(IF($D424="Bond",IFERROR(INDEX('Schwab Positions'!$J$8:$J$10000,SMALL(IF('Schwab Positions'!$E$8:$E$10000=$C$2,ROW('Schwab Positions'!$E$8:$E$10000)-7,""),ROWS($I$19:$I424))),""),$F424*$G424),"")</f>
        <v/>
      </c>
    </row>
    <row r="425" spans="4:9">
      <c r="D425" s="34" t="str">
        <f>IFERROR(VLOOKUP(B425,'Security Type'!$A$2:$C$1000,3,FALSE),"")</f>
        <v/>
      </c>
      <c r="E425" s="34" t="str">
        <f>IF(B425="","",IF(ISNUMBER(MATCH(B425,'2022 Port'!$D$6:$D$67,0)),VLOOKUP(B425,'Security Type'!$A$3:$D$1000,4,FALSE),"NOT IN PORT"))</f>
        <v/>
      </c>
      <c r="F425" t="str" cm="1">
        <f t="array" ref="F425">IFERROR(INDEX('Schwab Positions'!$D$8:$D$10000,SMALL(IF('Schwab Positions'!$E$8:$E$10000=$C$2,ROW('Schwab Positions'!$E$8:$E$10000)-7,""),ROWS($F$19:$F425))),"")</f>
        <v/>
      </c>
      <c r="G425" s="1" t="str" cm="1">
        <f t="array" ref="G425">IFERROR(INDEX('Schwab Positions'!$I$8:$I$10000,SMALL(IF('Schwab Positions'!$E$8:$E$10000=$C$2,ROW('Schwab Positions'!$E$8:$E$10000)-7,""),ROWS($G$19:$G425))),"")</f>
        <v/>
      </c>
      <c r="H425" s="100" t="str">
        <f t="shared" si="16"/>
        <v/>
      </c>
      <c r="I425" s="37" t="str" cm="1">
        <f t="array" ref="I425">IFERROR(IF($D425="Bond",IFERROR(INDEX('Schwab Positions'!$J$8:$J$10000,SMALL(IF('Schwab Positions'!$E$8:$E$10000=$C$2,ROW('Schwab Positions'!$E$8:$E$10000)-7,""),ROWS($I$19:$I425))),""),$F425*$G425),"")</f>
        <v/>
      </c>
    </row>
    <row r="426" spans="4:9">
      <c r="D426" s="34" t="str">
        <f>IFERROR(VLOOKUP(B426,'Security Type'!$A$2:$C$1000,3,FALSE),"")</f>
        <v/>
      </c>
      <c r="E426" s="34" t="str">
        <f>IF(B426="","",IF(ISNUMBER(MATCH(B426,'2022 Port'!$D$6:$D$67,0)),VLOOKUP(B426,'Security Type'!$A$3:$D$1000,4,FALSE),"NOT IN PORT"))</f>
        <v/>
      </c>
      <c r="F426" t="str" cm="1">
        <f t="array" ref="F426">IFERROR(INDEX('Schwab Positions'!$D$8:$D$10000,SMALL(IF('Schwab Positions'!$E$8:$E$10000=$C$2,ROW('Schwab Positions'!$E$8:$E$10000)-7,""),ROWS($F$19:$F426))),"")</f>
        <v/>
      </c>
      <c r="G426" s="1" t="str" cm="1">
        <f t="array" ref="G426">IFERROR(INDEX('Schwab Positions'!$I$8:$I$10000,SMALL(IF('Schwab Positions'!$E$8:$E$10000=$C$2,ROW('Schwab Positions'!$E$8:$E$10000)-7,""),ROWS($G$19:$G426))),"")</f>
        <v/>
      </c>
      <c r="H426" s="100" t="str">
        <f t="shared" si="16"/>
        <v/>
      </c>
      <c r="I426" s="37" t="str" cm="1">
        <f t="array" ref="I426">IFERROR(IF($D426="Bond",IFERROR(INDEX('Schwab Positions'!$J$8:$J$10000,SMALL(IF('Schwab Positions'!$E$8:$E$10000=$C$2,ROW('Schwab Positions'!$E$8:$E$10000)-7,""),ROWS($I$19:$I426))),""),$F426*$G426),"")</f>
        <v/>
      </c>
    </row>
    <row r="427" spans="4:9">
      <c r="D427" s="34" t="str">
        <f>IFERROR(VLOOKUP(B427,'Security Type'!$A$2:$C$1000,3,FALSE),"")</f>
        <v/>
      </c>
      <c r="E427" s="34" t="str">
        <f>IF(B427="","",IF(ISNUMBER(MATCH(B427,'2022 Port'!$D$6:$D$67,0)),VLOOKUP(B427,'Security Type'!$A$3:$D$1000,4,FALSE),"NOT IN PORT"))</f>
        <v/>
      </c>
      <c r="F427" t="str" cm="1">
        <f t="array" ref="F427">IFERROR(INDEX('Schwab Positions'!$D$8:$D$10000,SMALL(IF('Schwab Positions'!$E$8:$E$10000=$C$2,ROW('Schwab Positions'!$E$8:$E$10000)-7,""),ROWS($F$19:$F427))),"")</f>
        <v/>
      </c>
      <c r="G427" s="1" t="str" cm="1">
        <f t="array" ref="G427">IFERROR(INDEX('Schwab Positions'!$I$8:$I$10000,SMALL(IF('Schwab Positions'!$E$8:$E$10000=$C$2,ROW('Schwab Positions'!$E$8:$E$10000)-7,""),ROWS($G$19:$G427))),"")</f>
        <v/>
      </c>
      <c r="H427" s="100" t="str">
        <f t="shared" si="16"/>
        <v/>
      </c>
      <c r="I427" s="37" t="str" cm="1">
        <f t="array" ref="I427">IFERROR(IF($D427="Bond",IFERROR(INDEX('Schwab Positions'!$J$8:$J$10000,SMALL(IF('Schwab Positions'!$E$8:$E$10000=$C$2,ROW('Schwab Positions'!$E$8:$E$10000)-7,""),ROWS($I$19:$I427))),""),$F427*$G427),"")</f>
        <v/>
      </c>
    </row>
    <row r="428" spans="4:9">
      <c r="D428" s="34" t="str">
        <f>IFERROR(VLOOKUP(B428,'Security Type'!$A$2:$C$1000,3,FALSE),"")</f>
        <v/>
      </c>
      <c r="E428" s="34" t="str">
        <f>IF(B428="","",IF(ISNUMBER(MATCH(B428,'2022 Port'!$D$6:$D$67,0)),VLOOKUP(B428,'Security Type'!$A$3:$D$1000,4,FALSE),"NOT IN PORT"))</f>
        <v/>
      </c>
      <c r="F428" t="str" cm="1">
        <f t="array" ref="F428">IFERROR(INDEX('Schwab Positions'!$D$8:$D$10000,SMALL(IF('Schwab Positions'!$E$8:$E$10000=$C$2,ROW('Schwab Positions'!$E$8:$E$10000)-7,""),ROWS($F$19:$F428))),"")</f>
        <v/>
      </c>
      <c r="G428" s="1" t="str" cm="1">
        <f t="array" ref="G428">IFERROR(INDEX('Schwab Positions'!$I$8:$I$10000,SMALL(IF('Schwab Positions'!$E$8:$E$10000=$C$2,ROW('Schwab Positions'!$E$8:$E$10000)-7,""),ROWS($G$19:$G428))),"")</f>
        <v/>
      </c>
      <c r="H428" s="100" t="str">
        <f t="shared" si="16"/>
        <v/>
      </c>
      <c r="I428" s="37" t="str" cm="1">
        <f t="array" ref="I428">IFERROR(IF($D428="Bond",IFERROR(INDEX('Schwab Positions'!$J$8:$J$10000,SMALL(IF('Schwab Positions'!$E$8:$E$10000=$C$2,ROW('Schwab Positions'!$E$8:$E$10000)-7,""),ROWS($I$19:$I428))),""),$F428*$G428),"")</f>
        <v/>
      </c>
    </row>
    <row r="429" spans="4:9">
      <c r="D429" s="34" t="str">
        <f>IFERROR(VLOOKUP(B429,'Security Type'!$A$2:$C$1000,3,FALSE),"")</f>
        <v/>
      </c>
      <c r="E429" s="34" t="str">
        <f>IF(B429="","",IF(ISNUMBER(MATCH(B429,'2022 Port'!$D$6:$D$67,0)),VLOOKUP(B429,'Security Type'!$A$3:$D$1000,4,FALSE),"NOT IN PORT"))</f>
        <v/>
      </c>
      <c r="F429" t="str" cm="1">
        <f t="array" ref="F429">IFERROR(INDEX('Schwab Positions'!$D$8:$D$10000,SMALL(IF('Schwab Positions'!$E$8:$E$10000=$C$2,ROW('Schwab Positions'!$E$8:$E$10000)-7,""),ROWS($F$19:$F429))),"")</f>
        <v/>
      </c>
      <c r="G429" s="1" t="str" cm="1">
        <f t="array" ref="G429">IFERROR(INDEX('Schwab Positions'!$I$8:$I$10000,SMALL(IF('Schwab Positions'!$E$8:$E$10000=$C$2,ROW('Schwab Positions'!$E$8:$E$10000)-7,""),ROWS($G$19:$G429))),"")</f>
        <v/>
      </c>
      <c r="H429" s="100" t="str">
        <f t="shared" si="16"/>
        <v/>
      </c>
      <c r="I429" s="37" t="str" cm="1">
        <f t="array" ref="I429">IFERROR(IF($D429="Bond",IFERROR(INDEX('Schwab Positions'!$J$8:$J$10000,SMALL(IF('Schwab Positions'!$E$8:$E$10000=$C$2,ROW('Schwab Positions'!$E$8:$E$10000)-7,""),ROWS($I$19:$I429))),""),$F429*$G429),"")</f>
        <v/>
      </c>
    </row>
    <row r="430" spans="4:9">
      <c r="D430" s="34" t="str">
        <f>IFERROR(VLOOKUP(B430,'Security Type'!$A$2:$C$1000,3,FALSE),"")</f>
        <v/>
      </c>
      <c r="E430" s="34" t="str">
        <f>IF(B430="","",IF(ISNUMBER(MATCH(B430,'2022 Port'!$D$6:$D$67,0)),VLOOKUP(B430,'Security Type'!$A$3:$D$1000,4,FALSE),"NOT IN PORT"))</f>
        <v/>
      </c>
      <c r="F430" t="str" cm="1">
        <f t="array" ref="F430">IFERROR(INDEX('Schwab Positions'!$D$8:$D$10000,SMALL(IF('Schwab Positions'!$E$8:$E$10000=$C$2,ROW('Schwab Positions'!$E$8:$E$10000)-7,""),ROWS($F$19:$F430))),"")</f>
        <v/>
      </c>
      <c r="G430" s="1" t="str" cm="1">
        <f t="array" ref="G430">IFERROR(INDEX('Schwab Positions'!$I$8:$I$10000,SMALL(IF('Schwab Positions'!$E$8:$E$10000=$C$2,ROW('Schwab Positions'!$E$8:$E$10000)-7,""),ROWS($G$19:$G430))),"")</f>
        <v/>
      </c>
      <c r="H430" s="100" t="str">
        <f t="shared" si="16"/>
        <v/>
      </c>
      <c r="I430" s="37" t="str" cm="1">
        <f t="array" ref="I430">IFERROR(IF($D430="Bond",IFERROR(INDEX('Schwab Positions'!$J$8:$J$10000,SMALL(IF('Schwab Positions'!$E$8:$E$10000=$C$2,ROW('Schwab Positions'!$E$8:$E$10000)-7,""),ROWS($I$19:$I430))),""),$F430*$G430),"")</f>
        <v/>
      </c>
    </row>
    <row r="431" spans="4:9">
      <c r="D431" s="34" t="str">
        <f>IFERROR(VLOOKUP(B431,'Security Type'!$A$2:$C$1000,3,FALSE),"")</f>
        <v/>
      </c>
      <c r="E431" s="34" t="str">
        <f>IF(B431="","",IF(ISNUMBER(MATCH(B431,'2022 Port'!$D$6:$D$67,0)),VLOOKUP(B431,'Security Type'!$A$3:$D$1000,4,FALSE),"NOT IN PORT"))</f>
        <v/>
      </c>
      <c r="F431" t="str" cm="1">
        <f t="array" ref="F431">IFERROR(INDEX('Schwab Positions'!$D$8:$D$10000,SMALL(IF('Schwab Positions'!$E$8:$E$10000=$C$2,ROW('Schwab Positions'!$E$8:$E$10000)-7,""),ROWS($F$19:$F431))),"")</f>
        <v/>
      </c>
      <c r="G431" s="1" t="str" cm="1">
        <f t="array" ref="G431">IFERROR(INDEX('Schwab Positions'!$I$8:$I$10000,SMALL(IF('Schwab Positions'!$E$8:$E$10000=$C$2,ROW('Schwab Positions'!$E$8:$E$10000)-7,""),ROWS($G$19:$G431))),"")</f>
        <v/>
      </c>
      <c r="H431" s="100" t="str">
        <f t="shared" si="16"/>
        <v/>
      </c>
      <c r="I431" s="37" t="str" cm="1">
        <f t="array" ref="I431">IFERROR(IF($D431="Bond",IFERROR(INDEX('Schwab Positions'!$J$8:$J$10000,SMALL(IF('Schwab Positions'!$E$8:$E$10000=$C$2,ROW('Schwab Positions'!$E$8:$E$10000)-7,""),ROWS($I$19:$I431))),""),$F431*$G431),"")</f>
        <v/>
      </c>
    </row>
    <row r="432" spans="4:9">
      <c r="D432" s="34" t="str">
        <f>IFERROR(VLOOKUP(B432,'Security Type'!$A$2:$C$1000,3,FALSE),"")</f>
        <v/>
      </c>
      <c r="E432" s="34" t="str">
        <f>IF(B432="","",IF(ISNUMBER(MATCH(B432,'2022 Port'!$D$6:$D$67,0)),VLOOKUP(B432,'Security Type'!$A$3:$D$1000,4,FALSE),"NOT IN PORT"))</f>
        <v/>
      </c>
      <c r="F432" t="str" cm="1">
        <f t="array" ref="F432">IFERROR(INDEX('Schwab Positions'!$D$8:$D$10000,SMALL(IF('Schwab Positions'!$E$8:$E$10000=$C$2,ROW('Schwab Positions'!$E$8:$E$10000)-7,""),ROWS($F$19:$F432))),"")</f>
        <v/>
      </c>
      <c r="G432" s="1" t="str" cm="1">
        <f t="array" ref="G432">IFERROR(INDEX('Schwab Positions'!$I$8:$I$10000,SMALL(IF('Schwab Positions'!$E$8:$E$10000=$C$2,ROW('Schwab Positions'!$E$8:$E$10000)-7,""),ROWS($G$19:$G432))),"")</f>
        <v/>
      </c>
      <c r="H432" s="100" t="str">
        <f t="shared" si="16"/>
        <v/>
      </c>
      <c r="I432" s="37" t="str" cm="1">
        <f t="array" ref="I432">IFERROR(IF($D432="Bond",IFERROR(INDEX('Schwab Positions'!$J$8:$J$10000,SMALL(IF('Schwab Positions'!$E$8:$E$10000=$C$2,ROW('Schwab Positions'!$E$8:$E$10000)-7,""),ROWS($I$19:$I432))),""),$F432*$G432),"")</f>
        <v/>
      </c>
    </row>
    <row r="433" spans="4:9">
      <c r="D433" s="34" t="str">
        <f>IFERROR(VLOOKUP(B433,'Security Type'!$A$2:$C$1000,3,FALSE),"")</f>
        <v/>
      </c>
      <c r="E433" s="34" t="str">
        <f>IF(B433="","",IF(ISNUMBER(MATCH(B433,'2022 Port'!$D$6:$D$67,0)),VLOOKUP(B433,'Security Type'!$A$3:$D$1000,4,FALSE),"NOT IN PORT"))</f>
        <v/>
      </c>
      <c r="F433" t="str" cm="1">
        <f t="array" ref="F433">IFERROR(INDEX('Schwab Positions'!$D$8:$D$10000,SMALL(IF('Schwab Positions'!$E$8:$E$10000=$C$2,ROW('Schwab Positions'!$E$8:$E$10000)-7,""),ROWS($F$19:$F433))),"")</f>
        <v/>
      </c>
      <c r="G433" s="1" t="str" cm="1">
        <f t="array" ref="G433">IFERROR(INDEX('Schwab Positions'!$I$8:$I$10000,SMALL(IF('Schwab Positions'!$E$8:$E$10000=$C$2,ROW('Schwab Positions'!$E$8:$E$10000)-7,""),ROWS($G$19:$G433))),"")</f>
        <v/>
      </c>
      <c r="H433" s="100" t="str">
        <f t="shared" si="16"/>
        <v/>
      </c>
      <c r="I433" s="37" t="str" cm="1">
        <f t="array" ref="I433">IFERROR(IF($D433="Bond",IFERROR(INDEX('Schwab Positions'!$J$8:$J$10000,SMALL(IF('Schwab Positions'!$E$8:$E$10000=$C$2,ROW('Schwab Positions'!$E$8:$E$10000)-7,""),ROWS($I$19:$I433))),""),$F433*$G433),"")</f>
        <v/>
      </c>
    </row>
    <row r="434" spans="4:9">
      <c r="D434" s="34" t="str">
        <f>IFERROR(VLOOKUP(B434,'Security Type'!$A$2:$C$1000,3,FALSE),"")</f>
        <v/>
      </c>
      <c r="E434" s="34" t="str">
        <f>IF(B434="","",IF(ISNUMBER(MATCH(B434,'2022 Port'!$D$6:$D$67,0)),VLOOKUP(B434,'Security Type'!$A$3:$D$1000,4,FALSE),"NOT IN PORT"))</f>
        <v/>
      </c>
      <c r="F434" t="str" cm="1">
        <f t="array" ref="F434">IFERROR(INDEX('Schwab Positions'!$D$8:$D$10000,SMALL(IF('Schwab Positions'!$E$8:$E$10000=$C$2,ROW('Schwab Positions'!$E$8:$E$10000)-7,""),ROWS($F$19:$F434))),"")</f>
        <v/>
      </c>
      <c r="G434" s="1" t="str" cm="1">
        <f t="array" ref="G434">IFERROR(INDEX('Schwab Positions'!$I$8:$I$10000,SMALL(IF('Schwab Positions'!$E$8:$E$10000=$C$2,ROW('Schwab Positions'!$E$8:$E$10000)-7,""),ROWS($G$19:$G434))),"")</f>
        <v/>
      </c>
      <c r="H434" s="100" t="str">
        <f t="shared" si="16"/>
        <v/>
      </c>
      <c r="I434" s="37" t="str" cm="1">
        <f t="array" ref="I434">IFERROR(IF($D434="Bond",IFERROR(INDEX('Schwab Positions'!$J$8:$J$10000,SMALL(IF('Schwab Positions'!$E$8:$E$10000=$C$2,ROW('Schwab Positions'!$E$8:$E$10000)-7,""),ROWS($I$19:$I434))),""),$F434*$G434),"")</f>
        <v/>
      </c>
    </row>
    <row r="435" spans="4:9">
      <c r="D435" s="34" t="str">
        <f>IFERROR(VLOOKUP(B435,'Security Type'!$A$2:$C$1000,3,FALSE),"")</f>
        <v/>
      </c>
      <c r="E435" s="34" t="str">
        <f>IF(B435="","",IF(ISNUMBER(MATCH(B435,'2022 Port'!$D$6:$D$67,0)),VLOOKUP(B435,'Security Type'!$A$3:$D$1000,4,FALSE),"NOT IN PORT"))</f>
        <v/>
      </c>
      <c r="F435" t="str" cm="1">
        <f t="array" ref="F435">IFERROR(INDEX('Schwab Positions'!$D$8:$D$10000,SMALL(IF('Schwab Positions'!$E$8:$E$10000=$C$2,ROW('Schwab Positions'!$E$8:$E$10000)-7,""),ROWS($F$19:$F435))),"")</f>
        <v/>
      </c>
      <c r="G435" s="1" t="str" cm="1">
        <f t="array" ref="G435">IFERROR(INDEX('Schwab Positions'!$I$8:$I$10000,SMALL(IF('Schwab Positions'!$E$8:$E$10000=$C$2,ROW('Schwab Positions'!$E$8:$E$10000)-7,""),ROWS($G$19:$G435))),"")</f>
        <v/>
      </c>
      <c r="H435" s="100" t="str">
        <f t="shared" si="16"/>
        <v/>
      </c>
      <c r="I435" s="37" t="str" cm="1">
        <f t="array" ref="I435">IFERROR(IF($D435="Bond",IFERROR(INDEX('Schwab Positions'!$J$8:$J$10000,SMALL(IF('Schwab Positions'!$E$8:$E$10000=$C$2,ROW('Schwab Positions'!$E$8:$E$10000)-7,""),ROWS($I$19:$I435))),""),$F435*$G435),"")</f>
        <v/>
      </c>
    </row>
    <row r="436" spans="4:9">
      <c r="D436" s="34" t="str">
        <f>IFERROR(VLOOKUP(B436,'Security Type'!$A$2:$C$1000,3,FALSE),"")</f>
        <v/>
      </c>
      <c r="E436" s="34" t="str">
        <f>IF(B436="","",IF(ISNUMBER(MATCH(B436,'2022 Port'!$D$6:$D$67,0)),VLOOKUP(B436,'Security Type'!$A$3:$D$1000,4,FALSE),"NOT IN PORT"))</f>
        <v/>
      </c>
      <c r="F436" t="str" cm="1">
        <f t="array" ref="F436">IFERROR(INDEX('Schwab Positions'!$D$8:$D$10000,SMALL(IF('Schwab Positions'!$E$8:$E$10000=$C$2,ROW('Schwab Positions'!$E$8:$E$10000)-7,""),ROWS($F$19:$F436))),"")</f>
        <v/>
      </c>
      <c r="G436" s="1" t="str" cm="1">
        <f t="array" ref="G436">IFERROR(INDEX('Schwab Positions'!$I$8:$I$10000,SMALL(IF('Schwab Positions'!$E$8:$E$10000=$C$2,ROW('Schwab Positions'!$E$8:$E$10000)-7,""),ROWS($G$19:$G436))),"")</f>
        <v/>
      </c>
      <c r="H436" s="100" t="str">
        <f t="shared" si="16"/>
        <v/>
      </c>
      <c r="I436" s="37" t="str" cm="1">
        <f t="array" ref="I436">IFERROR(IF($D436="Bond",IFERROR(INDEX('Schwab Positions'!$J$8:$J$10000,SMALL(IF('Schwab Positions'!$E$8:$E$10000=$C$2,ROW('Schwab Positions'!$E$8:$E$10000)-7,""),ROWS($I$19:$I436))),""),$F436*$G436),"")</f>
        <v/>
      </c>
    </row>
    <row r="437" spans="4:9">
      <c r="D437" s="34" t="str">
        <f>IFERROR(VLOOKUP(B437,'Security Type'!$A$2:$C$1000,3,FALSE),"")</f>
        <v/>
      </c>
      <c r="E437" s="34" t="str">
        <f>IF(B437="","",IF(ISNUMBER(MATCH(B437,'2022 Port'!$D$6:$D$67,0)),VLOOKUP(B437,'Security Type'!$A$3:$D$1000,4,FALSE),"NOT IN PORT"))</f>
        <v/>
      </c>
      <c r="F437" t="str" cm="1">
        <f t="array" ref="F437">IFERROR(INDEX('Schwab Positions'!$D$8:$D$10000,SMALL(IF('Schwab Positions'!$E$8:$E$10000=$C$2,ROW('Schwab Positions'!$E$8:$E$10000)-7,""),ROWS($F$19:$F437))),"")</f>
        <v/>
      </c>
      <c r="G437" s="1" t="str" cm="1">
        <f t="array" ref="G437">IFERROR(INDEX('Schwab Positions'!$I$8:$I$10000,SMALL(IF('Schwab Positions'!$E$8:$E$10000=$C$2,ROW('Schwab Positions'!$E$8:$E$10000)-7,""),ROWS($G$19:$G437))),"")</f>
        <v/>
      </c>
      <c r="H437" s="100" t="str">
        <f t="shared" si="16"/>
        <v/>
      </c>
      <c r="I437" s="37" t="str" cm="1">
        <f t="array" ref="I437">IFERROR(IF($D437="Bond",IFERROR(INDEX('Schwab Positions'!$J$8:$J$10000,SMALL(IF('Schwab Positions'!$E$8:$E$10000=$C$2,ROW('Schwab Positions'!$E$8:$E$10000)-7,""),ROWS($I$19:$I437))),""),$F437*$G437),"")</f>
        <v/>
      </c>
    </row>
    <row r="438" spans="4:9">
      <c r="D438" s="34" t="str">
        <f>IFERROR(VLOOKUP(B438,'Security Type'!$A$2:$C$1000,3,FALSE),"")</f>
        <v/>
      </c>
      <c r="E438" s="34" t="str">
        <f>IF(B438="","",IF(ISNUMBER(MATCH(B438,'2022 Port'!$D$6:$D$67,0)),VLOOKUP(B438,'Security Type'!$A$3:$D$1000,4,FALSE),"NOT IN PORT"))</f>
        <v/>
      </c>
      <c r="F438" t="str" cm="1">
        <f t="array" ref="F438">IFERROR(INDEX('Schwab Positions'!$D$8:$D$10000,SMALL(IF('Schwab Positions'!$E$8:$E$10000=$C$2,ROW('Schwab Positions'!$E$8:$E$10000)-7,""),ROWS($F$19:$F438))),"")</f>
        <v/>
      </c>
      <c r="G438" s="1" t="str" cm="1">
        <f t="array" ref="G438">IFERROR(INDEX('Schwab Positions'!$I$8:$I$10000,SMALL(IF('Schwab Positions'!$E$8:$E$10000=$C$2,ROW('Schwab Positions'!$E$8:$E$10000)-7,""),ROWS($G$19:$G438))),"")</f>
        <v/>
      </c>
      <c r="H438" s="100" t="str">
        <f t="shared" si="16"/>
        <v/>
      </c>
      <c r="I438" s="37" t="str" cm="1">
        <f t="array" ref="I438">IFERROR(IF($D438="Bond",IFERROR(INDEX('Schwab Positions'!$J$8:$J$10000,SMALL(IF('Schwab Positions'!$E$8:$E$10000=$C$2,ROW('Schwab Positions'!$E$8:$E$10000)-7,""),ROWS($I$19:$I438))),""),$F438*$G438),"")</f>
        <v/>
      </c>
    </row>
    <row r="439" spans="4:9">
      <c r="D439" s="34" t="str">
        <f>IFERROR(VLOOKUP(B439,'Security Type'!$A$2:$C$1000,3,FALSE),"")</f>
        <v/>
      </c>
      <c r="E439" s="34" t="str">
        <f>IF(B439="","",IF(ISNUMBER(MATCH(B439,'2022 Port'!$D$6:$D$67,0)),VLOOKUP(B439,'Security Type'!$A$3:$D$1000,4,FALSE),"NOT IN PORT"))</f>
        <v/>
      </c>
      <c r="F439" t="str" cm="1">
        <f t="array" ref="F439">IFERROR(INDEX('Schwab Positions'!$D$8:$D$10000,SMALL(IF('Schwab Positions'!$E$8:$E$10000=$C$2,ROW('Schwab Positions'!$E$8:$E$10000)-7,""),ROWS($F$19:$F439))),"")</f>
        <v/>
      </c>
      <c r="G439" s="1" t="str" cm="1">
        <f t="array" ref="G439">IFERROR(INDEX('Schwab Positions'!$I$8:$I$10000,SMALL(IF('Schwab Positions'!$E$8:$E$10000=$C$2,ROW('Schwab Positions'!$E$8:$E$10000)-7,""),ROWS($G$19:$G439))),"")</f>
        <v/>
      </c>
      <c r="H439" s="100" t="str">
        <f t="shared" si="16"/>
        <v/>
      </c>
      <c r="I439" s="37" t="str" cm="1">
        <f t="array" ref="I439">IFERROR(IF($D439="Bond",IFERROR(INDEX('Schwab Positions'!$J$8:$J$10000,SMALL(IF('Schwab Positions'!$E$8:$E$10000=$C$2,ROW('Schwab Positions'!$E$8:$E$10000)-7,""),ROWS($I$19:$I439))),""),$F439*$G439),"")</f>
        <v/>
      </c>
    </row>
    <row r="440" spans="4:9">
      <c r="D440" s="34" t="str">
        <f>IFERROR(VLOOKUP(B440,'Security Type'!$A$2:$C$1000,3,FALSE),"")</f>
        <v/>
      </c>
      <c r="E440" s="34" t="str">
        <f>IF(B440="","",IF(ISNUMBER(MATCH(B440,'2022 Port'!$D$6:$D$67,0)),VLOOKUP(B440,'Security Type'!$A$3:$D$1000,4,FALSE),"NOT IN PORT"))</f>
        <v/>
      </c>
      <c r="F440" t="str" cm="1">
        <f t="array" ref="F440">IFERROR(INDEX('Schwab Positions'!$D$8:$D$10000,SMALL(IF('Schwab Positions'!$E$8:$E$10000=$C$2,ROW('Schwab Positions'!$E$8:$E$10000)-7,""),ROWS($F$19:$F440))),"")</f>
        <v/>
      </c>
      <c r="G440" s="1" t="str" cm="1">
        <f t="array" ref="G440">IFERROR(INDEX('Schwab Positions'!$I$8:$I$10000,SMALL(IF('Schwab Positions'!$E$8:$E$10000=$C$2,ROW('Schwab Positions'!$E$8:$E$10000)-7,""),ROWS($G$19:$G440))),"")</f>
        <v/>
      </c>
      <c r="H440" s="100" t="str">
        <f t="shared" si="16"/>
        <v/>
      </c>
      <c r="I440" s="37" t="str" cm="1">
        <f t="array" ref="I440">IFERROR(IF($D440="Bond",IFERROR(INDEX('Schwab Positions'!$J$8:$J$10000,SMALL(IF('Schwab Positions'!$E$8:$E$10000=$C$2,ROW('Schwab Positions'!$E$8:$E$10000)-7,""),ROWS($I$19:$I440))),""),$F440*$G440),"")</f>
        <v/>
      </c>
    </row>
    <row r="441" spans="4:9">
      <c r="D441" s="34" t="str">
        <f>IFERROR(VLOOKUP(B441,'Security Type'!$A$2:$C$1000,3,FALSE),"")</f>
        <v/>
      </c>
      <c r="E441" s="34" t="str">
        <f>IF(B441="","",IF(ISNUMBER(MATCH(B441,'2022 Port'!$D$6:$D$67,0)),VLOOKUP(B441,'Security Type'!$A$3:$D$1000,4,FALSE),"NOT IN PORT"))</f>
        <v/>
      </c>
      <c r="F441" t="str" cm="1">
        <f t="array" ref="F441">IFERROR(INDEX('Schwab Positions'!$D$8:$D$10000,SMALL(IF('Schwab Positions'!$E$8:$E$10000=$C$2,ROW('Schwab Positions'!$E$8:$E$10000)-7,""),ROWS($F$19:$F441))),"")</f>
        <v/>
      </c>
      <c r="G441" s="1" t="str" cm="1">
        <f t="array" ref="G441">IFERROR(INDEX('Schwab Positions'!$I$8:$I$10000,SMALL(IF('Schwab Positions'!$E$8:$E$10000=$C$2,ROW('Schwab Positions'!$E$8:$E$10000)-7,""),ROWS($G$19:$G441))),"")</f>
        <v/>
      </c>
      <c r="H441" s="100" t="str">
        <f t="shared" si="16"/>
        <v/>
      </c>
      <c r="I441" s="37" t="str" cm="1">
        <f t="array" ref="I441">IFERROR(IF($D441="Bond",IFERROR(INDEX('Schwab Positions'!$J$8:$J$10000,SMALL(IF('Schwab Positions'!$E$8:$E$10000=$C$2,ROW('Schwab Positions'!$E$8:$E$10000)-7,""),ROWS($I$19:$I441))),""),$F441*$G441),"")</f>
        <v/>
      </c>
    </row>
    <row r="442" spans="4:9">
      <c r="D442" s="34" t="str">
        <f>IFERROR(VLOOKUP(B442,'Security Type'!$A$2:$C$1000,3,FALSE),"")</f>
        <v/>
      </c>
      <c r="E442" s="34" t="str">
        <f>IF(B442="","",IF(ISNUMBER(MATCH(B442,'2022 Port'!$D$6:$D$67,0)),VLOOKUP(B442,'Security Type'!$A$3:$D$1000,4,FALSE),"NOT IN PORT"))</f>
        <v/>
      </c>
      <c r="F442" t="str" cm="1">
        <f t="array" ref="F442">IFERROR(INDEX('Schwab Positions'!$D$8:$D$10000,SMALL(IF('Schwab Positions'!$E$8:$E$10000=$C$2,ROW('Schwab Positions'!$E$8:$E$10000)-7,""),ROWS($F$19:$F442))),"")</f>
        <v/>
      </c>
      <c r="G442" s="1" t="str" cm="1">
        <f t="array" ref="G442">IFERROR(INDEX('Schwab Positions'!$I$8:$I$10000,SMALL(IF('Schwab Positions'!$E$8:$E$10000=$C$2,ROW('Schwab Positions'!$E$8:$E$10000)-7,""),ROWS($G$19:$G442))),"")</f>
        <v/>
      </c>
      <c r="H442" s="100" t="str">
        <f t="shared" si="16"/>
        <v/>
      </c>
      <c r="I442" s="37" t="str" cm="1">
        <f t="array" ref="I442">IFERROR(IF($D442="Bond",IFERROR(INDEX('Schwab Positions'!$J$8:$J$10000,SMALL(IF('Schwab Positions'!$E$8:$E$10000=$C$2,ROW('Schwab Positions'!$E$8:$E$10000)-7,""),ROWS($I$19:$I442))),""),$F442*$G442),"")</f>
        <v/>
      </c>
    </row>
    <row r="443" spans="4:9">
      <c r="D443" s="34" t="str">
        <f>IFERROR(VLOOKUP(B443,'Security Type'!$A$2:$C$1000,3,FALSE),"")</f>
        <v/>
      </c>
      <c r="E443" s="34" t="str">
        <f>IF(B443="","",IF(ISNUMBER(MATCH(B443,'2022 Port'!$D$6:$D$67,0)),VLOOKUP(B443,'Security Type'!$A$3:$D$1000,4,FALSE),"NOT IN PORT"))</f>
        <v/>
      </c>
      <c r="F443" t="str" cm="1">
        <f t="array" ref="F443">IFERROR(INDEX('Schwab Positions'!$D$8:$D$10000,SMALL(IF('Schwab Positions'!$E$8:$E$10000=$C$2,ROW('Schwab Positions'!$E$8:$E$10000)-7,""),ROWS($F$19:$F443))),"")</f>
        <v/>
      </c>
      <c r="G443" s="1" t="str" cm="1">
        <f t="array" ref="G443">IFERROR(INDEX('Schwab Positions'!$I$8:$I$10000,SMALL(IF('Schwab Positions'!$E$8:$E$10000=$C$2,ROW('Schwab Positions'!$E$8:$E$10000)-7,""),ROWS($G$19:$G443))),"")</f>
        <v/>
      </c>
      <c r="H443" s="100" t="str">
        <f t="shared" si="16"/>
        <v/>
      </c>
      <c r="I443" s="37" t="str" cm="1">
        <f t="array" ref="I443">IFERROR(IF($D443="Bond",IFERROR(INDEX('Schwab Positions'!$J$8:$J$10000,SMALL(IF('Schwab Positions'!$E$8:$E$10000=$C$2,ROW('Schwab Positions'!$E$8:$E$10000)-7,""),ROWS($I$19:$I443))),""),$F443*$G443),"")</f>
        <v/>
      </c>
    </row>
    <row r="444" spans="4:9">
      <c r="D444" s="34" t="str">
        <f>IFERROR(VLOOKUP(B444,'Security Type'!$A$2:$C$1000,3,FALSE),"")</f>
        <v/>
      </c>
      <c r="E444" s="34" t="str">
        <f>IF(B444="","",IF(ISNUMBER(MATCH(B444,'2022 Port'!$D$6:$D$67,0)),VLOOKUP(B444,'Security Type'!$A$3:$D$1000,4,FALSE),"NOT IN PORT"))</f>
        <v/>
      </c>
      <c r="F444" t="str" cm="1">
        <f t="array" ref="F444">IFERROR(INDEX('Schwab Positions'!$D$8:$D$10000,SMALL(IF('Schwab Positions'!$E$8:$E$10000=$C$2,ROW('Schwab Positions'!$E$8:$E$10000)-7,""),ROWS($F$19:$F444))),"")</f>
        <v/>
      </c>
      <c r="G444" s="1" t="str" cm="1">
        <f t="array" ref="G444">IFERROR(INDEX('Schwab Positions'!$I$8:$I$10000,SMALL(IF('Schwab Positions'!$E$8:$E$10000=$C$2,ROW('Schwab Positions'!$E$8:$E$10000)-7,""),ROWS($G$19:$G444))),"")</f>
        <v/>
      </c>
      <c r="H444" s="100" t="str">
        <f t="shared" si="16"/>
        <v/>
      </c>
      <c r="I444" s="37" t="str" cm="1">
        <f t="array" ref="I444">IFERROR(IF($D444="Bond",IFERROR(INDEX('Schwab Positions'!$J$8:$J$10000,SMALL(IF('Schwab Positions'!$E$8:$E$10000=$C$2,ROW('Schwab Positions'!$E$8:$E$10000)-7,""),ROWS($I$19:$I444))),""),$F444*$G444),"")</f>
        <v/>
      </c>
    </row>
    <row r="445" spans="4:9">
      <c r="D445" s="34" t="str">
        <f>IFERROR(VLOOKUP(B445,'Security Type'!$A$2:$C$1000,3,FALSE),"")</f>
        <v/>
      </c>
      <c r="E445" s="34" t="str">
        <f>IF(B445="","",IF(ISNUMBER(MATCH(B445,'2022 Port'!$D$6:$D$67,0)),VLOOKUP(B445,'Security Type'!$A$3:$D$1000,4,FALSE),"NOT IN PORT"))</f>
        <v/>
      </c>
      <c r="F445" t="str" cm="1">
        <f t="array" ref="F445">IFERROR(INDEX('Schwab Positions'!$D$8:$D$10000,SMALL(IF('Schwab Positions'!$E$8:$E$10000=$C$2,ROW('Schwab Positions'!$E$8:$E$10000)-7,""),ROWS($F$19:$F445))),"")</f>
        <v/>
      </c>
      <c r="G445" s="1" t="str" cm="1">
        <f t="array" ref="G445">IFERROR(INDEX('Schwab Positions'!$I$8:$I$10000,SMALL(IF('Schwab Positions'!$E$8:$E$10000=$C$2,ROW('Schwab Positions'!$E$8:$E$10000)-7,""),ROWS($G$19:$G445))),"")</f>
        <v/>
      </c>
      <c r="H445" s="100" t="str">
        <f t="shared" si="16"/>
        <v/>
      </c>
      <c r="I445" s="37" t="str" cm="1">
        <f t="array" ref="I445">IFERROR(IF($D445="Bond",IFERROR(INDEX('Schwab Positions'!$J$8:$J$10000,SMALL(IF('Schwab Positions'!$E$8:$E$10000=$C$2,ROW('Schwab Positions'!$E$8:$E$10000)-7,""),ROWS($I$19:$I445))),""),$F445*$G445),"")</f>
        <v/>
      </c>
    </row>
    <row r="446" spans="4:9">
      <c r="D446" s="34" t="str">
        <f>IFERROR(VLOOKUP(B446,'Security Type'!$A$2:$C$1000,3,FALSE),"")</f>
        <v/>
      </c>
      <c r="E446" s="34" t="str">
        <f>IF(B446="","",IF(ISNUMBER(MATCH(B446,'2022 Port'!$D$6:$D$67,0)),VLOOKUP(B446,'Security Type'!$A$3:$D$1000,4,FALSE),"NOT IN PORT"))</f>
        <v/>
      </c>
      <c r="F446" t="str" cm="1">
        <f t="array" ref="F446">IFERROR(INDEX('Schwab Positions'!$D$8:$D$10000,SMALL(IF('Schwab Positions'!$E$8:$E$10000=$C$2,ROW('Schwab Positions'!$E$8:$E$10000)-7,""),ROWS($F$19:$F446))),"")</f>
        <v/>
      </c>
      <c r="G446" s="1" t="str" cm="1">
        <f t="array" ref="G446">IFERROR(INDEX('Schwab Positions'!$I$8:$I$10000,SMALL(IF('Schwab Positions'!$E$8:$E$10000=$C$2,ROW('Schwab Positions'!$E$8:$E$10000)-7,""),ROWS($G$19:$G446))),"")</f>
        <v/>
      </c>
      <c r="H446" s="100" t="str">
        <f t="shared" si="16"/>
        <v/>
      </c>
      <c r="I446" s="37" t="str" cm="1">
        <f t="array" ref="I446">IFERROR(IF($D446="Bond",IFERROR(INDEX('Schwab Positions'!$J$8:$J$10000,SMALL(IF('Schwab Positions'!$E$8:$E$10000=$C$2,ROW('Schwab Positions'!$E$8:$E$10000)-7,""),ROWS($I$19:$I446))),""),$F446*$G446),"")</f>
        <v/>
      </c>
    </row>
    <row r="447" spans="4:9">
      <c r="D447" s="34" t="str">
        <f>IFERROR(VLOOKUP(B447,'Security Type'!$A$2:$C$1000,3,FALSE),"")</f>
        <v/>
      </c>
      <c r="E447" s="34" t="str">
        <f>IF(B447="","",IF(ISNUMBER(MATCH(B447,'2022 Port'!$D$6:$D$67,0)),VLOOKUP(B447,'Security Type'!$A$3:$D$1000,4,FALSE),"NOT IN PORT"))</f>
        <v/>
      </c>
      <c r="F447" t="str" cm="1">
        <f t="array" ref="F447">IFERROR(INDEX('Schwab Positions'!$D$8:$D$10000,SMALL(IF('Schwab Positions'!$E$8:$E$10000=$C$2,ROW('Schwab Positions'!$E$8:$E$10000)-7,""),ROWS($F$19:$F447))),"")</f>
        <v/>
      </c>
      <c r="G447" s="1" t="str" cm="1">
        <f t="array" ref="G447">IFERROR(INDEX('Schwab Positions'!$I$8:$I$10000,SMALL(IF('Schwab Positions'!$E$8:$E$10000=$C$2,ROW('Schwab Positions'!$E$8:$E$10000)-7,""),ROWS($G$19:$G447))),"")</f>
        <v/>
      </c>
      <c r="H447" s="100" t="str">
        <f t="shared" si="16"/>
        <v/>
      </c>
      <c r="I447" s="37" t="str" cm="1">
        <f t="array" ref="I447">IFERROR(IF($D447="Bond",IFERROR(INDEX('Schwab Positions'!$J$8:$J$10000,SMALL(IF('Schwab Positions'!$E$8:$E$10000=$C$2,ROW('Schwab Positions'!$E$8:$E$10000)-7,""),ROWS($I$19:$I447))),""),$F447*$G447),"")</f>
        <v/>
      </c>
    </row>
    <row r="448" spans="4:9">
      <c r="D448" s="34" t="str">
        <f>IFERROR(VLOOKUP(B448,'Security Type'!$A$2:$C$1000,3,FALSE),"")</f>
        <v/>
      </c>
      <c r="E448" s="34" t="str">
        <f>IF(B448="","",IF(ISNUMBER(MATCH(B448,'2022 Port'!$D$6:$D$67,0)),VLOOKUP(B448,'Security Type'!$A$3:$D$1000,4,FALSE),"NOT IN PORT"))</f>
        <v/>
      </c>
      <c r="F448" t="str" cm="1">
        <f t="array" ref="F448">IFERROR(INDEX('Schwab Positions'!$D$8:$D$10000,SMALL(IF('Schwab Positions'!$E$8:$E$10000=$C$2,ROW('Schwab Positions'!$E$8:$E$10000)-7,""),ROWS($F$19:$F448))),"")</f>
        <v/>
      </c>
      <c r="G448" s="1" t="str" cm="1">
        <f t="array" ref="G448">IFERROR(INDEX('Schwab Positions'!$I$8:$I$10000,SMALL(IF('Schwab Positions'!$E$8:$E$10000=$C$2,ROW('Schwab Positions'!$E$8:$E$10000)-7,""),ROWS($G$19:$G448))),"")</f>
        <v/>
      </c>
      <c r="H448" s="100" t="str">
        <f t="shared" si="16"/>
        <v/>
      </c>
      <c r="I448" s="37" t="str" cm="1">
        <f t="array" ref="I448">IFERROR(IF($D448="Bond",IFERROR(INDEX('Schwab Positions'!$J$8:$J$10000,SMALL(IF('Schwab Positions'!$E$8:$E$10000=$C$2,ROW('Schwab Positions'!$E$8:$E$10000)-7,""),ROWS($I$19:$I448))),""),$F448*$G448),"")</f>
        <v/>
      </c>
    </row>
    <row r="449" spans="4:9">
      <c r="D449" s="34" t="str">
        <f>IFERROR(VLOOKUP(B449,'Security Type'!$A$2:$C$1000,3,FALSE),"")</f>
        <v/>
      </c>
      <c r="E449" s="34" t="str">
        <f>IF(B449="","",IF(ISNUMBER(MATCH(B449,'2022 Port'!$D$6:$D$67,0)),VLOOKUP(B449,'Security Type'!$A$3:$D$1000,4,FALSE),"NOT IN PORT"))</f>
        <v/>
      </c>
      <c r="F449" t="str" cm="1">
        <f t="array" ref="F449">IFERROR(INDEX('Schwab Positions'!$D$8:$D$10000,SMALL(IF('Schwab Positions'!$E$8:$E$10000=$C$2,ROW('Schwab Positions'!$E$8:$E$10000)-7,""),ROWS($F$19:$F449))),"")</f>
        <v/>
      </c>
      <c r="G449" s="1" t="str" cm="1">
        <f t="array" ref="G449">IFERROR(INDEX('Schwab Positions'!$I$8:$I$10000,SMALL(IF('Schwab Positions'!$E$8:$E$10000=$C$2,ROW('Schwab Positions'!$E$8:$E$10000)-7,""),ROWS($G$19:$G449))),"")</f>
        <v/>
      </c>
      <c r="H449" s="100" t="str">
        <f t="shared" si="16"/>
        <v/>
      </c>
      <c r="I449" s="37" t="str" cm="1">
        <f t="array" ref="I449">IFERROR(IF($D449="Bond",IFERROR(INDEX('Schwab Positions'!$J$8:$J$10000,SMALL(IF('Schwab Positions'!$E$8:$E$10000=$C$2,ROW('Schwab Positions'!$E$8:$E$10000)-7,""),ROWS($I$19:$I449))),""),$F449*$G449),"")</f>
        <v/>
      </c>
    </row>
    <row r="450" spans="4:9">
      <c r="D450" s="34" t="str">
        <f>IFERROR(VLOOKUP(B450,'Security Type'!$A$2:$C$1000,3,FALSE),"")</f>
        <v/>
      </c>
      <c r="E450" s="34" t="str">
        <f>IF(B450="","",IF(ISNUMBER(MATCH(B450,'2022 Port'!$D$6:$D$67,0)),VLOOKUP(B450,'Security Type'!$A$3:$D$1000,4,FALSE),"NOT IN PORT"))</f>
        <v/>
      </c>
      <c r="F450" t="str" cm="1">
        <f t="array" ref="F450">IFERROR(INDEX('Schwab Positions'!$D$8:$D$10000,SMALL(IF('Schwab Positions'!$E$8:$E$10000=$C$2,ROW('Schwab Positions'!$E$8:$E$10000)-7,""),ROWS($F$19:$F450))),"")</f>
        <v/>
      </c>
      <c r="G450" s="1" t="str" cm="1">
        <f t="array" ref="G450">IFERROR(INDEX('Schwab Positions'!$I$8:$I$10000,SMALL(IF('Schwab Positions'!$E$8:$E$10000=$C$2,ROW('Schwab Positions'!$E$8:$E$10000)-7,""),ROWS($G$19:$G450))),"")</f>
        <v/>
      </c>
      <c r="H450" s="100" t="str">
        <f t="shared" si="16"/>
        <v/>
      </c>
      <c r="I450" s="37" t="str" cm="1">
        <f t="array" ref="I450">IFERROR(IF($D450="Bond",IFERROR(INDEX('Schwab Positions'!$J$8:$J$10000,SMALL(IF('Schwab Positions'!$E$8:$E$10000=$C$2,ROW('Schwab Positions'!$E$8:$E$10000)-7,""),ROWS($I$19:$I450))),""),$F450*$G450),"")</f>
        <v/>
      </c>
    </row>
    <row r="451" spans="4:9">
      <c r="D451" s="34" t="str">
        <f>IFERROR(VLOOKUP(B451,'Security Type'!$A$2:$C$1000,3,FALSE),"")</f>
        <v/>
      </c>
      <c r="E451" s="34" t="str">
        <f>IF(B451="","",IF(ISNUMBER(MATCH(B451,'2022 Port'!$D$6:$D$67,0)),VLOOKUP(B451,'Security Type'!$A$3:$D$1000,4,FALSE),"NOT IN PORT"))</f>
        <v/>
      </c>
      <c r="F451" t="str" cm="1">
        <f t="array" ref="F451">IFERROR(INDEX('Schwab Positions'!$D$8:$D$10000,SMALL(IF('Schwab Positions'!$E$8:$E$10000=$C$2,ROW('Schwab Positions'!$E$8:$E$10000)-7,""),ROWS($F$19:$F451))),"")</f>
        <v/>
      </c>
      <c r="G451" s="1" t="str" cm="1">
        <f t="array" ref="G451">IFERROR(INDEX('Schwab Positions'!$I$8:$I$10000,SMALL(IF('Schwab Positions'!$E$8:$E$10000=$C$2,ROW('Schwab Positions'!$E$8:$E$10000)-7,""),ROWS($G$19:$G451))),"")</f>
        <v/>
      </c>
      <c r="H451" s="100" t="str">
        <f t="shared" si="16"/>
        <v/>
      </c>
      <c r="I451" s="37" t="str" cm="1">
        <f t="array" ref="I451">IFERROR(IF($D451="Bond",IFERROR(INDEX('Schwab Positions'!$J$8:$J$10000,SMALL(IF('Schwab Positions'!$E$8:$E$10000=$C$2,ROW('Schwab Positions'!$E$8:$E$10000)-7,""),ROWS($I$19:$I451))),""),$F451*$G451),"")</f>
        <v/>
      </c>
    </row>
    <row r="452" spans="4:9">
      <c r="D452" s="34" t="str">
        <f>IFERROR(VLOOKUP(B452,'Security Type'!$A$2:$C$1000,3,FALSE),"")</f>
        <v/>
      </c>
      <c r="E452" s="34" t="str">
        <f>IF(B452="","",IF(ISNUMBER(MATCH(B452,'2022 Port'!$D$6:$D$67,0)),VLOOKUP(B452,'Security Type'!$A$3:$D$1000,4,FALSE),"NOT IN PORT"))</f>
        <v/>
      </c>
      <c r="F452" t="str" cm="1">
        <f t="array" ref="F452">IFERROR(INDEX('Schwab Positions'!$D$8:$D$10000,SMALL(IF('Schwab Positions'!$E$8:$E$10000=$C$2,ROW('Schwab Positions'!$E$8:$E$10000)-7,""),ROWS($F$19:$F452))),"")</f>
        <v/>
      </c>
      <c r="G452" s="1" t="str" cm="1">
        <f t="array" ref="G452">IFERROR(INDEX('Schwab Positions'!$I$8:$I$10000,SMALL(IF('Schwab Positions'!$E$8:$E$10000=$C$2,ROW('Schwab Positions'!$E$8:$E$10000)-7,""),ROWS($G$19:$G452))),"")</f>
        <v/>
      </c>
      <c r="H452" s="100" t="str">
        <f t="shared" si="16"/>
        <v/>
      </c>
      <c r="I452" s="37" t="str" cm="1">
        <f t="array" ref="I452">IFERROR(IF($D452="Bond",IFERROR(INDEX('Schwab Positions'!$J$8:$J$10000,SMALL(IF('Schwab Positions'!$E$8:$E$10000=$C$2,ROW('Schwab Positions'!$E$8:$E$10000)-7,""),ROWS($I$19:$I452))),""),$F452*$G452),"")</f>
        <v/>
      </c>
    </row>
    <row r="453" spans="4:9">
      <c r="D453" s="34" t="str">
        <f>IFERROR(VLOOKUP(B453,'Security Type'!$A$2:$C$1000,3,FALSE),"")</f>
        <v/>
      </c>
      <c r="E453" s="34" t="str">
        <f>IF(B453="","",IF(ISNUMBER(MATCH(B453,'2022 Port'!$D$6:$D$67,0)),VLOOKUP(B453,'Security Type'!$A$3:$D$1000,4,FALSE),"NOT IN PORT"))</f>
        <v/>
      </c>
      <c r="F453" t="str" cm="1">
        <f t="array" ref="F453">IFERROR(INDEX('Schwab Positions'!$D$8:$D$10000,SMALL(IF('Schwab Positions'!$E$8:$E$10000=$C$2,ROW('Schwab Positions'!$E$8:$E$10000)-7,""),ROWS($F$19:$F453))),"")</f>
        <v/>
      </c>
      <c r="G453" s="1" t="str" cm="1">
        <f t="array" ref="G453">IFERROR(INDEX('Schwab Positions'!$I$8:$I$10000,SMALL(IF('Schwab Positions'!$E$8:$E$10000=$C$2,ROW('Schwab Positions'!$E$8:$E$10000)-7,""),ROWS($G$19:$G453))),"")</f>
        <v/>
      </c>
      <c r="H453" s="100" t="str">
        <f t="shared" si="16"/>
        <v/>
      </c>
      <c r="I453" s="37" t="str" cm="1">
        <f t="array" ref="I453">IFERROR(IF($D453="Bond",IFERROR(INDEX('Schwab Positions'!$J$8:$J$10000,SMALL(IF('Schwab Positions'!$E$8:$E$10000=$C$2,ROW('Schwab Positions'!$E$8:$E$10000)-7,""),ROWS($I$19:$I453))),""),$F453*$G453),"")</f>
        <v/>
      </c>
    </row>
    <row r="454" spans="4:9">
      <c r="D454" s="34" t="str">
        <f>IFERROR(VLOOKUP(B454,'Security Type'!$A$2:$C$1000,3,FALSE),"")</f>
        <v/>
      </c>
      <c r="E454" s="34" t="str">
        <f>IF(B454="","",IF(ISNUMBER(MATCH(B454,'2022 Port'!$D$6:$D$67,0)),VLOOKUP(B454,'Security Type'!$A$3:$D$1000,4,FALSE),"NOT IN PORT"))</f>
        <v/>
      </c>
      <c r="F454" t="str" cm="1">
        <f t="array" ref="F454">IFERROR(INDEX('Schwab Positions'!$D$8:$D$10000,SMALL(IF('Schwab Positions'!$E$8:$E$10000=$C$2,ROW('Schwab Positions'!$E$8:$E$10000)-7,""),ROWS($F$19:$F454))),"")</f>
        <v/>
      </c>
      <c r="G454" s="1" t="str" cm="1">
        <f t="array" ref="G454">IFERROR(INDEX('Schwab Positions'!$I$8:$I$10000,SMALL(IF('Schwab Positions'!$E$8:$E$10000=$C$2,ROW('Schwab Positions'!$E$8:$E$10000)-7,""),ROWS($G$19:$G454))),"")</f>
        <v/>
      </c>
      <c r="H454" s="100" t="str">
        <f t="shared" si="16"/>
        <v/>
      </c>
      <c r="I454" s="37" t="str" cm="1">
        <f t="array" ref="I454">IFERROR(IF($D454="Bond",IFERROR(INDEX('Schwab Positions'!$J$8:$J$10000,SMALL(IF('Schwab Positions'!$E$8:$E$10000=$C$2,ROW('Schwab Positions'!$E$8:$E$10000)-7,""),ROWS($I$19:$I454))),""),$F454*$G454),"")</f>
        <v/>
      </c>
    </row>
    <row r="455" spans="4:9">
      <c r="D455" s="34" t="str">
        <f>IFERROR(VLOOKUP(B455,'Security Type'!$A$2:$C$1000,3,FALSE),"")</f>
        <v/>
      </c>
      <c r="E455" s="34" t="str">
        <f>IF(B455="","",IF(ISNUMBER(MATCH(B455,'2022 Port'!$D$6:$D$67,0)),VLOOKUP(B455,'Security Type'!$A$3:$D$1000,4,FALSE),"NOT IN PORT"))</f>
        <v/>
      </c>
      <c r="F455" t="str" cm="1">
        <f t="array" ref="F455">IFERROR(INDEX('Schwab Positions'!$D$8:$D$10000,SMALL(IF('Schwab Positions'!$E$8:$E$10000=$C$2,ROW('Schwab Positions'!$E$8:$E$10000)-7,""),ROWS($F$19:$F455))),"")</f>
        <v/>
      </c>
      <c r="G455" s="1" t="str" cm="1">
        <f t="array" ref="G455">IFERROR(INDEX('Schwab Positions'!$I$8:$I$10000,SMALL(IF('Schwab Positions'!$E$8:$E$10000=$C$2,ROW('Schwab Positions'!$E$8:$E$10000)-7,""),ROWS($G$19:$G455))),"")</f>
        <v/>
      </c>
      <c r="H455" s="100" t="str">
        <f t="shared" si="16"/>
        <v/>
      </c>
      <c r="I455" s="37" t="str" cm="1">
        <f t="array" ref="I455">IFERROR(IF($D455="Bond",IFERROR(INDEX('Schwab Positions'!$J$8:$J$10000,SMALL(IF('Schwab Positions'!$E$8:$E$10000=$C$2,ROW('Schwab Positions'!$E$8:$E$10000)-7,""),ROWS($I$19:$I455))),""),$F455*$G455),"")</f>
        <v/>
      </c>
    </row>
    <row r="456" spans="4:9">
      <c r="D456" s="34" t="str">
        <f>IFERROR(VLOOKUP(B456,'Security Type'!$A$2:$C$1000,3,FALSE),"")</f>
        <v/>
      </c>
      <c r="E456" s="34" t="str">
        <f>IF(B456="","",IF(ISNUMBER(MATCH(B456,'2022 Port'!$D$6:$D$67,0)),VLOOKUP(B456,'Security Type'!$A$3:$D$1000,4,FALSE),"NOT IN PORT"))</f>
        <v/>
      </c>
      <c r="F456" t="str" cm="1">
        <f t="array" ref="F456">IFERROR(INDEX('Schwab Positions'!$D$8:$D$10000,SMALL(IF('Schwab Positions'!$E$8:$E$10000=$C$2,ROW('Schwab Positions'!$E$8:$E$10000)-7,""),ROWS($F$19:$F456))),"")</f>
        <v/>
      </c>
      <c r="G456" s="1" t="str" cm="1">
        <f t="array" ref="G456">IFERROR(INDEX('Schwab Positions'!$I$8:$I$10000,SMALL(IF('Schwab Positions'!$E$8:$E$10000=$C$2,ROW('Schwab Positions'!$E$8:$E$10000)-7,""),ROWS($G$19:$G456))),"")</f>
        <v/>
      </c>
      <c r="H456" s="100" t="str">
        <f t="shared" si="16"/>
        <v/>
      </c>
      <c r="I456" s="37" t="str" cm="1">
        <f t="array" ref="I456">IFERROR(IF($D456="Bond",IFERROR(INDEX('Schwab Positions'!$J$8:$J$10000,SMALL(IF('Schwab Positions'!$E$8:$E$10000=$C$2,ROW('Schwab Positions'!$E$8:$E$10000)-7,""),ROWS($I$19:$I456))),""),$F456*$G456),"")</f>
        <v/>
      </c>
    </row>
    <row r="457" spans="4:9">
      <c r="D457" s="34" t="str">
        <f>IFERROR(VLOOKUP(B457,'Security Type'!$A$2:$C$1000,3,FALSE),"")</f>
        <v/>
      </c>
      <c r="E457" s="34" t="str">
        <f>IF(B457="","",IF(ISNUMBER(MATCH(B457,'2022 Port'!$D$6:$D$67,0)),VLOOKUP(B457,'Security Type'!$A$3:$D$1000,4,FALSE),"NOT IN PORT"))</f>
        <v/>
      </c>
      <c r="F457" t="str" cm="1">
        <f t="array" ref="F457">IFERROR(INDEX('Schwab Positions'!$D$8:$D$10000,SMALL(IF('Schwab Positions'!$E$8:$E$10000=$C$2,ROW('Schwab Positions'!$E$8:$E$10000)-7,""),ROWS($F$19:$F457))),"")</f>
        <v/>
      </c>
      <c r="G457" s="1" t="str" cm="1">
        <f t="array" ref="G457">IFERROR(INDEX('Schwab Positions'!$I$8:$I$10000,SMALL(IF('Schwab Positions'!$E$8:$E$10000=$C$2,ROW('Schwab Positions'!$E$8:$E$10000)-7,""),ROWS($G$19:$G457))),"")</f>
        <v/>
      </c>
      <c r="H457" s="100" t="str">
        <f t="shared" si="16"/>
        <v/>
      </c>
      <c r="I457" s="37" t="str" cm="1">
        <f t="array" ref="I457">IFERROR(IF($D457="Bond",IFERROR(INDEX('Schwab Positions'!$J$8:$J$10000,SMALL(IF('Schwab Positions'!$E$8:$E$10000=$C$2,ROW('Schwab Positions'!$E$8:$E$10000)-7,""),ROWS($I$19:$I457))),""),$F457*$G457),"")</f>
        <v/>
      </c>
    </row>
    <row r="458" spans="4:9">
      <c r="D458" s="34" t="str">
        <f>IFERROR(VLOOKUP(B458,'Security Type'!$A$2:$C$1000,3,FALSE),"")</f>
        <v/>
      </c>
      <c r="E458" s="34" t="str">
        <f>IF(B458="","",IF(ISNUMBER(MATCH(B458,'2022 Port'!$D$6:$D$67,0)),VLOOKUP(B458,'Security Type'!$A$3:$D$1000,4,FALSE),"NOT IN PORT"))</f>
        <v/>
      </c>
      <c r="F458" t="str" cm="1">
        <f t="array" ref="F458">IFERROR(INDEX('Schwab Positions'!$D$8:$D$10000,SMALL(IF('Schwab Positions'!$E$8:$E$10000=$C$2,ROW('Schwab Positions'!$E$8:$E$10000)-7,""),ROWS($F$19:$F458))),"")</f>
        <v/>
      </c>
      <c r="G458" s="1" t="str" cm="1">
        <f t="array" ref="G458">IFERROR(INDEX('Schwab Positions'!$I$8:$I$10000,SMALL(IF('Schwab Positions'!$E$8:$E$10000=$C$2,ROW('Schwab Positions'!$E$8:$E$10000)-7,""),ROWS($G$19:$G458))),"")</f>
        <v/>
      </c>
      <c r="H458" s="100" t="str">
        <f t="shared" si="16"/>
        <v/>
      </c>
      <c r="I458" s="37" t="str" cm="1">
        <f t="array" ref="I458">IFERROR(IF($D458="Bond",IFERROR(INDEX('Schwab Positions'!$J$8:$J$10000,SMALL(IF('Schwab Positions'!$E$8:$E$10000=$C$2,ROW('Schwab Positions'!$E$8:$E$10000)-7,""),ROWS($I$19:$I458))),""),$F458*$G458),"")</f>
        <v/>
      </c>
    </row>
    <row r="459" spans="4:9">
      <c r="D459" s="34" t="str">
        <f>IFERROR(VLOOKUP(B459,'Security Type'!$A$2:$C$1000,3,FALSE),"")</f>
        <v/>
      </c>
      <c r="E459" s="34" t="str">
        <f>IF(B459="","",IF(ISNUMBER(MATCH(B459,'2022 Port'!$D$6:$D$67,0)),VLOOKUP(B459,'Security Type'!$A$3:$D$1000,4,FALSE),"NOT IN PORT"))</f>
        <v/>
      </c>
      <c r="F459" t="str" cm="1">
        <f t="array" ref="F459">IFERROR(INDEX('Schwab Positions'!$D$8:$D$10000,SMALL(IF('Schwab Positions'!$E$8:$E$10000=$C$2,ROW('Schwab Positions'!$E$8:$E$10000)-7,""),ROWS($F$19:$F459))),"")</f>
        <v/>
      </c>
      <c r="G459" s="1" t="str" cm="1">
        <f t="array" ref="G459">IFERROR(INDEX('Schwab Positions'!$I$8:$I$10000,SMALL(IF('Schwab Positions'!$E$8:$E$10000=$C$2,ROW('Schwab Positions'!$E$8:$E$10000)-7,""),ROWS($G$19:$G459))),"")</f>
        <v/>
      </c>
      <c r="H459" s="100" t="str">
        <f t="shared" si="16"/>
        <v/>
      </c>
      <c r="I459" s="37" t="str" cm="1">
        <f t="array" ref="I459">IFERROR(IF($D459="Bond",IFERROR(INDEX('Schwab Positions'!$J$8:$J$10000,SMALL(IF('Schwab Positions'!$E$8:$E$10000=$C$2,ROW('Schwab Positions'!$E$8:$E$10000)-7,""),ROWS($I$19:$I459))),""),$F459*$G459),"")</f>
        <v/>
      </c>
    </row>
    <row r="460" spans="4:9">
      <c r="D460" s="34" t="str">
        <f>IFERROR(VLOOKUP(B460,'Security Type'!$A$2:$C$1000,3,FALSE),"")</f>
        <v/>
      </c>
      <c r="E460" s="34" t="str">
        <f>IF(B460="","",IF(ISNUMBER(MATCH(B460,'2022 Port'!$D$6:$D$67,0)),VLOOKUP(B460,'Security Type'!$A$3:$D$1000,4,FALSE),"NOT IN PORT"))</f>
        <v/>
      </c>
      <c r="F460" t="str" cm="1">
        <f t="array" ref="F460">IFERROR(INDEX('Schwab Positions'!$D$8:$D$10000,SMALL(IF('Schwab Positions'!$E$8:$E$10000=$C$2,ROW('Schwab Positions'!$E$8:$E$10000)-7,""),ROWS($F$19:$F460))),"")</f>
        <v/>
      </c>
      <c r="G460" s="1" t="str" cm="1">
        <f t="array" ref="G460">IFERROR(INDEX('Schwab Positions'!$I$8:$I$10000,SMALL(IF('Schwab Positions'!$E$8:$E$10000=$C$2,ROW('Schwab Positions'!$E$8:$E$10000)-7,""),ROWS($G$19:$G460))),"")</f>
        <v/>
      </c>
      <c r="H460" s="100" t="str">
        <f t="shared" si="16"/>
        <v/>
      </c>
      <c r="I460" s="37" t="str" cm="1">
        <f t="array" ref="I460">IFERROR(IF($D460="Bond",IFERROR(INDEX('Schwab Positions'!$J$8:$J$10000,SMALL(IF('Schwab Positions'!$E$8:$E$10000=$C$2,ROW('Schwab Positions'!$E$8:$E$10000)-7,""),ROWS($I$19:$I460))),""),$F460*$G460),"")</f>
        <v/>
      </c>
    </row>
    <row r="461" spans="4:9">
      <c r="D461" s="34" t="str">
        <f>IFERROR(VLOOKUP(B461,'Security Type'!$A$2:$C$1000,3,FALSE),"")</f>
        <v/>
      </c>
      <c r="E461" s="34" t="str">
        <f>IF(B461="","",IF(ISNUMBER(MATCH(B461,'2022 Port'!$D$6:$D$67,0)),VLOOKUP(B461,'Security Type'!$A$3:$D$1000,4,FALSE),"NOT IN PORT"))</f>
        <v/>
      </c>
      <c r="F461" t="str" cm="1">
        <f t="array" ref="F461">IFERROR(INDEX('Schwab Positions'!$D$8:$D$10000,SMALL(IF('Schwab Positions'!$E$8:$E$10000=$C$2,ROW('Schwab Positions'!$E$8:$E$10000)-7,""),ROWS($F$19:$F461))),"")</f>
        <v/>
      </c>
      <c r="G461" s="1" t="str" cm="1">
        <f t="array" ref="G461">IFERROR(INDEX('Schwab Positions'!$I$8:$I$10000,SMALL(IF('Schwab Positions'!$E$8:$E$10000=$C$2,ROW('Schwab Positions'!$E$8:$E$10000)-7,""),ROWS($G$19:$G461))),"")</f>
        <v/>
      </c>
      <c r="H461" s="100" t="str">
        <f t="shared" si="16"/>
        <v/>
      </c>
      <c r="I461" s="37" t="str" cm="1">
        <f t="array" ref="I461">IFERROR(IF($D461="Bond",IFERROR(INDEX('Schwab Positions'!$J$8:$J$10000,SMALL(IF('Schwab Positions'!$E$8:$E$10000=$C$2,ROW('Schwab Positions'!$E$8:$E$10000)-7,""),ROWS($I$19:$I461))),""),$F461*$G461),"")</f>
        <v/>
      </c>
    </row>
    <row r="462" spans="4:9">
      <c r="D462" s="34" t="str">
        <f>IFERROR(VLOOKUP(B462,'Security Type'!$A$2:$C$1000,3,FALSE),"")</f>
        <v/>
      </c>
      <c r="E462" s="34" t="str">
        <f>IF(B462="","",IF(ISNUMBER(MATCH(B462,'2022 Port'!$D$6:$D$67,0)),VLOOKUP(B462,'Security Type'!$A$3:$D$1000,4,FALSE),"NOT IN PORT"))</f>
        <v/>
      </c>
      <c r="F462" t="str" cm="1">
        <f t="array" ref="F462">IFERROR(INDEX('Schwab Positions'!$D$8:$D$10000,SMALL(IF('Schwab Positions'!$E$8:$E$10000=$C$2,ROW('Schwab Positions'!$E$8:$E$10000)-7,""),ROWS($F$19:$F462))),"")</f>
        <v/>
      </c>
      <c r="G462" s="1" t="str" cm="1">
        <f t="array" ref="G462">IFERROR(INDEX('Schwab Positions'!$I$8:$I$10000,SMALL(IF('Schwab Positions'!$E$8:$E$10000=$C$2,ROW('Schwab Positions'!$E$8:$E$10000)-7,""),ROWS($G$19:$G462))),"")</f>
        <v/>
      </c>
      <c r="H462" s="100" t="str">
        <f t="shared" si="16"/>
        <v/>
      </c>
      <c r="I462" s="37" t="str" cm="1">
        <f t="array" ref="I462">IFERROR(IF($D462="Bond",IFERROR(INDEX('Schwab Positions'!$J$8:$J$10000,SMALL(IF('Schwab Positions'!$E$8:$E$10000=$C$2,ROW('Schwab Positions'!$E$8:$E$10000)-7,""),ROWS($I$19:$I462))),""),$F462*$G462),"")</f>
        <v/>
      </c>
    </row>
    <row r="463" spans="4:9">
      <c r="D463" s="34" t="str">
        <f>IFERROR(VLOOKUP(B463,'Security Type'!$A$2:$C$1000,3,FALSE),"")</f>
        <v/>
      </c>
      <c r="E463" s="34" t="str">
        <f>IF(B463="","",IF(ISNUMBER(MATCH(B463,'2022 Port'!$D$6:$D$67,0)),VLOOKUP(B463,'Security Type'!$A$3:$D$1000,4,FALSE),"NOT IN PORT"))</f>
        <v/>
      </c>
      <c r="F463" t="str" cm="1">
        <f t="array" ref="F463">IFERROR(INDEX('Schwab Positions'!$D$8:$D$10000,SMALL(IF('Schwab Positions'!$E$8:$E$10000=$C$2,ROW('Schwab Positions'!$E$8:$E$10000)-7,""),ROWS($F$19:$F463))),"")</f>
        <v/>
      </c>
      <c r="G463" s="1" t="str" cm="1">
        <f t="array" ref="G463">IFERROR(INDEX('Schwab Positions'!$I$8:$I$10000,SMALL(IF('Schwab Positions'!$E$8:$E$10000=$C$2,ROW('Schwab Positions'!$E$8:$E$10000)-7,""),ROWS($G$19:$G463))),"")</f>
        <v/>
      </c>
      <c r="H463" s="100" t="str">
        <f t="shared" si="16"/>
        <v/>
      </c>
      <c r="I463" s="37" t="str" cm="1">
        <f t="array" ref="I463">IFERROR(IF($D463="Bond",IFERROR(INDEX('Schwab Positions'!$J$8:$J$10000,SMALL(IF('Schwab Positions'!$E$8:$E$10000=$C$2,ROW('Schwab Positions'!$E$8:$E$10000)-7,""),ROWS($I$19:$I463))),""),$F463*$G463),"")</f>
        <v/>
      </c>
    </row>
    <row r="464" spans="4:9">
      <c r="D464" s="34" t="str">
        <f>IFERROR(VLOOKUP(B464,'Security Type'!$A$2:$C$1000,3,FALSE),"")</f>
        <v/>
      </c>
      <c r="E464" s="34" t="str">
        <f>IF(B464="","",IF(ISNUMBER(MATCH(B464,'2022 Port'!$D$6:$D$67,0)),VLOOKUP(B464,'Security Type'!$A$3:$D$1000,4,FALSE),"NOT IN PORT"))</f>
        <v/>
      </c>
      <c r="F464" t="str" cm="1">
        <f t="array" ref="F464">IFERROR(INDEX('Schwab Positions'!$D$8:$D$10000,SMALL(IF('Schwab Positions'!$E$8:$E$10000=$C$2,ROW('Schwab Positions'!$E$8:$E$10000)-7,""),ROWS($F$19:$F464))),"")</f>
        <v/>
      </c>
      <c r="G464" s="1" t="str" cm="1">
        <f t="array" ref="G464">IFERROR(INDEX('Schwab Positions'!$I$8:$I$10000,SMALL(IF('Schwab Positions'!$E$8:$E$10000=$C$2,ROW('Schwab Positions'!$E$8:$E$10000)-7,""),ROWS($G$19:$G464))),"")</f>
        <v/>
      </c>
      <c r="H464" s="100" t="str">
        <f t="shared" si="16"/>
        <v/>
      </c>
      <c r="I464" s="37" t="str" cm="1">
        <f t="array" ref="I464">IFERROR(IF($D464="Bond",IFERROR(INDEX('Schwab Positions'!$J$8:$J$10000,SMALL(IF('Schwab Positions'!$E$8:$E$10000=$C$2,ROW('Schwab Positions'!$E$8:$E$10000)-7,""),ROWS($I$19:$I464))),""),$F464*$G464),"")</f>
        <v/>
      </c>
    </row>
    <row r="465" spans="4:9">
      <c r="D465" s="34" t="str">
        <f>IFERROR(VLOOKUP(B465,'Security Type'!$A$2:$C$1000,3,FALSE),"")</f>
        <v/>
      </c>
      <c r="E465" s="34" t="str">
        <f>IF(B465="","",IF(ISNUMBER(MATCH(B465,'2022 Port'!$D$6:$D$67,0)),VLOOKUP(B465,'Security Type'!$A$3:$D$1000,4,FALSE),"NOT IN PORT"))</f>
        <v/>
      </c>
      <c r="F465" t="str" cm="1">
        <f t="array" ref="F465">IFERROR(INDEX('Schwab Positions'!$D$8:$D$10000,SMALL(IF('Schwab Positions'!$E$8:$E$10000=$C$2,ROW('Schwab Positions'!$E$8:$E$10000)-7,""),ROWS($F$19:$F465))),"")</f>
        <v/>
      </c>
      <c r="G465" s="1" t="str" cm="1">
        <f t="array" ref="G465">IFERROR(INDEX('Schwab Positions'!$I$8:$I$10000,SMALL(IF('Schwab Positions'!$E$8:$E$10000=$C$2,ROW('Schwab Positions'!$E$8:$E$10000)-7,""),ROWS($G$19:$G465))),"")</f>
        <v/>
      </c>
      <c r="H465" s="100" t="str">
        <f t="shared" si="16"/>
        <v/>
      </c>
      <c r="I465" s="37" t="str" cm="1">
        <f t="array" ref="I465">IFERROR(IF($D465="Bond",IFERROR(INDEX('Schwab Positions'!$J$8:$J$10000,SMALL(IF('Schwab Positions'!$E$8:$E$10000=$C$2,ROW('Schwab Positions'!$E$8:$E$10000)-7,""),ROWS($I$19:$I465))),""),$F465*$G465),"")</f>
        <v/>
      </c>
    </row>
    <row r="466" spans="4:9">
      <c r="D466" s="34" t="str">
        <f>IFERROR(VLOOKUP(B466,'Security Type'!$A$2:$C$1000,3,FALSE),"")</f>
        <v/>
      </c>
      <c r="E466" s="34" t="str">
        <f>IF(B466="","",IF(ISNUMBER(MATCH(B466,'2022 Port'!$D$6:$D$67,0)),VLOOKUP(B466,'Security Type'!$A$3:$D$1000,4,FALSE),"NOT IN PORT"))</f>
        <v/>
      </c>
      <c r="F466" t="str" cm="1">
        <f t="array" ref="F466">IFERROR(INDEX('Schwab Positions'!$D$8:$D$10000,SMALL(IF('Schwab Positions'!$E$8:$E$10000=$C$2,ROW('Schwab Positions'!$E$8:$E$10000)-7,""),ROWS($F$19:$F466))),"")</f>
        <v/>
      </c>
      <c r="G466" s="1" t="str" cm="1">
        <f t="array" ref="G466">IFERROR(INDEX('Schwab Positions'!$I$8:$I$10000,SMALL(IF('Schwab Positions'!$E$8:$E$10000=$C$2,ROW('Schwab Positions'!$E$8:$E$10000)-7,""),ROWS($G$19:$G466))),"")</f>
        <v/>
      </c>
      <c r="H466" s="100" t="str">
        <f t="shared" si="16"/>
        <v/>
      </c>
      <c r="I466" s="37" t="str" cm="1">
        <f t="array" ref="I466">IFERROR(IF($D466="Bond",IFERROR(INDEX('Schwab Positions'!$J$8:$J$10000,SMALL(IF('Schwab Positions'!$E$8:$E$10000=$C$2,ROW('Schwab Positions'!$E$8:$E$10000)-7,""),ROWS($I$19:$I466))),""),$F466*$G466),"")</f>
        <v/>
      </c>
    </row>
    <row r="467" spans="4:9">
      <c r="D467" s="34" t="str">
        <f>IFERROR(VLOOKUP(B467,'Security Type'!$A$2:$C$1000,3,FALSE),"")</f>
        <v/>
      </c>
      <c r="E467" s="34" t="str">
        <f>IF(B467="","",IF(ISNUMBER(MATCH(B467,'2022 Port'!$D$6:$D$67,0)),VLOOKUP(B467,'Security Type'!$A$3:$D$1000,4,FALSE),"NOT IN PORT"))</f>
        <v/>
      </c>
      <c r="F467" t="str" cm="1">
        <f t="array" ref="F467">IFERROR(INDEX('Schwab Positions'!$D$8:$D$10000,SMALL(IF('Schwab Positions'!$E$8:$E$10000=$C$2,ROW('Schwab Positions'!$E$8:$E$10000)-7,""),ROWS($F$19:$F467))),"")</f>
        <v/>
      </c>
      <c r="G467" s="1" t="str" cm="1">
        <f t="array" ref="G467">IFERROR(INDEX('Schwab Positions'!$I$8:$I$10000,SMALL(IF('Schwab Positions'!$E$8:$E$10000=$C$2,ROW('Schwab Positions'!$E$8:$E$10000)-7,""),ROWS($G$19:$G467))),"")</f>
        <v/>
      </c>
      <c r="H467" s="100" t="str">
        <f t="shared" si="16"/>
        <v/>
      </c>
      <c r="I467" s="37" t="str" cm="1">
        <f t="array" ref="I467">IFERROR(IF($D467="Bond",IFERROR(INDEX('Schwab Positions'!$J$8:$J$10000,SMALL(IF('Schwab Positions'!$E$8:$E$10000=$C$2,ROW('Schwab Positions'!$E$8:$E$10000)-7,""),ROWS($I$19:$I467))),""),$F467*$G467),"")</f>
        <v/>
      </c>
    </row>
    <row r="468" spans="4:9">
      <c r="D468" s="34" t="str">
        <f>IFERROR(VLOOKUP(B468,'Security Type'!$A$2:$C$1000,3,FALSE),"")</f>
        <v/>
      </c>
      <c r="E468" s="34" t="str">
        <f>IF(B468="","",IF(ISNUMBER(MATCH(B468,'2022 Port'!$D$6:$D$67,0)),VLOOKUP(B468,'Security Type'!$A$3:$D$1000,4,FALSE),"NOT IN PORT"))</f>
        <v/>
      </c>
      <c r="F468" t="str" cm="1">
        <f t="array" ref="F468">IFERROR(INDEX('Schwab Positions'!$D$8:$D$10000,SMALL(IF('Schwab Positions'!$E$8:$E$10000=$C$2,ROW('Schwab Positions'!$E$8:$E$10000)-7,""),ROWS($F$19:$F468))),"")</f>
        <v/>
      </c>
      <c r="G468" s="1" t="str" cm="1">
        <f t="array" ref="G468">IFERROR(INDEX('Schwab Positions'!$I$8:$I$10000,SMALL(IF('Schwab Positions'!$E$8:$E$10000=$C$2,ROW('Schwab Positions'!$E$8:$E$10000)-7,""),ROWS($G$19:$G468))),"")</f>
        <v/>
      </c>
      <c r="H468" s="100" t="str">
        <f t="shared" ref="H468:H522" si="17">IFERROR(I468/$C$15,"")</f>
        <v/>
      </c>
      <c r="I468" s="37" t="str" cm="1">
        <f t="array" ref="I468">IFERROR(IF($D468="Bond",IFERROR(INDEX('Schwab Positions'!$J$8:$J$10000,SMALL(IF('Schwab Positions'!$E$8:$E$10000=$C$2,ROW('Schwab Positions'!$E$8:$E$10000)-7,""),ROWS($I$19:$I468))),""),$F468*$G468),"")</f>
        <v/>
      </c>
    </row>
    <row r="469" spans="4:9">
      <c r="D469" s="34" t="str">
        <f>IFERROR(VLOOKUP(B469,'Security Type'!$A$2:$C$1000,3,FALSE),"")</f>
        <v/>
      </c>
      <c r="E469" s="34" t="str">
        <f>IF(B469="","",IF(ISNUMBER(MATCH(B469,'2022 Port'!$D$6:$D$67,0)),VLOOKUP(B469,'Security Type'!$A$3:$D$1000,4,FALSE),"NOT IN PORT"))</f>
        <v/>
      </c>
      <c r="F469" t="str" cm="1">
        <f t="array" ref="F469">IFERROR(INDEX('Schwab Positions'!$D$8:$D$10000,SMALL(IF('Schwab Positions'!$E$8:$E$10000=$C$2,ROW('Schwab Positions'!$E$8:$E$10000)-7,""),ROWS($F$19:$F469))),"")</f>
        <v/>
      </c>
      <c r="G469" s="1" t="str" cm="1">
        <f t="array" ref="G469">IFERROR(INDEX('Schwab Positions'!$I$8:$I$10000,SMALL(IF('Schwab Positions'!$E$8:$E$10000=$C$2,ROW('Schwab Positions'!$E$8:$E$10000)-7,""),ROWS($G$19:$G469))),"")</f>
        <v/>
      </c>
      <c r="H469" s="100" t="str">
        <f t="shared" si="17"/>
        <v/>
      </c>
      <c r="I469" s="37" t="str" cm="1">
        <f t="array" ref="I469">IFERROR(IF($D469="Bond",IFERROR(INDEX('Schwab Positions'!$J$8:$J$10000,SMALL(IF('Schwab Positions'!$E$8:$E$10000=$C$2,ROW('Schwab Positions'!$E$8:$E$10000)-7,""),ROWS($I$19:$I469))),""),$F469*$G469),"")</f>
        <v/>
      </c>
    </row>
    <row r="470" spans="4:9">
      <c r="D470" s="34" t="str">
        <f>IFERROR(VLOOKUP(B470,'Security Type'!$A$2:$C$1000,3,FALSE),"")</f>
        <v/>
      </c>
      <c r="E470" s="34" t="str">
        <f>IF(B470="","",IF(ISNUMBER(MATCH(B470,'2022 Port'!$D$6:$D$67,0)),VLOOKUP(B470,'Security Type'!$A$3:$D$1000,4,FALSE),"NOT IN PORT"))</f>
        <v/>
      </c>
      <c r="F470" t="str" cm="1">
        <f t="array" ref="F470">IFERROR(INDEX('Schwab Positions'!$D$8:$D$10000,SMALL(IF('Schwab Positions'!$E$8:$E$10000=$C$2,ROW('Schwab Positions'!$E$8:$E$10000)-7,""),ROWS($F$19:$F470))),"")</f>
        <v/>
      </c>
      <c r="G470" s="1" t="str" cm="1">
        <f t="array" ref="G470">IFERROR(INDEX('Schwab Positions'!$I$8:$I$10000,SMALL(IF('Schwab Positions'!$E$8:$E$10000=$C$2,ROW('Schwab Positions'!$E$8:$E$10000)-7,""),ROWS($G$19:$G470))),"")</f>
        <v/>
      </c>
      <c r="H470" s="100" t="str">
        <f t="shared" si="17"/>
        <v/>
      </c>
      <c r="I470" s="37" t="str" cm="1">
        <f t="array" ref="I470">IFERROR(IF($D470="Bond",IFERROR(INDEX('Schwab Positions'!$J$8:$J$10000,SMALL(IF('Schwab Positions'!$E$8:$E$10000=$C$2,ROW('Schwab Positions'!$E$8:$E$10000)-7,""),ROWS($I$19:$I470))),""),$F470*$G470),"")</f>
        <v/>
      </c>
    </row>
    <row r="471" spans="4:9">
      <c r="D471" s="34" t="str">
        <f>IFERROR(VLOOKUP(B471,'Security Type'!$A$2:$C$1000,3,FALSE),"")</f>
        <v/>
      </c>
      <c r="E471" s="34" t="str">
        <f>IF(B471="","",IF(ISNUMBER(MATCH(B471,'2022 Port'!$D$6:$D$67,0)),VLOOKUP(B471,'Security Type'!$A$3:$D$1000,4,FALSE),"NOT IN PORT"))</f>
        <v/>
      </c>
      <c r="F471" t="str" cm="1">
        <f t="array" ref="F471">IFERROR(INDEX('Schwab Positions'!$D$8:$D$10000,SMALL(IF('Schwab Positions'!$E$8:$E$10000=$C$2,ROW('Schwab Positions'!$E$8:$E$10000)-7,""),ROWS($F$19:$F471))),"")</f>
        <v/>
      </c>
      <c r="G471" s="1" t="str" cm="1">
        <f t="array" ref="G471">IFERROR(INDEX('Schwab Positions'!$I$8:$I$10000,SMALL(IF('Schwab Positions'!$E$8:$E$10000=$C$2,ROW('Schwab Positions'!$E$8:$E$10000)-7,""),ROWS($G$19:$G471))),"")</f>
        <v/>
      </c>
      <c r="H471" s="100" t="str">
        <f t="shared" si="17"/>
        <v/>
      </c>
      <c r="I471" s="37" t="str" cm="1">
        <f t="array" ref="I471">IFERROR(IF($D471="Bond",IFERROR(INDEX('Schwab Positions'!$J$8:$J$10000,SMALL(IF('Schwab Positions'!$E$8:$E$10000=$C$2,ROW('Schwab Positions'!$E$8:$E$10000)-7,""),ROWS($I$19:$I471))),""),$F471*$G471),"")</f>
        <v/>
      </c>
    </row>
    <row r="472" spans="4:9">
      <c r="D472" s="34" t="str">
        <f>IFERROR(VLOOKUP(B472,'Security Type'!$A$2:$C$1000,3,FALSE),"")</f>
        <v/>
      </c>
      <c r="E472" s="34" t="str">
        <f>IF(B472="","",IF(ISNUMBER(MATCH(B472,'2022 Port'!$D$6:$D$67,0)),VLOOKUP(B472,'Security Type'!$A$3:$D$1000,4,FALSE),"NOT IN PORT"))</f>
        <v/>
      </c>
      <c r="F472" t="str" cm="1">
        <f t="array" ref="F472">IFERROR(INDEX('Schwab Positions'!$D$8:$D$10000,SMALL(IF('Schwab Positions'!$E$8:$E$10000=$C$2,ROW('Schwab Positions'!$E$8:$E$10000)-7,""),ROWS($F$19:$F472))),"")</f>
        <v/>
      </c>
      <c r="G472" s="1" t="str" cm="1">
        <f t="array" ref="G472">IFERROR(INDEX('Schwab Positions'!$I$8:$I$10000,SMALL(IF('Schwab Positions'!$E$8:$E$10000=$C$2,ROW('Schwab Positions'!$E$8:$E$10000)-7,""),ROWS($G$19:$G472))),"")</f>
        <v/>
      </c>
      <c r="H472" s="100" t="str">
        <f t="shared" si="17"/>
        <v/>
      </c>
      <c r="I472" s="37" t="str" cm="1">
        <f t="array" ref="I472">IFERROR(IF($D472="Bond",IFERROR(INDEX('Schwab Positions'!$J$8:$J$10000,SMALL(IF('Schwab Positions'!$E$8:$E$10000=$C$2,ROW('Schwab Positions'!$E$8:$E$10000)-7,""),ROWS($I$19:$I472))),""),$F472*$G472),"")</f>
        <v/>
      </c>
    </row>
    <row r="473" spans="4:9">
      <c r="D473" s="34" t="str">
        <f>IFERROR(VLOOKUP(B473,'Security Type'!$A$2:$C$1000,3,FALSE),"")</f>
        <v/>
      </c>
      <c r="E473" s="34" t="str">
        <f>IF(B473="","",IF(ISNUMBER(MATCH(B473,'2022 Port'!$D$6:$D$67,0)),VLOOKUP(B473,'Security Type'!$A$3:$D$1000,4,FALSE),"NOT IN PORT"))</f>
        <v/>
      </c>
      <c r="F473" t="str" cm="1">
        <f t="array" ref="F473">IFERROR(INDEX('Schwab Positions'!$D$8:$D$10000,SMALL(IF('Schwab Positions'!$E$8:$E$10000=$C$2,ROW('Schwab Positions'!$E$8:$E$10000)-7,""),ROWS($F$19:$F473))),"")</f>
        <v/>
      </c>
      <c r="G473" s="1" t="str" cm="1">
        <f t="array" ref="G473">IFERROR(INDEX('Schwab Positions'!$I$8:$I$10000,SMALL(IF('Schwab Positions'!$E$8:$E$10000=$C$2,ROW('Schwab Positions'!$E$8:$E$10000)-7,""),ROWS($G$19:$G473))),"")</f>
        <v/>
      </c>
      <c r="H473" s="100" t="str">
        <f t="shared" si="17"/>
        <v/>
      </c>
      <c r="I473" s="37" t="str" cm="1">
        <f t="array" ref="I473">IFERROR(IF($D473="Bond",IFERROR(INDEX('Schwab Positions'!$J$8:$J$10000,SMALL(IF('Schwab Positions'!$E$8:$E$10000=$C$2,ROW('Schwab Positions'!$E$8:$E$10000)-7,""),ROWS($I$19:$I473))),""),$F473*$G473),"")</f>
        <v/>
      </c>
    </row>
    <row r="474" spans="4:9">
      <c r="D474" s="34" t="str">
        <f>IFERROR(VLOOKUP(B474,'Security Type'!$A$2:$C$1000,3,FALSE),"")</f>
        <v/>
      </c>
      <c r="E474" s="34" t="str">
        <f>IF(B474="","",IF(ISNUMBER(MATCH(B474,'2022 Port'!$D$6:$D$67,0)),VLOOKUP(B474,'Security Type'!$A$3:$D$1000,4,FALSE),"NOT IN PORT"))</f>
        <v/>
      </c>
      <c r="F474" t="str" cm="1">
        <f t="array" ref="F474">IFERROR(INDEX('Schwab Positions'!$D$8:$D$10000,SMALL(IF('Schwab Positions'!$E$8:$E$10000=$C$2,ROW('Schwab Positions'!$E$8:$E$10000)-7,""),ROWS($F$19:$F474))),"")</f>
        <v/>
      </c>
      <c r="G474" s="1" t="str" cm="1">
        <f t="array" ref="G474">IFERROR(INDEX('Schwab Positions'!$I$8:$I$10000,SMALL(IF('Schwab Positions'!$E$8:$E$10000=$C$2,ROW('Schwab Positions'!$E$8:$E$10000)-7,""),ROWS($G$19:$G474))),"")</f>
        <v/>
      </c>
      <c r="H474" s="100" t="str">
        <f t="shared" si="17"/>
        <v/>
      </c>
      <c r="I474" s="37" t="str" cm="1">
        <f t="array" ref="I474">IFERROR(IF($D474="Bond",IFERROR(INDEX('Schwab Positions'!$J$8:$J$10000,SMALL(IF('Schwab Positions'!$E$8:$E$10000=$C$2,ROW('Schwab Positions'!$E$8:$E$10000)-7,""),ROWS($I$19:$I474))),""),$F474*$G474),"")</f>
        <v/>
      </c>
    </row>
    <row r="475" spans="4:9">
      <c r="D475" s="34" t="str">
        <f>IFERROR(VLOOKUP(B475,'Security Type'!$A$2:$C$1000,3,FALSE),"")</f>
        <v/>
      </c>
      <c r="E475" s="34" t="str">
        <f>IF(B475="","",IF(ISNUMBER(MATCH(B475,'2022 Port'!$D$6:$D$67,0)),VLOOKUP(B475,'Security Type'!$A$3:$D$1000,4,FALSE),"NOT IN PORT"))</f>
        <v/>
      </c>
      <c r="F475" t="str" cm="1">
        <f t="array" ref="F475">IFERROR(INDEX('Schwab Positions'!$D$8:$D$10000,SMALL(IF('Schwab Positions'!$E$8:$E$10000=$C$2,ROW('Schwab Positions'!$E$8:$E$10000)-7,""),ROWS($F$19:$F475))),"")</f>
        <v/>
      </c>
      <c r="G475" s="1" t="str" cm="1">
        <f t="array" ref="G475">IFERROR(INDEX('Schwab Positions'!$I$8:$I$10000,SMALL(IF('Schwab Positions'!$E$8:$E$10000=$C$2,ROW('Schwab Positions'!$E$8:$E$10000)-7,""),ROWS($G$19:$G475))),"")</f>
        <v/>
      </c>
      <c r="H475" s="100" t="str">
        <f t="shared" si="17"/>
        <v/>
      </c>
      <c r="I475" s="37" t="str" cm="1">
        <f t="array" ref="I475">IFERROR(IF($D475="Bond",IFERROR(INDEX('Schwab Positions'!$J$8:$J$10000,SMALL(IF('Schwab Positions'!$E$8:$E$10000=$C$2,ROW('Schwab Positions'!$E$8:$E$10000)-7,""),ROWS($I$19:$I475))),""),$F475*$G475),"")</f>
        <v/>
      </c>
    </row>
    <row r="476" spans="4:9">
      <c r="D476" s="34" t="str">
        <f>IFERROR(VLOOKUP(B476,'Security Type'!$A$2:$C$1000,3,FALSE),"")</f>
        <v/>
      </c>
      <c r="E476" s="34" t="str">
        <f>IF(B476="","",IF(ISNUMBER(MATCH(B476,'2022 Port'!$D$6:$D$67,0)),VLOOKUP(B476,'Security Type'!$A$3:$D$1000,4,FALSE),"NOT IN PORT"))</f>
        <v/>
      </c>
      <c r="F476" t="str" cm="1">
        <f t="array" ref="F476">IFERROR(INDEX('Schwab Positions'!$D$8:$D$10000,SMALL(IF('Schwab Positions'!$E$8:$E$10000=$C$2,ROW('Schwab Positions'!$E$8:$E$10000)-7,""),ROWS($F$19:$F476))),"")</f>
        <v/>
      </c>
      <c r="G476" s="1" t="str" cm="1">
        <f t="array" ref="G476">IFERROR(INDEX('Schwab Positions'!$I$8:$I$10000,SMALL(IF('Schwab Positions'!$E$8:$E$10000=$C$2,ROW('Schwab Positions'!$E$8:$E$10000)-7,""),ROWS($G$19:$G476))),"")</f>
        <v/>
      </c>
      <c r="H476" s="100" t="str">
        <f t="shared" si="17"/>
        <v/>
      </c>
      <c r="I476" s="37" t="str" cm="1">
        <f t="array" ref="I476">IFERROR(IF($D476="Bond",IFERROR(INDEX('Schwab Positions'!$J$8:$J$10000,SMALL(IF('Schwab Positions'!$E$8:$E$10000=$C$2,ROW('Schwab Positions'!$E$8:$E$10000)-7,""),ROWS($I$19:$I476))),""),$F476*$G476),"")</f>
        <v/>
      </c>
    </row>
    <row r="477" spans="4:9">
      <c r="D477" s="34" t="str">
        <f>IFERROR(VLOOKUP(B477,'Security Type'!$A$2:$C$1000,3,FALSE),"")</f>
        <v/>
      </c>
      <c r="E477" s="34" t="str">
        <f>IF(B477="","",IF(ISNUMBER(MATCH(B477,'2022 Port'!$D$6:$D$67,0)),VLOOKUP(B477,'Security Type'!$A$3:$D$1000,4,FALSE),"NOT IN PORT"))</f>
        <v/>
      </c>
      <c r="F477" t="str" cm="1">
        <f t="array" ref="F477">IFERROR(INDEX('Schwab Positions'!$D$8:$D$10000,SMALL(IF('Schwab Positions'!$E$8:$E$10000=$C$2,ROW('Schwab Positions'!$E$8:$E$10000)-7,""),ROWS($F$19:$F477))),"")</f>
        <v/>
      </c>
      <c r="G477" s="1" t="str" cm="1">
        <f t="array" ref="G477">IFERROR(INDEX('Schwab Positions'!$I$8:$I$10000,SMALL(IF('Schwab Positions'!$E$8:$E$10000=$C$2,ROW('Schwab Positions'!$E$8:$E$10000)-7,""),ROWS($G$19:$G477))),"")</f>
        <v/>
      </c>
      <c r="H477" s="100" t="str">
        <f t="shared" si="17"/>
        <v/>
      </c>
      <c r="I477" s="37" t="str" cm="1">
        <f t="array" ref="I477">IFERROR(IF($D477="Bond",IFERROR(INDEX('Schwab Positions'!$J$8:$J$10000,SMALL(IF('Schwab Positions'!$E$8:$E$10000=$C$2,ROW('Schwab Positions'!$E$8:$E$10000)-7,""),ROWS($I$19:$I477))),""),$F477*$G477),"")</f>
        <v/>
      </c>
    </row>
    <row r="478" spans="4:9">
      <c r="D478" s="34" t="str">
        <f>IFERROR(VLOOKUP(B478,'Security Type'!$A$2:$C$1000,3,FALSE),"")</f>
        <v/>
      </c>
      <c r="E478" s="34" t="str">
        <f>IF(B478="","",IF(ISNUMBER(MATCH(B478,'2022 Port'!$D$6:$D$67,0)),VLOOKUP(B478,'Security Type'!$A$3:$D$1000,4,FALSE),"NOT IN PORT"))</f>
        <v/>
      </c>
      <c r="F478" t="str" cm="1">
        <f t="array" ref="F478">IFERROR(INDEX('Schwab Positions'!$D$8:$D$10000,SMALL(IF('Schwab Positions'!$E$8:$E$10000=$C$2,ROW('Schwab Positions'!$E$8:$E$10000)-7,""),ROWS($F$19:$F478))),"")</f>
        <v/>
      </c>
      <c r="G478" s="1" t="str" cm="1">
        <f t="array" ref="G478">IFERROR(INDEX('Schwab Positions'!$I$8:$I$10000,SMALL(IF('Schwab Positions'!$E$8:$E$10000=$C$2,ROW('Schwab Positions'!$E$8:$E$10000)-7,""),ROWS($G$19:$G478))),"")</f>
        <v/>
      </c>
      <c r="H478" s="100" t="str">
        <f t="shared" si="17"/>
        <v/>
      </c>
      <c r="I478" s="37" t="str" cm="1">
        <f t="array" ref="I478">IFERROR(IF($D478="Bond",IFERROR(INDEX('Schwab Positions'!$J$8:$J$10000,SMALL(IF('Schwab Positions'!$E$8:$E$10000=$C$2,ROW('Schwab Positions'!$E$8:$E$10000)-7,""),ROWS($I$19:$I478))),""),$F478*$G478),"")</f>
        <v/>
      </c>
    </row>
    <row r="479" spans="4:9">
      <c r="D479" s="34" t="str">
        <f>IFERROR(VLOOKUP(B479,'Security Type'!$A$2:$C$1000,3,FALSE),"")</f>
        <v/>
      </c>
      <c r="E479" s="34" t="str">
        <f>IF(B479="","",IF(ISNUMBER(MATCH(B479,'2022 Port'!$D$6:$D$67,0)),VLOOKUP(B479,'Security Type'!$A$3:$D$1000,4,FALSE),"NOT IN PORT"))</f>
        <v/>
      </c>
      <c r="F479" t="str" cm="1">
        <f t="array" ref="F479">IFERROR(INDEX('Schwab Positions'!$D$8:$D$10000,SMALL(IF('Schwab Positions'!$E$8:$E$10000=$C$2,ROW('Schwab Positions'!$E$8:$E$10000)-7,""),ROWS($F$19:$F479))),"")</f>
        <v/>
      </c>
      <c r="G479" s="1" t="str" cm="1">
        <f t="array" ref="G479">IFERROR(INDEX('Schwab Positions'!$I$8:$I$10000,SMALL(IF('Schwab Positions'!$E$8:$E$10000=$C$2,ROW('Schwab Positions'!$E$8:$E$10000)-7,""),ROWS($G$19:$G479))),"")</f>
        <v/>
      </c>
      <c r="H479" s="100" t="str">
        <f t="shared" si="17"/>
        <v/>
      </c>
      <c r="I479" s="37" t="str" cm="1">
        <f t="array" ref="I479">IFERROR(IF($D479="Bond",IFERROR(INDEX('Schwab Positions'!$J$8:$J$10000,SMALL(IF('Schwab Positions'!$E$8:$E$10000=$C$2,ROW('Schwab Positions'!$E$8:$E$10000)-7,""),ROWS($I$19:$I479))),""),$F479*$G479),"")</f>
        <v/>
      </c>
    </row>
    <row r="480" spans="4:9">
      <c r="D480" s="34" t="str">
        <f>IFERROR(VLOOKUP(B480,'Security Type'!$A$2:$C$1000,3,FALSE),"")</f>
        <v/>
      </c>
      <c r="E480" s="34" t="str">
        <f>IF(B480="","",IF(ISNUMBER(MATCH(B480,'2022 Port'!$D$6:$D$67,0)),VLOOKUP(B480,'Security Type'!$A$3:$D$1000,4,FALSE),"NOT IN PORT"))</f>
        <v/>
      </c>
      <c r="F480" t="str" cm="1">
        <f t="array" ref="F480">IFERROR(INDEX('Schwab Positions'!$D$8:$D$10000,SMALL(IF('Schwab Positions'!$E$8:$E$10000=$C$2,ROW('Schwab Positions'!$E$8:$E$10000)-7,""),ROWS($F$19:$F480))),"")</f>
        <v/>
      </c>
      <c r="G480" s="1" t="str" cm="1">
        <f t="array" ref="G480">IFERROR(INDEX('Schwab Positions'!$I$8:$I$10000,SMALL(IF('Schwab Positions'!$E$8:$E$10000=$C$2,ROW('Schwab Positions'!$E$8:$E$10000)-7,""),ROWS($G$19:$G480))),"")</f>
        <v/>
      </c>
      <c r="H480" s="100" t="str">
        <f t="shared" si="17"/>
        <v/>
      </c>
      <c r="I480" s="37" t="str" cm="1">
        <f t="array" ref="I480">IFERROR(IF($D480="Bond",IFERROR(INDEX('Schwab Positions'!$J$8:$J$10000,SMALL(IF('Schwab Positions'!$E$8:$E$10000=$C$2,ROW('Schwab Positions'!$E$8:$E$10000)-7,""),ROWS($I$19:$I480))),""),$F480*$G480),"")</f>
        <v/>
      </c>
    </row>
    <row r="481" spans="4:9">
      <c r="D481" s="34" t="str">
        <f>IFERROR(VLOOKUP(B481,'Security Type'!$A$2:$C$1000,3,FALSE),"")</f>
        <v/>
      </c>
      <c r="E481" s="34" t="str">
        <f>IF(B481="","",IF(ISNUMBER(MATCH(B481,'2022 Port'!$D$6:$D$67,0)),VLOOKUP(B481,'Security Type'!$A$3:$D$1000,4,FALSE),"NOT IN PORT"))</f>
        <v/>
      </c>
      <c r="F481" t="str" cm="1">
        <f t="array" ref="F481">IFERROR(INDEX('Schwab Positions'!$D$8:$D$10000,SMALL(IF('Schwab Positions'!$E$8:$E$10000=$C$2,ROW('Schwab Positions'!$E$8:$E$10000)-7,""),ROWS($F$19:$F481))),"")</f>
        <v/>
      </c>
      <c r="G481" s="1" t="str" cm="1">
        <f t="array" ref="G481">IFERROR(INDEX('Schwab Positions'!$I$8:$I$10000,SMALL(IF('Schwab Positions'!$E$8:$E$10000=$C$2,ROW('Schwab Positions'!$E$8:$E$10000)-7,""),ROWS($G$19:$G481))),"")</f>
        <v/>
      </c>
      <c r="H481" s="100" t="str">
        <f t="shared" si="17"/>
        <v/>
      </c>
      <c r="I481" s="37" t="str" cm="1">
        <f t="array" ref="I481">IFERROR(IF($D481="Bond",IFERROR(INDEX('Schwab Positions'!$J$8:$J$10000,SMALL(IF('Schwab Positions'!$E$8:$E$10000=$C$2,ROW('Schwab Positions'!$E$8:$E$10000)-7,""),ROWS($I$19:$I481))),""),$F481*$G481),"")</f>
        <v/>
      </c>
    </row>
    <row r="482" spans="4:9">
      <c r="D482" s="34" t="str">
        <f>IFERROR(VLOOKUP(B482,'Security Type'!$A$2:$C$1000,3,FALSE),"")</f>
        <v/>
      </c>
      <c r="E482" s="34" t="str">
        <f>IF(B482="","",IF(ISNUMBER(MATCH(B482,'2022 Port'!$D$6:$D$67,0)),VLOOKUP(B482,'Security Type'!$A$3:$D$1000,4,FALSE),"NOT IN PORT"))</f>
        <v/>
      </c>
      <c r="F482" t="str" cm="1">
        <f t="array" ref="F482">IFERROR(INDEX('Schwab Positions'!$D$8:$D$10000,SMALL(IF('Schwab Positions'!$E$8:$E$10000=$C$2,ROW('Schwab Positions'!$E$8:$E$10000)-7,""),ROWS($F$19:$F482))),"")</f>
        <v/>
      </c>
      <c r="G482" s="1" t="str" cm="1">
        <f t="array" ref="G482">IFERROR(INDEX('Schwab Positions'!$I$8:$I$10000,SMALL(IF('Schwab Positions'!$E$8:$E$10000=$C$2,ROW('Schwab Positions'!$E$8:$E$10000)-7,""),ROWS($G$19:$G482))),"")</f>
        <v/>
      </c>
      <c r="H482" s="100" t="str">
        <f t="shared" si="17"/>
        <v/>
      </c>
      <c r="I482" s="37" t="str" cm="1">
        <f t="array" ref="I482">IFERROR(IF($D482="Bond",IFERROR(INDEX('Schwab Positions'!$J$8:$J$10000,SMALL(IF('Schwab Positions'!$E$8:$E$10000=$C$2,ROW('Schwab Positions'!$E$8:$E$10000)-7,""),ROWS($I$19:$I482))),""),$F482*$G482),"")</f>
        <v/>
      </c>
    </row>
    <row r="483" spans="4:9">
      <c r="D483" s="34" t="str">
        <f>IFERROR(VLOOKUP(B483,'Security Type'!$A$2:$C$1000,3,FALSE),"")</f>
        <v/>
      </c>
      <c r="E483" s="34" t="str">
        <f>IF(B483="","",IF(ISNUMBER(MATCH(B483,'2022 Port'!$D$6:$D$67,0)),VLOOKUP(B483,'Security Type'!$A$3:$D$1000,4,FALSE),"NOT IN PORT"))</f>
        <v/>
      </c>
      <c r="F483" t="str" cm="1">
        <f t="array" ref="F483">IFERROR(INDEX('Schwab Positions'!$D$8:$D$10000,SMALL(IF('Schwab Positions'!$E$8:$E$10000=$C$2,ROW('Schwab Positions'!$E$8:$E$10000)-7,""),ROWS($F$19:$F483))),"")</f>
        <v/>
      </c>
      <c r="G483" s="1" t="str" cm="1">
        <f t="array" ref="G483">IFERROR(INDEX('Schwab Positions'!$I$8:$I$10000,SMALL(IF('Schwab Positions'!$E$8:$E$10000=$C$2,ROW('Schwab Positions'!$E$8:$E$10000)-7,""),ROWS($G$19:$G483))),"")</f>
        <v/>
      </c>
      <c r="H483" s="100" t="str">
        <f t="shared" si="17"/>
        <v/>
      </c>
      <c r="I483" s="37" t="str" cm="1">
        <f t="array" ref="I483">IFERROR(IF($D483="Bond",IFERROR(INDEX('Schwab Positions'!$J$8:$J$10000,SMALL(IF('Schwab Positions'!$E$8:$E$10000=$C$2,ROW('Schwab Positions'!$E$8:$E$10000)-7,""),ROWS($I$19:$I483))),""),$F483*$G483),"")</f>
        <v/>
      </c>
    </row>
    <row r="484" spans="4:9">
      <c r="D484" s="34" t="str">
        <f>IFERROR(VLOOKUP(B484,'Security Type'!$A$2:$C$1000,3,FALSE),"")</f>
        <v/>
      </c>
      <c r="E484" s="34" t="str">
        <f>IF(B484="","",IF(ISNUMBER(MATCH(B484,'2022 Port'!$D$6:$D$67,0)),VLOOKUP(B484,'Security Type'!$A$3:$D$1000,4,FALSE),"NOT IN PORT"))</f>
        <v/>
      </c>
      <c r="F484" t="str" cm="1">
        <f t="array" ref="F484">IFERROR(INDEX('Schwab Positions'!$D$8:$D$10000,SMALL(IF('Schwab Positions'!$E$8:$E$10000=$C$2,ROW('Schwab Positions'!$E$8:$E$10000)-7,""),ROWS($F$19:$F484))),"")</f>
        <v/>
      </c>
      <c r="G484" s="1" t="str" cm="1">
        <f t="array" ref="G484">IFERROR(INDEX('Schwab Positions'!$I$8:$I$10000,SMALL(IF('Schwab Positions'!$E$8:$E$10000=$C$2,ROW('Schwab Positions'!$E$8:$E$10000)-7,""),ROWS($G$19:$G484))),"")</f>
        <v/>
      </c>
      <c r="H484" s="100" t="str">
        <f t="shared" si="17"/>
        <v/>
      </c>
      <c r="I484" s="37" t="str" cm="1">
        <f t="array" ref="I484">IFERROR(IF($D484="Bond",IFERROR(INDEX('Schwab Positions'!$J$8:$J$10000,SMALL(IF('Schwab Positions'!$E$8:$E$10000=$C$2,ROW('Schwab Positions'!$E$8:$E$10000)-7,""),ROWS($I$19:$I484))),""),$F484*$G484),"")</f>
        <v/>
      </c>
    </row>
    <row r="485" spans="4:9">
      <c r="D485" s="34" t="str">
        <f>IFERROR(VLOOKUP(B485,'Security Type'!$A$2:$C$1000,3,FALSE),"")</f>
        <v/>
      </c>
      <c r="E485" s="34" t="str">
        <f>IF(B485="","",IF(ISNUMBER(MATCH(B485,'2022 Port'!$D$6:$D$67,0)),VLOOKUP(B485,'Security Type'!$A$3:$D$1000,4,FALSE),"NOT IN PORT"))</f>
        <v/>
      </c>
      <c r="F485" t="str" cm="1">
        <f t="array" ref="F485">IFERROR(INDEX('Schwab Positions'!$D$8:$D$10000,SMALL(IF('Schwab Positions'!$E$8:$E$10000=$C$2,ROW('Schwab Positions'!$E$8:$E$10000)-7,""),ROWS($F$19:$F485))),"")</f>
        <v/>
      </c>
      <c r="G485" s="1" t="str" cm="1">
        <f t="array" ref="G485">IFERROR(INDEX('Schwab Positions'!$I$8:$I$10000,SMALL(IF('Schwab Positions'!$E$8:$E$10000=$C$2,ROW('Schwab Positions'!$E$8:$E$10000)-7,""),ROWS($G$19:$G485))),"")</f>
        <v/>
      </c>
      <c r="H485" s="100" t="str">
        <f t="shared" si="17"/>
        <v/>
      </c>
      <c r="I485" s="37" t="str" cm="1">
        <f t="array" ref="I485">IFERROR(IF($D485="Bond",IFERROR(INDEX('Schwab Positions'!$J$8:$J$10000,SMALL(IF('Schwab Positions'!$E$8:$E$10000=$C$2,ROW('Schwab Positions'!$E$8:$E$10000)-7,""),ROWS($I$19:$I485))),""),$F485*$G485),"")</f>
        <v/>
      </c>
    </row>
    <row r="486" spans="4:9">
      <c r="D486" s="34" t="str">
        <f>IFERROR(VLOOKUP(B486,'Security Type'!$A$2:$C$1000,3,FALSE),"")</f>
        <v/>
      </c>
      <c r="E486" s="34" t="str">
        <f>IF(B486="","",IF(ISNUMBER(MATCH(B486,'2022 Port'!$D$6:$D$67,0)),VLOOKUP(B486,'Security Type'!$A$3:$D$1000,4,FALSE),"NOT IN PORT"))</f>
        <v/>
      </c>
      <c r="F486" t="str" cm="1">
        <f t="array" ref="F486">IFERROR(INDEX('Schwab Positions'!$D$8:$D$10000,SMALL(IF('Schwab Positions'!$E$8:$E$10000=$C$2,ROW('Schwab Positions'!$E$8:$E$10000)-7,""),ROWS($F$19:$F486))),"")</f>
        <v/>
      </c>
      <c r="G486" s="1" t="str" cm="1">
        <f t="array" ref="G486">IFERROR(INDEX('Schwab Positions'!$I$8:$I$10000,SMALL(IF('Schwab Positions'!$E$8:$E$10000=$C$2,ROW('Schwab Positions'!$E$8:$E$10000)-7,""),ROWS($G$19:$G486))),"")</f>
        <v/>
      </c>
      <c r="H486" s="100" t="str">
        <f t="shared" si="17"/>
        <v/>
      </c>
      <c r="I486" s="37" t="str" cm="1">
        <f t="array" ref="I486">IFERROR(IF($D486="Bond",IFERROR(INDEX('Schwab Positions'!$J$8:$J$10000,SMALL(IF('Schwab Positions'!$E$8:$E$10000=$C$2,ROW('Schwab Positions'!$E$8:$E$10000)-7,""),ROWS($I$19:$I486))),""),$F486*$G486),"")</f>
        <v/>
      </c>
    </row>
    <row r="487" spans="4:9">
      <c r="D487" s="34" t="str">
        <f>IFERROR(VLOOKUP(B487,'Security Type'!$A$2:$C$1000,3,FALSE),"")</f>
        <v/>
      </c>
      <c r="E487" s="34" t="str">
        <f>IF(B487="","",IF(ISNUMBER(MATCH(B487,'2022 Port'!$D$6:$D$67,0)),VLOOKUP(B487,'Security Type'!$A$3:$D$1000,4,FALSE),"NOT IN PORT"))</f>
        <v/>
      </c>
      <c r="F487" t="str" cm="1">
        <f t="array" ref="F487">IFERROR(INDEX('Schwab Positions'!$D$8:$D$10000,SMALL(IF('Schwab Positions'!$E$8:$E$10000=$C$2,ROW('Schwab Positions'!$E$8:$E$10000)-7,""),ROWS($F$19:$F487))),"")</f>
        <v/>
      </c>
      <c r="G487" s="1" t="str" cm="1">
        <f t="array" ref="G487">IFERROR(INDEX('Schwab Positions'!$I$8:$I$10000,SMALL(IF('Schwab Positions'!$E$8:$E$10000=$C$2,ROW('Schwab Positions'!$E$8:$E$10000)-7,""),ROWS($G$19:$G487))),"")</f>
        <v/>
      </c>
      <c r="H487" s="100" t="str">
        <f t="shared" si="17"/>
        <v/>
      </c>
      <c r="I487" s="37" t="str" cm="1">
        <f t="array" ref="I487">IFERROR(IF($D487="Bond",IFERROR(INDEX('Schwab Positions'!$J$8:$J$10000,SMALL(IF('Schwab Positions'!$E$8:$E$10000=$C$2,ROW('Schwab Positions'!$E$8:$E$10000)-7,""),ROWS($I$19:$I487))),""),$F487*$G487),"")</f>
        <v/>
      </c>
    </row>
    <row r="488" spans="4:9">
      <c r="D488" s="34" t="str">
        <f>IFERROR(VLOOKUP(B488,'Security Type'!$A$2:$C$1000,3,FALSE),"")</f>
        <v/>
      </c>
      <c r="E488" s="34" t="str">
        <f>IF(B488="","",IF(ISNUMBER(MATCH(B488,'2022 Port'!$D$6:$D$67,0)),VLOOKUP(B488,'Security Type'!$A$3:$D$1000,4,FALSE),"NOT IN PORT"))</f>
        <v/>
      </c>
      <c r="F488" t="str" cm="1">
        <f t="array" ref="F488">IFERROR(INDEX('Schwab Positions'!$D$8:$D$10000,SMALL(IF('Schwab Positions'!$E$8:$E$10000=$C$2,ROW('Schwab Positions'!$E$8:$E$10000)-7,""),ROWS($F$19:$F488))),"")</f>
        <v/>
      </c>
      <c r="G488" s="1" t="str" cm="1">
        <f t="array" ref="G488">IFERROR(INDEX('Schwab Positions'!$I$8:$I$10000,SMALL(IF('Schwab Positions'!$E$8:$E$10000=$C$2,ROW('Schwab Positions'!$E$8:$E$10000)-7,""),ROWS($G$19:$G488))),"")</f>
        <v/>
      </c>
      <c r="H488" s="100" t="str">
        <f t="shared" si="17"/>
        <v/>
      </c>
      <c r="I488" s="37" t="str" cm="1">
        <f t="array" ref="I488">IFERROR(IF($D488="Bond",IFERROR(INDEX('Schwab Positions'!$J$8:$J$10000,SMALL(IF('Schwab Positions'!$E$8:$E$10000=$C$2,ROW('Schwab Positions'!$E$8:$E$10000)-7,""),ROWS($I$19:$I488))),""),$F488*$G488),"")</f>
        <v/>
      </c>
    </row>
    <row r="489" spans="4:9">
      <c r="D489" s="34" t="str">
        <f>IFERROR(VLOOKUP(B489,'Security Type'!$A$2:$C$1000,3,FALSE),"")</f>
        <v/>
      </c>
      <c r="E489" s="34" t="str">
        <f>IF(B489="","",IF(ISNUMBER(MATCH(B489,'2022 Port'!$D$6:$D$67,0)),VLOOKUP(B489,'Security Type'!$A$3:$D$1000,4,FALSE),"NOT IN PORT"))</f>
        <v/>
      </c>
      <c r="F489" t="str" cm="1">
        <f t="array" ref="F489">IFERROR(INDEX('Schwab Positions'!$D$8:$D$10000,SMALL(IF('Schwab Positions'!$E$8:$E$10000=$C$2,ROW('Schwab Positions'!$E$8:$E$10000)-7,""),ROWS($F$19:$F489))),"")</f>
        <v/>
      </c>
      <c r="G489" s="1" t="str" cm="1">
        <f t="array" ref="G489">IFERROR(INDEX('Schwab Positions'!$I$8:$I$10000,SMALL(IF('Schwab Positions'!$E$8:$E$10000=$C$2,ROW('Schwab Positions'!$E$8:$E$10000)-7,""),ROWS($G$19:$G489))),"")</f>
        <v/>
      </c>
      <c r="H489" s="100" t="str">
        <f t="shared" si="17"/>
        <v/>
      </c>
      <c r="I489" s="37" t="str" cm="1">
        <f t="array" ref="I489">IFERROR(IF($D489="Bond",IFERROR(INDEX('Schwab Positions'!$J$8:$J$10000,SMALL(IF('Schwab Positions'!$E$8:$E$10000=$C$2,ROW('Schwab Positions'!$E$8:$E$10000)-7,""),ROWS($I$19:$I489))),""),$F489*$G489),"")</f>
        <v/>
      </c>
    </row>
    <row r="490" spans="4:9">
      <c r="D490" s="34" t="str">
        <f>IFERROR(VLOOKUP(B490,'Security Type'!$A$2:$C$1000,3,FALSE),"")</f>
        <v/>
      </c>
      <c r="E490" s="34" t="str">
        <f>IF(B490="","",IF(ISNUMBER(MATCH(B490,'2022 Port'!$D$6:$D$67,0)),VLOOKUP(B490,'Security Type'!$A$3:$D$1000,4,FALSE),"NOT IN PORT"))</f>
        <v/>
      </c>
      <c r="F490" t="str" cm="1">
        <f t="array" ref="F490">IFERROR(INDEX('Schwab Positions'!$D$8:$D$10000,SMALL(IF('Schwab Positions'!$E$8:$E$10000=$C$2,ROW('Schwab Positions'!$E$8:$E$10000)-7,""),ROWS($F$19:$F490))),"")</f>
        <v/>
      </c>
      <c r="G490" s="1" t="str" cm="1">
        <f t="array" ref="G490">IFERROR(INDEX('Schwab Positions'!$I$8:$I$10000,SMALL(IF('Schwab Positions'!$E$8:$E$10000=$C$2,ROW('Schwab Positions'!$E$8:$E$10000)-7,""),ROWS($G$19:$G490))),"")</f>
        <v/>
      </c>
      <c r="H490" s="100" t="str">
        <f t="shared" si="17"/>
        <v/>
      </c>
      <c r="I490" s="37" t="str" cm="1">
        <f t="array" ref="I490">IFERROR(IF($D490="Bond",IFERROR(INDEX('Schwab Positions'!$J$8:$J$10000,SMALL(IF('Schwab Positions'!$E$8:$E$10000=$C$2,ROW('Schwab Positions'!$E$8:$E$10000)-7,""),ROWS($I$19:$I490))),""),$F490*$G490),"")</f>
        <v/>
      </c>
    </row>
    <row r="491" spans="4:9">
      <c r="D491" s="34" t="str">
        <f>IFERROR(VLOOKUP(B491,'Security Type'!$A$2:$C$1000,3,FALSE),"")</f>
        <v/>
      </c>
      <c r="E491" s="34" t="str">
        <f>IF(B491="","",IF(ISNUMBER(MATCH(B491,'2022 Port'!$D$6:$D$67,0)),VLOOKUP(B491,'Security Type'!$A$3:$D$1000,4,FALSE),"NOT IN PORT"))</f>
        <v/>
      </c>
      <c r="F491" t="str" cm="1">
        <f t="array" ref="F491">IFERROR(INDEX('Schwab Positions'!$D$8:$D$10000,SMALL(IF('Schwab Positions'!$E$8:$E$10000=$C$2,ROW('Schwab Positions'!$E$8:$E$10000)-7,""),ROWS($F$19:$F491))),"")</f>
        <v/>
      </c>
      <c r="G491" s="1" t="str" cm="1">
        <f t="array" ref="G491">IFERROR(INDEX('Schwab Positions'!$I$8:$I$10000,SMALL(IF('Schwab Positions'!$E$8:$E$10000=$C$2,ROW('Schwab Positions'!$E$8:$E$10000)-7,""),ROWS($G$19:$G491))),"")</f>
        <v/>
      </c>
      <c r="H491" s="100" t="str">
        <f t="shared" si="17"/>
        <v/>
      </c>
      <c r="I491" s="37" t="str" cm="1">
        <f t="array" ref="I491">IFERROR(IF($D491="Bond",IFERROR(INDEX('Schwab Positions'!$J$8:$J$10000,SMALL(IF('Schwab Positions'!$E$8:$E$10000=$C$2,ROW('Schwab Positions'!$E$8:$E$10000)-7,""),ROWS($I$19:$I491))),""),$F491*$G491),"")</f>
        <v/>
      </c>
    </row>
    <row r="492" spans="4:9">
      <c r="D492" s="34" t="str">
        <f>IFERROR(VLOOKUP(B492,'Security Type'!$A$2:$C$1000,3,FALSE),"")</f>
        <v/>
      </c>
      <c r="E492" s="34" t="str">
        <f>IF(B492="","",IF(ISNUMBER(MATCH(B492,'2022 Port'!$D$6:$D$67,0)),VLOOKUP(B492,'Security Type'!$A$3:$D$1000,4,FALSE),"NOT IN PORT"))</f>
        <v/>
      </c>
      <c r="F492" t="str" cm="1">
        <f t="array" ref="F492">IFERROR(INDEX('Schwab Positions'!$D$8:$D$10000,SMALL(IF('Schwab Positions'!$E$8:$E$10000=$C$2,ROW('Schwab Positions'!$E$8:$E$10000)-7,""),ROWS($F$19:$F492))),"")</f>
        <v/>
      </c>
      <c r="G492" s="1" t="str" cm="1">
        <f t="array" ref="G492">IFERROR(INDEX('Schwab Positions'!$I$8:$I$10000,SMALL(IF('Schwab Positions'!$E$8:$E$10000=$C$2,ROW('Schwab Positions'!$E$8:$E$10000)-7,""),ROWS($G$19:$G492))),"")</f>
        <v/>
      </c>
      <c r="H492" s="100" t="str">
        <f t="shared" si="17"/>
        <v/>
      </c>
      <c r="I492" s="37" t="str" cm="1">
        <f t="array" ref="I492">IFERROR(IF($D492="Bond",IFERROR(INDEX('Schwab Positions'!$J$8:$J$10000,SMALL(IF('Schwab Positions'!$E$8:$E$10000=$C$2,ROW('Schwab Positions'!$E$8:$E$10000)-7,""),ROWS($I$19:$I492))),""),$F492*$G492),"")</f>
        <v/>
      </c>
    </row>
    <row r="493" spans="4:9">
      <c r="D493" s="34" t="str">
        <f>IFERROR(VLOOKUP(B493,'Security Type'!$A$2:$C$1000,3,FALSE),"")</f>
        <v/>
      </c>
      <c r="E493" s="34" t="str">
        <f>IF(B493="","",IF(ISNUMBER(MATCH(B493,'2022 Port'!$D$6:$D$67,0)),VLOOKUP(B493,'Security Type'!$A$3:$D$1000,4,FALSE),"NOT IN PORT"))</f>
        <v/>
      </c>
      <c r="F493" t="str" cm="1">
        <f t="array" ref="F493">IFERROR(INDEX('Schwab Positions'!$D$8:$D$10000,SMALL(IF('Schwab Positions'!$E$8:$E$10000=$C$2,ROW('Schwab Positions'!$E$8:$E$10000)-7,""),ROWS($F$19:$F493))),"")</f>
        <v/>
      </c>
      <c r="G493" s="1" t="str" cm="1">
        <f t="array" ref="G493">IFERROR(INDEX('Schwab Positions'!$I$8:$I$10000,SMALL(IF('Schwab Positions'!$E$8:$E$10000=$C$2,ROW('Schwab Positions'!$E$8:$E$10000)-7,""),ROWS($G$19:$G493))),"")</f>
        <v/>
      </c>
      <c r="H493" s="100" t="str">
        <f t="shared" si="17"/>
        <v/>
      </c>
      <c r="I493" s="37" t="str" cm="1">
        <f t="array" ref="I493">IFERROR(IF($D493="Bond",IFERROR(INDEX('Schwab Positions'!$J$8:$J$10000,SMALL(IF('Schwab Positions'!$E$8:$E$10000=$C$2,ROW('Schwab Positions'!$E$8:$E$10000)-7,""),ROWS($I$19:$I493))),""),$F493*$G493),"")</f>
        <v/>
      </c>
    </row>
    <row r="494" spans="4:9">
      <c r="D494" s="34" t="str">
        <f>IFERROR(VLOOKUP(B494,'Security Type'!$A$2:$C$1000,3,FALSE),"")</f>
        <v/>
      </c>
      <c r="E494" s="34" t="str">
        <f>IF(B494="","",IF(ISNUMBER(MATCH(B494,'2022 Port'!$D$6:$D$67,0)),VLOOKUP(B494,'Security Type'!$A$3:$D$1000,4,FALSE),"NOT IN PORT"))</f>
        <v/>
      </c>
      <c r="F494" t="str" cm="1">
        <f t="array" ref="F494">IFERROR(INDEX('Schwab Positions'!$D$8:$D$10000,SMALL(IF('Schwab Positions'!$E$8:$E$10000=$C$2,ROW('Schwab Positions'!$E$8:$E$10000)-7,""),ROWS($F$19:$F494))),"")</f>
        <v/>
      </c>
      <c r="G494" s="1" t="str" cm="1">
        <f t="array" ref="G494">IFERROR(INDEX('Schwab Positions'!$I$8:$I$10000,SMALL(IF('Schwab Positions'!$E$8:$E$10000=$C$2,ROW('Schwab Positions'!$E$8:$E$10000)-7,""),ROWS($G$19:$G494))),"")</f>
        <v/>
      </c>
      <c r="H494" s="100" t="str">
        <f t="shared" si="17"/>
        <v/>
      </c>
      <c r="I494" s="37" t="str" cm="1">
        <f t="array" ref="I494">IFERROR(IF($D494="Bond",IFERROR(INDEX('Schwab Positions'!$J$8:$J$10000,SMALL(IF('Schwab Positions'!$E$8:$E$10000=$C$2,ROW('Schwab Positions'!$E$8:$E$10000)-7,""),ROWS($I$19:$I494))),""),$F494*$G494),"")</f>
        <v/>
      </c>
    </row>
    <row r="495" spans="4:9">
      <c r="D495" s="34" t="str">
        <f>IFERROR(VLOOKUP(B495,'Security Type'!$A$2:$C$1000,3,FALSE),"")</f>
        <v/>
      </c>
      <c r="E495" s="34" t="str">
        <f>IF(B495="","",IF(ISNUMBER(MATCH(B495,'2022 Port'!$D$6:$D$67,0)),VLOOKUP(B495,'Security Type'!$A$3:$D$1000,4,FALSE),"NOT IN PORT"))</f>
        <v/>
      </c>
      <c r="F495" t="str" cm="1">
        <f t="array" ref="F495">IFERROR(INDEX('Schwab Positions'!$D$8:$D$10000,SMALL(IF('Schwab Positions'!$E$8:$E$10000=$C$2,ROW('Schwab Positions'!$E$8:$E$10000)-7,""),ROWS($F$19:$F495))),"")</f>
        <v/>
      </c>
      <c r="G495" s="1" t="str" cm="1">
        <f t="array" ref="G495">IFERROR(INDEX('Schwab Positions'!$I$8:$I$10000,SMALL(IF('Schwab Positions'!$E$8:$E$10000=$C$2,ROW('Schwab Positions'!$E$8:$E$10000)-7,""),ROWS($G$19:$G495))),"")</f>
        <v/>
      </c>
      <c r="H495" s="100" t="str">
        <f t="shared" si="17"/>
        <v/>
      </c>
      <c r="I495" s="37" t="str" cm="1">
        <f t="array" ref="I495">IFERROR(IF($D495="Bond",IFERROR(INDEX('Schwab Positions'!$J$8:$J$10000,SMALL(IF('Schwab Positions'!$E$8:$E$10000=$C$2,ROW('Schwab Positions'!$E$8:$E$10000)-7,""),ROWS($I$19:$I495))),""),$F495*$G495),"")</f>
        <v/>
      </c>
    </row>
    <row r="496" spans="4:9">
      <c r="D496" s="34" t="str">
        <f>IFERROR(VLOOKUP(B496,'Security Type'!$A$2:$C$1000,3,FALSE),"")</f>
        <v/>
      </c>
      <c r="E496" s="34" t="str">
        <f>IF(B496="","",IF(ISNUMBER(MATCH(B496,'2022 Port'!$D$6:$D$67,0)),VLOOKUP(B496,'Security Type'!$A$3:$D$1000,4,FALSE),"NOT IN PORT"))</f>
        <v/>
      </c>
      <c r="F496" t="str" cm="1">
        <f t="array" ref="F496">IFERROR(INDEX('Schwab Positions'!$D$8:$D$10000,SMALL(IF('Schwab Positions'!$E$8:$E$10000=$C$2,ROW('Schwab Positions'!$E$8:$E$10000)-7,""),ROWS($F$19:$F496))),"")</f>
        <v/>
      </c>
      <c r="G496" s="1" t="str" cm="1">
        <f t="array" ref="G496">IFERROR(INDEX('Schwab Positions'!$I$8:$I$10000,SMALL(IF('Schwab Positions'!$E$8:$E$10000=$C$2,ROW('Schwab Positions'!$E$8:$E$10000)-7,""),ROWS($G$19:$G496))),"")</f>
        <v/>
      </c>
      <c r="H496" s="100" t="str">
        <f t="shared" si="17"/>
        <v/>
      </c>
      <c r="I496" s="37" t="str" cm="1">
        <f t="array" ref="I496">IFERROR(IF($D496="Bond",IFERROR(INDEX('Schwab Positions'!$J$8:$J$10000,SMALL(IF('Schwab Positions'!$E$8:$E$10000=$C$2,ROW('Schwab Positions'!$E$8:$E$10000)-7,""),ROWS($I$19:$I496))),""),$F496*$G496),"")</f>
        <v/>
      </c>
    </row>
    <row r="497" spans="4:9">
      <c r="D497" s="34" t="str">
        <f>IFERROR(VLOOKUP(B497,'Security Type'!$A$2:$C$1000,3,FALSE),"")</f>
        <v/>
      </c>
      <c r="E497" s="34" t="str">
        <f>IF(B497="","",IF(ISNUMBER(MATCH(B497,'2022 Port'!$D$6:$D$67,0)),VLOOKUP(B497,'Security Type'!$A$3:$D$1000,4,FALSE),"NOT IN PORT"))</f>
        <v/>
      </c>
      <c r="F497" t="str" cm="1">
        <f t="array" ref="F497">IFERROR(INDEX('Schwab Positions'!$D$8:$D$10000,SMALL(IF('Schwab Positions'!$E$8:$E$10000=$C$2,ROW('Schwab Positions'!$E$8:$E$10000)-7,""),ROWS($F$19:$F497))),"")</f>
        <v/>
      </c>
      <c r="G497" s="1" t="str" cm="1">
        <f t="array" ref="G497">IFERROR(INDEX('Schwab Positions'!$I$8:$I$10000,SMALL(IF('Schwab Positions'!$E$8:$E$10000=$C$2,ROW('Schwab Positions'!$E$8:$E$10000)-7,""),ROWS($G$19:$G497))),"")</f>
        <v/>
      </c>
      <c r="H497" s="100" t="str">
        <f t="shared" si="17"/>
        <v/>
      </c>
      <c r="I497" s="37" t="str" cm="1">
        <f t="array" ref="I497">IFERROR(IF($D497="Bond",IFERROR(INDEX('Schwab Positions'!$J$8:$J$10000,SMALL(IF('Schwab Positions'!$E$8:$E$10000=$C$2,ROW('Schwab Positions'!$E$8:$E$10000)-7,""),ROWS($I$19:$I497))),""),$F497*$G497),"")</f>
        <v/>
      </c>
    </row>
    <row r="498" spans="4:9">
      <c r="D498" s="34" t="str">
        <f>IFERROR(VLOOKUP(B498,'Security Type'!$A$2:$C$1000,3,FALSE),"")</f>
        <v/>
      </c>
      <c r="E498" s="34" t="str">
        <f>IF(B498="","",IF(ISNUMBER(MATCH(B498,'2022 Port'!$D$6:$D$67,0)),VLOOKUP(B498,'Security Type'!$A$3:$D$1000,4,FALSE),"NOT IN PORT"))</f>
        <v/>
      </c>
      <c r="F498" t="str" cm="1">
        <f t="array" ref="F498">IFERROR(INDEX('Schwab Positions'!$D$8:$D$10000,SMALL(IF('Schwab Positions'!$E$8:$E$10000=$C$2,ROW('Schwab Positions'!$E$8:$E$10000)-7,""),ROWS($F$19:$F498))),"")</f>
        <v/>
      </c>
      <c r="G498" s="1" t="str" cm="1">
        <f t="array" ref="G498">IFERROR(INDEX('Schwab Positions'!$I$8:$I$10000,SMALL(IF('Schwab Positions'!$E$8:$E$10000=$C$2,ROW('Schwab Positions'!$E$8:$E$10000)-7,""),ROWS($G$19:$G498))),"")</f>
        <v/>
      </c>
      <c r="H498" s="100" t="str">
        <f t="shared" si="17"/>
        <v/>
      </c>
      <c r="I498" s="37" t="str" cm="1">
        <f t="array" ref="I498">IFERROR(IF($D498="Bond",IFERROR(INDEX('Schwab Positions'!$J$8:$J$10000,SMALL(IF('Schwab Positions'!$E$8:$E$10000=$C$2,ROW('Schwab Positions'!$E$8:$E$10000)-7,""),ROWS($I$19:$I498))),""),$F498*$G498),"")</f>
        <v/>
      </c>
    </row>
    <row r="499" spans="4:9">
      <c r="D499" s="34" t="str">
        <f>IFERROR(VLOOKUP(B499,'Security Type'!$A$2:$C$1000,3,FALSE),"")</f>
        <v/>
      </c>
      <c r="E499" s="34" t="str">
        <f>IF(B499="","",IF(ISNUMBER(MATCH(B499,'2022 Port'!$D$6:$D$67,0)),VLOOKUP(B499,'Security Type'!$A$3:$D$1000,4,FALSE),"NOT IN PORT"))</f>
        <v/>
      </c>
      <c r="F499" t="str" cm="1">
        <f t="array" ref="F499">IFERROR(INDEX('Schwab Positions'!$D$8:$D$10000,SMALL(IF('Schwab Positions'!$E$8:$E$10000=$C$2,ROW('Schwab Positions'!$E$8:$E$10000)-7,""),ROWS($F$19:$F499))),"")</f>
        <v/>
      </c>
      <c r="G499" s="1" t="str" cm="1">
        <f t="array" ref="G499">IFERROR(INDEX('Schwab Positions'!$I$8:$I$10000,SMALL(IF('Schwab Positions'!$E$8:$E$10000=$C$2,ROW('Schwab Positions'!$E$8:$E$10000)-7,""),ROWS($G$19:$G499))),"")</f>
        <v/>
      </c>
      <c r="H499" s="100" t="str">
        <f t="shared" si="17"/>
        <v/>
      </c>
      <c r="I499" s="37" t="str" cm="1">
        <f t="array" ref="I499">IFERROR(IF($D499="Bond",IFERROR(INDEX('Schwab Positions'!$J$8:$J$10000,SMALL(IF('Schwab Positions'!$E$8:$E$10000=$C$2,ROW('Schwab Positions'!$E$8:$E$10000)-7,""),ROWS($I$19:$I499))),""),$F499*$G499),"")</f>
        <v/>
      </c>
    </row>
    <row r="500" spans="4:9">
      <c r="D500" s="34" t="str">
        <f>IFERROR(VLOOKUP(B500,'Security Type'!$A$2:$C$1000,3,FALSE),"")</f>
        <v/>
      </c>
      <c r="E500" s="34" t="str">
        <f>IF(B500="","",IF(ISNUMBER(MATCH(B500,'2022 Port'!$D$6:$D$67,0)),VLOOKUP(B500,'Security Type'!$A$3:$D$1000,4,FALSE),"NOT IN PORT"))</f>
        <v/>
      </c>
      <c r="F500" t="str" cm="1">
        <f t="array" ref="F500">IFERROR(INDEX('Schwab Positions'!$D$8:$D$10000,SMALL(IF('Schwab Positions'!$E$8:$E$10000=$C$2,ROW('Schwab Positions'!$E$8:$E$10000)-7,""),ROWS($F$19:$F500))),"")</f>
        <v/>
      </c>
      <c r="G500" s="1" t="str" cm="1">
        <f t="array" ref="G500">IFERROR(INDEX('Schwab Positions'!$I$8:$I$10000,SMALL(IF('Schwab Positions'!$E$8:$E$10000=$C$2,ROW('Schwab Positions'!$E$8:$E$10000)-7,""),ROWS($G$19:$G500))),"")</f>
        <v/>
      </c>
      <c r="H500" s="100" t="str">
        <f t="shared" si="17"/>
        <v/>
      </c>
      <c r="I500" s="37" t="str" cm="1">
        <f t="array" ref="I500">IFERROR(IF($D500="Bond",IFERROR(INDEX('Schwab Positions'!$J$8:$J$10000,SMALL(IF('Schwab Positions'!$E$8:$E$10000=$C$2,ROW('Schwab Positions'!$E$8:$E$10000)-7,""),ROWS($I$19:$I500))),""),$F500*$G500),"")</f>
        <v/>
      </c>
    </row>
    <row r="501" spans="4:9">
      <c r="D501" s="34" t="str">
        <f>IFERROR(VLOOKUP(B501,'Security Type'!$A$2:$C$1000,3,FALSE),"")</f>
        <v/>
      </c>
      <c r="E501" s="34" t="str">
        <f>IF(B501="","",IF(ISNUMBER(MATCH(B501,'2022 Port'!$D$6:$D$67,0)),VLOOKUP(B501,'Security Type'!$A$3:$D$1000,4,FALSE),"NOT IN PORT"))</f>
        <v/>
      </c>
      <c r="F501" t="str" cm="1">
        <f t="array" ref="F501">IFERROR(INDEX('Schwab Positions'!$D$8:$D$10000,SMALL(IF('Schwab Positions'!$E$8:$E$10000=$C$2,ROW('Schwab Positions'!$E$8:$E$10000)-7,""),ROWS($F$19:$F501))),"")</f>
        <v/>
      </c>
      <c r="G501" s="1" t="str" cm="1">
        <f t="array" ref="G501">IFERROR(INDEX('Schwab Positions'!$I$8:$I$10000,SMALL(IF('Schwab Positions'!$E$8:$E$10000=$C$2,ROW('Schwab Positions'!$E$8:$E$10000)-7,""),ROWS($G$19:$G501))),"")</f>
        <v/>
      </c>
      <c r="H501" s="100" t="str">
        <f t="shared" si="17"/>
        <v/>
      </c>
      <c r="I501" s="37" t="str" cm="1">
        <f t="array" ref="I501">IFERROR(IF($D501="Bond",IFERROR(INDEX('Schwab Positions'!$J$8:$J$10000,SMALL(IF('Schwab Positions'!$E$8:$E$10000=$C$2,ROW('Schwab Positions'!$E$8:$E$10000)-7,""),ROWS($I$19:$I501))),""),$F501*$G501),"")</f>
        <v/>
      </c>
    </row>
    <row r="502" spans="4:9">
      <c r="D502" s="34" t="str">
        <f>IFERROR(VLOOKUP(B502,'Security Type'!$A$2:$C$1000,3,FALSE),"")</f>
        <v/>
      </c>
      <c r="E502" s="34" t="str">
        <f>IF(B502="","",IF(ISNUMBER(MATCH(B502,'2022 Port'!$D$6:$D$67,0)),VLOOKUP(B502,'Security Type'!$A$3:$D$1000,4,FALSE),"NOT IN PORT"))</f>
        <v/>
      </c>
      <c r="F502" t="str" cm="1">
        <f t="array" ref="F502">IFERROR(INDEX('Schwab Positions'!$D$8:$D$10000,SMALL(IF('Schwab Positions'!$E$8:$E$10000=$C$2,ROW('Schwab Positions'!$E$8:$E$10000)-7,""),ROWS($F$19:$F502))),"")</f>
        <v/>
      </c>
      <c r="G502" s="1" t="str" cm="1">
        <f t="array" ref="G502">IFERROR(INDEX('Schwab Positions'!$I$8:$I$10000,SMALL(IF('Schwab Positions'!$E$8:$E$10000=$C$2,ROW('Schwab Positions'!$E$8:$E$10000)-7,""),ROWS($G$19:$G502))),"")</f>
        <v/>
      </c>
      <c r="H502" s="100" t="str">
        <f t="shared" si="17"/>
        <v/>
      </c>
      <c r="I502" s="37" t="str" cm="1">
        <f t="array" ref="I502">IFERROR(IF($D502="Bond",IFERROR(INDEX('Schwab Positions'!$J$8:$J$10000,SMALL(IF('Schwab Positions'!$E$8:$E$10000=$C$2,ROW('Schwab Positions'!$E$8:$E$10000)-7,""),ROWS($I$19:$I502))),""),$F502*$G502),"")</f>
        <v/>
      </c>
    </row>
    <row r="503" spans="4:9">
      <c r="D503" s="34" t="str">
        <f>IFERROR(VLOOKUP(B503,'Security Type'!$A$2:$C$1000,3,FALSE),"")</f>
        <v/>
      </c>
      <c r="E503" s="34" t="str">
        <f>IF(B503="","",IF(ISNUMBER(MATCH(B503,'2022 Port'!$D$6:$D$67,0)),VLOOKUP(B503,'Security Type'!$A$3:$D$1000,4,FALSE),"NOT IN PORT"))</f>
        <v/>
      </c>
      <c r="F503" t="str" cm="1">
        <f t="array" ref="F503">IFERROR(INDEX('Schwab Positions'!$D$8:$D$10000,SMALL(IF('Schwab Positions'!$E$8:$E$10000=$C$2,ROW('Schwab Positions'!$E$8:$E$10000)-7,""),ROWS($F$19:$F503))),"")</f>
        <v/>
      </c>
      <c r="G503" s="1" t="str" cm="1">
        <f t="array" ref="G503">IFERROR(INDEX('Schwab Positions'!$I$8:$I$10000,SMALL(IF('Schwab Positions'!$E$8:$E$10000=$C$2,ROW('Schwab Positions'!$E$8:$E$10000)-7,""),ROWS($G$19:$G503))),"")</f>
        <v/>
      </c>
      <c r="H503" s="100" t="str">
        <f t="shared" si="17"/>
        <v/>
      </c>
      <c r="I503" s="37" t="str" cm="1">
        <f t="array" ref="I503">IFERROR(IF($D503="Bond",IFERROR(INDEX('Schwab Positions'!$J$8:$J$10000,SMALL(IF('Schwab Positions'!$E$8:$E$10000=$C$2,ROW('Schwab Positions'!$E$8:$E$10000)-7,""),ROWS($I$19:$I503))),""),$F503*$G503),"")</f>
        <v/>
      </c>
    </row>
    <row r="504" spans="4:9">
      <c r="D504" s="34" t="str">
        <f>IFERROR(VLOOKUP(B504,'Security Type'!$A$2:$C$1000,3,FALSE),"")</f>
        <v/>
      </c>
      <c r="E504" s="34" t="str">
        <f>IF(B504="","",IF(ISNUMBER(MATCH(B504,'2022 Port'!$D$6:$D$67,0)),VLOOKUP(B504,'Security Type'!$A$3:$D$1000,4,FALSE),"NOT IN PORT"))</f>
        <v/>
      </c>
      <c r="F504" t="str" cm="1">
        <f t="array" ref="F504">IFERROR(INDEX('Schwab Positions'!$D$8:$D$10000,SMALL(IF('Schwab Positions'!$E$8:$E$10000=$C$2,ROW('Schwab Positions'!$E$8:$E$10000)-7,""),ROWS($F$19:$F504))),"")</f>
        <v/>
      </c>
      <c r="G504" s="1" t="str" cm="1">
        <f t="array" ref="G504">IFERROR(INDEX('Schwab Positions'!$I$8:$I$10000,SMALL(IF('Schwab Positions'!$E$8:$E$10000=$C$2,ROW('Schwab Positions'!$E$8:$E$10000)-7,""),ROWS($G$19:$G504))),"")</f>
        <v/>
      </c>
      <c r="H504" s="100" t="str">
        <f t="shared" si="17"/>
        <v/>
      </c>
      <c r="I504" s="37" t="str" cm="1">
        <f t="array" ref="I504">IFERROR(IF($D504="Bond",IFERROR(INDEX('Schwab Positions'!$J$8:$J$10000,SMALL(IF('Schwab Positions'!$E$8:$E$10000=$C$2,ROW('Schwab Positions'!$E$8:$E$10000)-7,""),ROWS($I$19:$I504))),""),$F504*$G504),"")</f>
        <v/>
      </c>
    </row>
    <row r="505" spans="4:9">
      <c r="D505" s="34" t="str">
        <f>IFERROR(VLOOKUP(B505,'Security Type'!$A$2:$C$1000,3,FALSE),"")</f>
        <v/>
      </c>
      <c r="E505" s="34" t="str">
        <f>IF(B505="","",IF(ISNUMBER(MATCH(B505,'2022 Port'!$D$6:$D$67,0)),VLOOKUP(B505,'Security Type'!$A$3:$D$1000,4,FALSE),"NOT IN PORT"))</f>
        <v/>
      </c>
      <c r="F505" t="str" cm="1">
        <f t="array" ref="F505">IFERROR(INDEX('Schwab Positions'!$D$8:$D$10000,SMALL(IF('Schwab Positions'!$E$8:$E$10000=$C$2,ROW('Schwab Positions'!$E$8:$E$10000)-7,""),ROWS($F$19:$F505))),"")</f>
        <v/>
      </c>
      <c r="G505" s="1" t="str" cm="1">
        <f t="array" ref="G505">IFERROR(INDEX('Schwab Positions'!$I$8:$I$10000,SMALL(IF('Schwab Positions'!$E$8:$E$10000=$C$2,ROW('Schwab Positions'!$E$8:$E$10000)-7,""),ROWS($G$19:$G505))),"")</f>
        <v/>
      </c>
      <c r="H505" s="100" t="str">
        <f t="shared" si="17"/>
        <v/>
      </c>
      <c r="I505" s="37" t="str" cm="1">
        <f t="array" ref="I505">IFERROR(IF($D505="Bond",IFERROR(INDEX('Schwab Positions'!$J$8:$J$10000,SMALL(IF('Schwab Positions'!$E$8:$E$10000=$C$2,ROW('Schwab Positions'!$E$8:$E$10000)-7,""),ROWS($I$19:$I505))),""),$F505*$G505),"")</f>
        <v/>
      </c>
    </row>
    <row r="506" spans="4:9">
      <c r="D506" s="34" t="str">
        <f>IFERROR(VLOOKUP(B506,'Security Type'!$A$2:$C$1000,3,FALSE),"")</f>
        <v/>
      </c>
      <c r="E506" s="34" t="str">
        <f>IF(B506="","",IF(ISNUMBER(MATCH(B506,'2022 Port'!$D$6:$D$67,0)),VLOOKUP(B506,'Security Type'!$A$3:$D$1000,4,FALSE),"NOT IN PORT"))</f>
        <v/>
      </c>
      <c r="F506" t="str" cm="1">
        <f t="array" ref="F506">IFERROR(INDEX('Schwab Positions'!$D$8:$D$10000,SMALL(IF('Schwab Positions'!$E$8:$E$10000=$C$2,ROW('Schwab Positions'!$E$8:$E$10000)-7,""),ROWS($F$19:$F506))),"")</f>
        <v/>
      </c>
      <c r="G506" s="1" t="str" cm="1">
        <f t="array" ref="G506">IFERROR(INDEX('Schwab Positions'!$I$8:$I$10000,SMALL(IF('Schwab Positions'!$E$8:$E$10000=$C$2,ROW('Schwab Positions'!$E$8:$E$10000)-7,""),ROWS($G$19:$G506))),"")</f>
        <v/>
      </c>
      <c r="H506" s="100" t="str">
        <f t="shared" si="17"/>
        <v/>
      </c>
      <c r="I506" s="37" t="str" cm="1">
        <f t="array" ref="I506">IFERROR(IF($D506="Bond",IFERROR(INDEX('Schwab Positions'!$J$8:$J$10000,SMALL(IF('Schwab Positions'!$E$8:$E$10000=$C$2,ROW('Schwab Positions'!$E$8:$E$10000)-7,""),ROWS($I$19:$I506))),""),$F506*$G506),"")</f>
        <v/>
      </c>
    </row>
    <row r="507" spans="4:9">
      <c r="D507" s="34" t="str">
        <f>IFERROR(VLOOKUP(B507,'Security Type'!$A$2:$C$1000,3,FALSE),"")</f>
        <v/>
      </c>
      <c r="E507" s="34" t="str">
        <f>IF(B507="","",IF(ISNUMBER(MATCH(B507,'2022 Port'!$D$6:$D$67,0)),VLOOKUP(B507,'Security Type'!$A$3:$D$1000,4,FALSE),"NOT IN PORT"))</f>
        <v/>
      </c>
      <c r="F507" t="str" cm="1">
        <f t="array" ref="F507">IFERROR(INDEX('Schwab Positions'!$D$8:$D$10000,SMALL(IF('Schwab Positions'!$E$8:$E$10000=$C$2,ROW('Schwab Positions'!$E$8:$E$10000)-7,""),ROWS($F$19:$F507))),"")</f>
        <v/>
      </c>
      <c r="G507" s="1" t="str" cm="1">
        <f t="array" ref="G507">IFERROR(INDEX('Schwab Positions'!$I$8:$I$10000,SMALL(IF('Schwab Positions'!$E$8:$E$10000=$C$2,ROW('Schwab Positions'!$E$8:$E$10000)-7,""),ROWS($G$19:$G507))),"")</f>
        <v/>
      </c>
      <c r="H507" s="100" t="str">
        <f t="shared" si="17"/>
        <v/>
      </c>
      <c r="I507" s="37" t="str" cm="1">
        <f t="array" ref="I507">IFERROR(IF($D507="Bond",IFERROR(INDEX('Schwab Positions'!$J$8:$J$10000,SMALL(IF('Schwab Positions'!$E$8:$E$10000=$C$2,ROW('Schwab Positions'!$E$8:$E$10000)-7,""),ROWS($I$19:$I507))),""),$F507*$G507),"")</f>
        <v/>
      </c>
    </row>
    <row r="508" spans="4:9">
      <c r="D508" s="34" t="str">
        <f>IFERROR(VLOOKUP(B508,'Security Type'!$A$2:$C$1000,3,FALSE),"")</f>
        <v/>
      </c>
      <c r="E508" s="34" t="str">
        <f>IF(B508="","",IF(ISNUMBER(MATCH(B508,'2022 Port'!$D$6:$D$67,0)),VLOOKUP(B508,'Security Type'!$A$3:$D$1000,4,FALSE),"NOT IN PORT"))</f>
        <v/>
      </c>
      <c r="F508" t="str" cm="1">
        <f t="array" ref="F508">IFERROR(INDEX('Schwab Positions'!$D$8:$D$10000,SMALL(IF('Schwab Positions'!$E$8:$E$10000=$C$2,ROW('Schwab Positions'!$E$8:$E$10000)-7,""),ROWS($F$19:$F508))),"")</f>
        <v/>
      </c>
      <c r="G508" s="1" t="str" cm="1">
        <f t="array" ref="G508">IFERROR(INDEX('Schwab Positions'!$I$8:$I$10000,SMALL(IF('Schwab Positions'!$E$8:$E$10000=$C$2,ROW('Schwab Positions'!$E$8:$E$10000)-7,""),ROWS($G$19:$G508))),"")</f>
        <v/>
      </c>
      <c r="H508" s="100" t="str">
        <f t="shared" si="17"/>
        <v/>
      </c>
      <c r="I508" s="37" t="str" cm="1">
        <f t="array" ref="I508">IFERROR(IF($D508="Bond",IFERROR(INDEX('Schwab Positions'!$J$8:$J$10000,SMALL(IF('Schwab Positions'!$E$8:$E$10000=$C$2,ROW('Schwab Positions'!$E$8:$E$10000)-7,""),ROWS($I$19:$I508))),""),$F508*$G508),"")</f>
        <v/>
      </c>
    </row>
    <row r="509" spans="4:9">
      <c r="D509" s="34" t="str">
        <f>IFERROR(VLOOKUP(B509,'Security Type'!$A$2:$C$1000,3,FALSE),"")</f>
        <v/>
      </c>
      <c r="E509" s="34" t="str">
        <f>IF(B509="","",IF(ISNUMBER(MATCH(B509,'2022 Port'!$D$6:$D$67,0)),VLOOKUP(B509,'Security Type'!$A$3:$D$1000,4,FALSE),"NOT IN PORT"))</f>
        <v/>
      </c>
      <c r="F509" t="str" cm="1">
        <f t="array" ref="F509">IFERROR(INDEX('Schwab Positions'!$D$8:$D$10000,SMALL(IF('Schwab Positions'!$E$8:$E$10000=$C$2,ROW('Schwab Positions'!$E$8:$E$10000)-7,""),ROWS($F$19:$F509))),"")</f>
        <v/>
      </c>
      <c r="G509" s="1" t="str" cm="1">
        <f t="array" ref="G509">IFERROR(INDEX('Schwab Positions'!$I$8:$I$10000,SMALL(IF('Schwab Positions'!$E$8:$E$10000=$C$2,ROW('Schwab Positions'!$E$8:$E$10000)-7,""),ROWS($G$19:$G509))),"")</f>
        <v/>
      </c>
      <c r="H509" s="100" t="str">
        <f t="shared" si="17"/>
        <v/>
      </c>
      <c r="I509" s="37" t="str" cm="1">
        <f t="array" ref="I509">IFERROR(IF($D509="Bond",IFERROR(INDEX('Schwab Positions'!$J$8:$J$10000,SMALL(IF('Schwab Positions'!$E$8:$E$10000=$C$2,ROW('Schwab Positions'!$E$8:$E$10000)-7,""),ROWS($I$19:$I509))),""),$F509*$G509),"")</f>
        <v/>
      </c>
    </row>
    <row r="510" spans="4:9">
      <c r="D510" s="34" t="str">
        <f>IFERROR(VLOOKUP(B510,'Security Type'!$A$2:$C$1000,3,FALSE),"")</f>
        <v/>
      </c>
      <c r="E510" s="34" t="str">
        <f>IF(B510="","",IF(ISNUMBER(MATCH(B510,'2022 Port'!$D$6:$D$67,0)),VLOOKUP(B510,'Security Type'!$A$3:$D$1000,4,FALSE),"NOT IN PORT"))</f>
        <v/>
      </c>
      <c r="F510" t="str" cm="1">
        <f t="array" ref="F510">IFERROR(INDEX('Schwab Positions'!$D$8:$D$10000,SMALL(IF('Schwab Positions'!$E$8:$E$10000=$C$2,ROW('Schwab Positions'!$E$8:$E$10000)-7,""),ROWS($F$19:$F510))),"")</f>
        <v/>
      </c>
      <c r="G510" s="1" t="str" cm="1">
        <f t="array" ref="G510">IFERROR(INDEX('Schwab Positions'!$I$8:$I$10000,SMALL(IF('Schwab Positions'!$E$8:$E$10000=$C$2,ROW('Schwab Positions'!$E$8:$E$10000)-7,""),ROWS($G$19:$G510))),"")</f>
        <v/>
      </c>
      <c r="H510" s="100" t="str">
        <f t="shared" si="17"/>
        <v/>
      </c>
      <c r="I510" s="37" t="str" cm="1">
        <f t="array" ref="I510">IFERROR(IF($D510="Bond",IFERROR(INDEX('Schwab Positions'!$J$8:$J$10000,SMALL(IF('Schwab Positions'!$E$8:$E$10000=$C$2,ROW('Schwab Positions'!$E$8:$E$10000)-7,""),ROWS($I$19:$I510))),""),$F510*$G510),"")</f>
        <v/>
      </c>
    </row>
    <row r="511" spans="4:9">
      <c r="D511" s="34" t="str">
        <f>IFERROR(VLOOKUP(B511,'Security Type'!$A$2:$C$1000,3,FALSE),"")</f>
        <v/>
      </c>
      <c r="E511" s="34" t="str">
        <f>IF(B511="","",IF(ISNUMBER(MATCH(B511,'2022 Port'!$D$6:$D$67,0)),VLOOKUP(B511,'Security Type'!$A$3:$D$1000,4,FALSE),"NOT IN PORT"))</f>
        <v/>
      </c>
      <c r="F511" t="str" cm="1">
        <f t="array" ref="F511">IFERROR(INDEX('Schwab Positions'!$D$8:$D$10000,SMALL(IF('Schwab Positions'!$E$8:$E$10000=$C$2,ROW('Schwab Positions'!$E$8:$E$10000)-7,""),ROWS($F$19:$F511))),"")</f>
        <v/>
      </c>
      <c r="G511" s="1" t="str" cm="1">
        <f t="array" ref="G511">IFERROR(INDEX('Schwab Positions'!$I$8:$I$10000,SMALL(IF('Schwab Positions'!$E$8:$E$10000=$C$2,ROW('Schwab Positions'!$E$8:$E$10000)-7,""),ROWS($G$19:$G511))),"")</f>
        <v/>
      </c>
      <c r="H511" s="100" t="str">
        <f t="shared" si="17"/>
        <v/>
      </c>
      <c r="I511" s="37" t="str" cm="1">
        <f t="array" ref="I511">IFERROR(IF($D511="Bond",IFERROR(INDEX('Schwab Positions'!$J$8:$J$10000,SMALL(IF('Schwab Positions'!$E$8:$E$10000=$C$2,ROW('Schwab Positions'!$E$8:$E$10000)-7,""),ROWS($I$19:$I511))),""),$F511*$G511),"")</f>
        <v/>
      </c>
    </row>
    <row r="512" spans="4:9">
      <c r="D512" s="34" t="str">
        <f>IFERROR(VLOOKUP(B512,'Security Type'!$A$2:$C$1000,3,FALSE),"")</f>
        <v/>
      </c>
      <c r="E512" s="34" t="str">
        <f>IF(B512="","",IF(ISNUMBER(MATCH(B512,'2022 Port'!$D$6:$D$67,0)),VLOOKUP(B512,'Security Type'!$A$3:$D$1000,4,FALSE),"NOT IN PORT"))</f>
        <v/>
      </c>
      <c r="F512" t="str" cm="1">
        <f t="array" ref="F512">IFERROR(INDEX('Schwab Positions'!$D$8:$D$10000,SMALL(IF('Schwab Positions'!$E$8:$E$10000=$C$2,ROW('Schwab Positions'!$E$8:$E$10000)-7,""),ROWS($F$19:$F512))),"")</f>
        <v/>
      </c>
      <c r="G512" s="1" t="str" cm="1">
        <f t="array" ref="G512">IFERROR(INDEX('Schwab Positions'!$I$8:$I$10000,SMALL(IF('Schwab Positions'!$E$8:$E$10000=$C$2,ROW('Schwab Positions'!$E$8:$E$10000)-7,""),ROWS($G$19:$G512))),"")</f>
        <v/>
      </c>
      <c r="H512" s="100" t="str">
        <f t="shared" si="17"/>
        <v/>
      </c>
      <c r="I512" s="37" t="str" cm="1">
        <f t="array" ref="I512">IFERROR(IF($D512="Bond",IFERROR(INDEX('Schwab Positions'!$J$8:$J$10000,SMALL(IF('Schwab Positions'!$E$8:$E$10000=$C$2,ROW('Schwab Positions'!$E$8:$E$10000)-7,""),ROWS($I$19:$I512))),""),$F512*$G512),"")</f>
        <v/>
      </c>
    </row>
    <row r="513" spans="4:9">
      <c r="D513" s="34" t="str">
        <f>IFERROR(VLOOKUP(B513,'Security Type'!$A$2:$C$1000,3,FALSE),"")</f>
        <v/>
      </c>
      <c r="E513" s="34" t="str">
        <f>IF(B513="","",IF(ISNUMBER(MATCH(B513,'2022 Port'!$D$6:$D$67,0)),VLOOKUP(B513,'Security Type'!$A$3:$D$1000,4,FALSE),"NOT IN PORT"))</f>
        <v/>
      </c>
      <c r="F513" t="str" cm="1">
        <f t="array" ref="F513">IFERROR(INDEX('Schwab Positions'!$D$8:$D$10000,SMALL(IF('Schwab Positions'!$E$8:$E$10000=$C$2,ROW('Schwab Positions'!$E$8:$E$10000)-7,""),ROWS($F$19:$F513))),"")</f>
        <v/>
      </c>
      <c r="G513" s="1" t="str" cm="1">
        <f t="array" ref="G513">IFERROR(INDEX('Schwab Positions'!$I$8:$I$10000,SMALL(IF('Schwab Positions'!$E$8:$E$10000=$C$2,ROW('Schwab Positions'!$E$8:$E$10000)-7,""),ROWS($G$19:$G513))),"")</f>
        <v/>
      </c>
      <c r="H513" s="100" t="str">
        <f t="shared" si="17"/>
        <v/>
      </c>
      <c r="I513" s="37" t="str" cm="1">
        <f t="array" ref="I513">IFERROR(IF($D513="Bond",IFERROR(INDEX('Schwab Positions'!$J$8:$J$10000,SMALL(IF('Schwab Positions'!$E$8:$E$10000=$C$2,ROW('Schwab Positions'!$E$8:$E$10000)-7,""),ROWS($I$19:$I513))),""),$F513*$G513),"")</f>
        <v/>
      </c>
    </row>
    <row r="514" spans="4:9">
      <c r="D514" s="34" t="str">
        <f>IFERROR(VLOOKUP(B514,'Security Type'!$A$2:$C$1000,3,FALSE),"")</f>
        <v/>
      </c>
      <c r="E514" s="34" t="str">
        <f>IF(B514="","",IF(ISNUMBER(MATCH(B514,'2022 Port'!$D$6:$D$67,0)),VLOOKUP(B514,'Security Type'!$A$3:$D$1000,4,FALSE),"NOT IN PORT"))</f>
        <v/>
      </c>
      <c r="F514" t="str" cm="1">
        <f t="array" ref="F514">IFERROR(INDEX('Schwab Positions'!$D$8:$D$10000,SMALL(IF('Schwab Positions'!$E$8:$E$10000=$C$2,ROW('Schwab Positions'!$E$8:$E$10000)-7,""),ROWS($F$19:$F514))),"")</f>
        <v/>
      </c>
      <c r="G514" s="1" t="str" cm="1">
        <f t="array" ref="G514">IFERROR(INDEX('Schwab Positions'!$I$8:$I$10000,SMALL(IF('Schwab Positions'!$E$8:$E$10000=$C$2,ROW('Schwab Positions'!$E$8:$E$10000)-7,""),ROWS($G$19:$G514))),"")</f>
        <v/>
      </c>
      <c r="H514" s="100" t="str">
        <f t="shared" si="17"/>
        <v/>
      </c>
      <c r="I514" s="37" t="str" cm="1">
        <f t="array" ref="I514">IFERROR(IF($D514="Bond",IFERROR(INDEX('Schwab Positions'!$J$8:$J$10000,SMALL(IF('Schwab Positions'!$E$8:$E$10000=$C$2,ROW('Schwab Positions'!$E$8:$E$10000)-7,""),ROWS($I$19:$I514))),""),$F514*$G514),"")</f>
        <v/>
      </c>
    </row>
    <row r="515" spans="4:9">
      <c r="D515" s="34" t="str">
        <f>IFERROR(VLOOKUP(B515,'Security Type'!$A$2:$C$1000,3,FALSE),"")</f>
        <v/>
      </c>
      <c r="E515" s="34" t="str">
        <f>IF(B515="","",IF(ISNUMBER(MATCH(B515,'2022 Port'!$D$6:$D$67,0)),VLOOKUP(B515,'Security Type'!$A$3:$D$1000,4,FALSE),"NOT IN PORT"))</f>
        <v/>
      </c>
      <c r="F515" t="str" cm="1">
        <f t="array" ref="F515">IFERROR(INDEX('Schwab Positions'!$D$8:$D$10000,SMALL(IF('Schwab Positions'!$E$8:$E$10000=$C$2,ROW('Schwab Positions'!$E$8:$E$10000)-7,""),ROWS($F$19:$F515))),"")</f>
        <v/>
      </c>
      <c r="G515" s="1" t="str" cm="1">
        <f t="array" ref="G515">IFERROR(INDEX('Schwab Positions'!$I$8:$I$10000,SMALL(IF('Schwab Positions'!$E$8:$E$10000=$C$2,ROW('Schwab Positions'!$E$8:$E$10000)-7,""),ROWS($G$19:$G515))),"")</f>
        <v/>
      </c>
      <c r="H515" s="100" t="str">
        <f t="shared" si="17"/>
        <v/>
      </c>
      <c r="I515" s="37" t="str" cm="1">
        <f t="array" ref="I515">IFERROR(IF($D515="Bond",IFERROR(INDEX('Schwab Positions'!$J$8:$J$10000,SMALL(IF('Schwab Positions'!$E$8:$E$10000=$C$2,ROW('Schwab Positions'!$E$8:$E$10000)-7,""),ROWS($I$19:$I515))),""),$F515*$G515),"")</f>
        <v/>
      </c>
    </row>
    <row r="516" spans="4:9">
      <c r="D516" s="34" t="str">
        <f>IFERROR(VLOOKUP(B516,'Security Type'!$A$2:$C$1000,3,FALSE),"")</f>
        <v/>
      </c>
      <c r="E516" s="34" t="str">
        <f>IF(B516="","",IF(ISNUMBER(MATCH(B516,'2022 Port'!$D$6:$D$67,0)),VLOOKUP(B516,'Security Type'!$A$3:$D$1000,4,FALSE),"NOT IN PORT"))</f>
        <v/>
      </c>
      <c r="F516" t="str" cm="1">
        <f t="array" ref="F516">IFERROR(INDEX('Schwab Positions'!$D$8:$D$10000,SMALL(IF('Schwab Positions'!$E$8:$E$10000=$C$2,ROW('Schwab Positions'!$E$8:$E$10000)-7,""),ROWS($F$19:$F516))),"")</f>
        <v/>
      </c>
      <c r="G516" s="1" t="str" cm="1">
        <f t="array" ref="G516">IFERROR(INDEX('Schwab Positions'!$I$8:$I$10000,SMALL(IF('Schwab Positions'!$E$8:$E$10000=$C$2,ROW('Schwab Positions'!$E$8:$E$10000)-7,""),ROWS($G$19:$G516))),"")</f>
        <v/>
      </c>
      <c r="H516" s="100" t="str">
        <f t="shared" si="17"/>
        <v/>
      </c>
      <c r="I516" s="37" t="str" cm="1">
        <f t="array" ref="I516">IFERROR(IF($D516="Bond",IFERROR(INDEX('Schwab Positions'!$J$8:$J$10000,SMALL(IF('Schwab Positions'!$E$8:$E$10000=$C$2,ROW('Schwab Positions'!$E$8:$E$10000)-7,""),ROWS($I$19:$I516))),""),$F516*$G516),"")</f>
        <v/>
      </c>
    </row>
    <row r="517" spans="4:9">
      <c r="D517" s="34" t="str">
        <f>IFERROR(VLOOKUP(B517,'Security Type'!$A$2:$C$1000,3,FALSE),"")</f>
        <v/>
      </c>
      <c r="E517" s="34" t="str">
        <f>IF(B517="","",IF(ISNUMBER(MATCH(B517,'2022 Port'!$D$6:$D$67,0)),VLOOKUP(B517,'Security Type'!$A$3:$D$1000,4,FALSE),"NOT IN PORT"))</f>
        <v/>
      </c>
      <c r="F517" t="str" cm="1">
        <f t="array" ref="F517">IFERROR(INDEX('Schwab Positions'!$D$8:$D$10000,SMALL(IF('Schwab Positions'!$E$8:$E$10000=$C$2,ROW('Schwab Positions'!$E$8:$E$10000)-7,""),ROWS($F$19:$F517))),"")</f>
        <v/>
      </c>
      <c r="G517" s="1" t="str" cm="1">
        <f t="array" ref="G517">IFERROR(INDEX('Schwab Positions'!$I$8:$I$10000,SMALL(IF('Schwab Positions'!$E$8:$E$10000=$C$2,ROW('Schwab Positions'!$E$8:$E$10000)-7,""),ROWS($G$19:$G517))),"")</f>
        <v/>
      </c>
      <c r="H517" s="100" t="str">
        <f t="shared" si="17"/>
        <v/>
      </c>
      <c r="I517" s="37" t="str" cm="1">
        <f t="array" ref="I517">IFERROR(IF($D517="Bond",IFERROR(INDEX('Schwab Positions'!$J$8:$J$10000,SMALL(IF('Schwab Positions'!$E$8:$E$10000=$C$2,ROW('Schwab Positions'!$E$8:$E$10000)-7,""),ROWS($I$19:$I517))),""),$F517*$G517),"")</f>
        <v/>
      </c>
    </row>
    <row r="518" spans="4:9">
      <c r="D518" s="34" t="str">
        <f>IFERROR(VLOOKUP(B518,'Security Type'!$A$2:$C$1000,3,FALSE),"")</f>
        <v/>
      </c>
      <c r="E518" s="34" t="str">
        <f>IF(B518="","",IF(ISNUMBER(MATCH(B518,'2022 Port'!$D$6:$D$67,0)),VLOOKUP(B518,'Security Type'!$A$3:$D$1000,4,FALSE),"NOT IN PORT"))</f>
        <v/>
      </c>
      <c r="F518" t="str" cm="1">
        <f t="array" ref="F518">IFERROR(INDEX('Schwab Positions'!$D$8:$D$10000,SMALL(IF('Schwab Positions'!$E$8:$E$10000=$C$2,ROW('Schwab Positions'!$E$8:$E$10000)-7,""),ROWS($F$19:$F518))),"")</f>
        <v/>
      </c>
      <c r="G518" s="1" t="str" cm="1">
        <f t="array" ref="G518">IFERROR(INDEX('Schwab Positions'!$I$8:$I$10000,SMALL(IF('Schwab Positions'!$E$8:$E$10000=$C$2,ROW('Schwab Positions'!$E$8:$E$10000)-7,""),ROWS($G$19:$G518))),"")</f>
        <v/>
      </c>
      <c r="H518" s="100" t="str">
        <f t="shared" si="17"/>
        <v/>
      </c>
      <c r="I518" s="37" t="str" cm="1">
        <f t="array" ref="I518">IFERROR(IF($D518="Bond",IFERROR(INDEX('Schwab Positions'!$J$8:$J$10000,SMALL(IF('Schwab Positions'!$E$8:$E$10000=$C$2,ROW('Schwab Positions'!$E$8:$E$10000)-7,""),ROWS($I$19:$I518))),""),$F518*$G518),"")</f>
        <v/>
      </c>
    </row>
    <row r="519" spans="4:9">
      <c r="D519" s="34" t="str">
        <f>IFERROR(VLOOKUP(B519,'Security Type'!$A$2:$C$1000,3,FALSE),"")</f>
        <v/>
      </c>
      <c r="E519" s="34" t="str">
        <f>IF(B519="","",IF(ISNUMBER(MATCH(B519,'2022 Port'!$D$6:$D$67,0)),VLOOKUP(B519,'Security Type'!$A$3:$D$1000,4,FALSE),"NOT IN PORT"))</f>
        <v/>
      </c>
      <c r="F519" t="str" cm="1">
        <f t="array" ref="F519">IFERROR(INDEX('Schwab Positions'!$D$8:$D$10000,SMALL(IF('Schwab Positions'!$E$8:$E$10000=$C$2,ROW('Schwab Positions'!$E$8:$E$10000)-7,""),ROWS($F$19:$F519))),"")</f>
        <v/>
      </c>
      <c r="G519" s="1" t="str" cm="1">
        <f t="array" ref="G519">IFERROR(INDEX('Schwab Positions'!$I$8:$I$10000,SMALL(IF('Schwab Positions'!$E$8:$E$10000=$C$2,ROW('Schwab Positions'!$E$8:$E$10000)-7,""),ROWS($G$19:$G519))),"")</f>
        <v/>
      </c>
      <c r="H519" s="100" t="str">
        <f t="shared" si="17"/>
        <v/>
      </c>
      <c r="I519" s="37" t="str" cm="1">
        <f t="array" ref="I519">IFERROR(IF($D519="Bond",IFERROR(INDEX('Schwab Positions'!$J$8:$J$10000,SMALL(IF('Schwab Positions'!$E$8:$E$10000=$C$2,ROW('Schwab Positions'!$E$8:$E$10000)-7,""),ROWS($I$19:$I519))),""),$F519*$G519),"")</f>
        <v/>
      </c>
    </row>
    <row r="520" spans="4:9">
      <c r="D520" s="34" t="str">
        <f>IFERROR(VLOOKUP(B520,'Security Type'!$A$2:$C$1000,3,FALSE),"")</f>
        <v/>
      </c>
      <c r="E520" s="34" t="str">
        <f>IF(B520="","",IF(ISNUMBER(MATCH(B520,'2022 Port'!$D$6:$D$67,0)),VLOOKUP(B520,'Security Type'!$A$3:$D$1000,4,FALSE),"NOT IN PORT"))</f>
        <v/>
      </c>
      <c r="F520" t="str" cm="1">
        <f t="array" ref="F520">IFERROR(INDEX('Schwab Positions'!$D$8:$D$10000,SMALL(IF('Schwab Positions'!$E$8:$E$10000=$C$2,ROW('Schwab Positions'!$E$8:$E$10000)-7,""),ROWS($F$19:$F520))),"")</f>
        <v/>
      </c>
      <c r="G520" s="1" t="str" cm="1">
        <f t="array" ref="G520">IFERROR(INDEX('Schwab Positions'!$I$8:$I$10000,SMALL(IF('Schwab Positions'!$E$8:$E$10000=$C$2,ROW('Schwab Positions'!$E$8:$E$10000)-7,""),ROWS($G$19:$G520))),"")</f>
        <v/>
      </c>
      <c r="H520" s="100" t="str">
        <f t="shared" si="17"/>
        <v/>
      </c>
      <c r="I520" s="37" t="str" cm="1">
        <f t="array" ref="I520">IFERROR(IF($D520="Bond",IFERROR(INDEX('Schwab Positions'!$J$8:$J$10000,SMALL(IF('Schwab Positions'!$E$8:$E$10000=$C$2,ROW('Schwab Positions'!$E$8:$E$10000)-7,""),ROWS($I$19:$I520))),""),$F520*$G520),"")</f>
        <v/>
      </c>
    </row>
    <row r="521" spans="4:9">
      <c r="D521" s="34" t="str">
        <f>IFERROR(VLOOKUP(B521,'Security Type'!$A$2:$C$1000,3,FALSE),"")</f>
        <v/>
      </c>
      <c r="E521" s="34" t="str">
        <f>IF(B521="","",IF(ISNUMBER(MATCH(B521,'2022 Port'!$D$6:$D$67,0)),VLOOKUP(B521,'Security Type'!$A$3:$D$1000,4,FALSE),"NOT IN PORT"))</f>
        <v/>
      </c>
      <c r="F521" t="str" cm="1">
        <f t="array" ref="F521">IFERROR(INDEX('Schwab Positions'!$D$8:$D$10000,SMALL(IF('Schwab Positions'!$E$8:$E$10000=$C$2,ROW('Schwab Positions'!$E$8:$E$10000)-7,""),ROWS($F$19:$F521))),"")</f>
        <v/>
      </c>
      <c r="G521" s="1" t="str" cm="1">
        <f t="array" ref="G521">IFERROR(INDEX('Schwab Positions'!$I$8:$I$10000,SMALL(IF('Schwab Positions'!$E$8:$E$10000=$C$2,ROW('Schwab Positions'!$E$8:$E$10000)-7,""),ROWS($G$19:$G521))),"")</f>
        <v/>
      </c>
      <c r="H521" s="100" t="str">
        <f t="shared" si="17"/>
        <v/>
      </c>
      <c r="I521" s="37" t="str" cm="1">
        <f t="array" ref="I521">IFERROR(IF($D521="Bond",IFERROR(INDEX('Schwab Positions'!$J$8:$J$10000,SMALL(IF('Schwab Positions'!$E$8:$E$10000=$C$2,ROW('Schwab Positions'!$E$8:$E$10000)-7,""),ROWS($I$19:$I521))),""),$F521*$G521),"")</f>
        <v/>
      </c>
    </row>
    <row r="522" spans="4:9">
      <c r="D522" s="34" t="str">
        <f>IFERROR(VLOOKUP(B522,'Security Type'!$A$2:$C$1000,3,FALSE),"")</f>
        <v/>
      </c>
      <c r="E522" s="34" t="str">
        <f>IF(B522="","",IF(ISNUMBER(MATCH(B522,'2022 Port'!$D$6:$D$67,0)),VLOOKUP(B522,'Security Type'!$A$3:$D$1000,4,FALSE),"NOT IN PORT"))</f>
        <v/>
      </c>
      <c r="F522" t="str" cm="1">
        <f t="array" ref="F522">IFERROR(INDEX('Schwab Positions'!$D$8:$D$10000,SMALL(IF('Schwab Positions'!$E$8:$E$10000=$C$2,ROW('Schwab Positions'!$E$8:$E$10000)-7,""),ROWS($F$19:$F522))),"")</f>
        <v/>
      </c>
      <c r="G522" s="1" t="str" cm="1">
        <f t="array" ref="G522">IFERROR(INDEX('Schwab Positions'!$I$8:$I$10000,SMALL(IF('Schwab Positions'!$E$8:$E$10000=$C$2,ROW('Schwab Positions'!$E$8:$E$10000)-7,""),ROWS($G$19:$G522))),"")</f>
        <v/>
      </c>
      <c r="H522" s="100" t="str">
        <f t="shared" si="17"/>
        <v/>
      </c>
      <c r="I522" s="37" t="str" cm="1">
        <f t="array" ref="I522">IFERROR(IF($D522="Bond",IFERROR(INDEX('Schwab Positions'!$J$8:$J$10000,SMALL(IF('Schwab Positions'!$E$8:$E$10000=$C$2,ROW('Schwab Positions'!$E$8:$E$10000)-7,""),ROWS($I$19:$I522))),""),$F522*$G522),"")</f>
        <v/>
      </c>
    </row>
  </sheetData>
  <mergeCells count="4">
    <mergeCell ref="K3:P3"/>
    <mergeCell ref="B5:D5"/>
    <mergeCell ref="B17:I17"/>
    <mergeCell ref="K17:P17"/>
  </mergeCells>
  <conditionalFormatting sqref="P6:P9">
    <cfRule type="dataBar" priority="6">
      <dataBar>
        <cfvo type="min"/>
        <cfvo type="percent" val="100"/>
        <color rgb="FF008AEF"/>
      </dataBar>
      <extLst>
        <ext xmlns:x14="http://schemas.microsoft.com/office/spreadsheetml/2009/9/main" uri="{B025F937-C7B1-47D3-B67F-A62EFF666E3E}">
          <x14:id>{B75018FA-C2AF-4CF5-9B33-DF88482E476E}</x14:id>
        </ext>
      </extLst>
    </cfRule>
  </conditionalFormatting>
  <conditionalFormatting sqref="K19:K142">
    <cfRule type="cellIs" dxfId="2" priority="4" operator="lessThan">
      <formula>0</formula>
    </cfRule>
    <cfRule type="cellIs" dxfId="1" priority="5" operator="greaterThan">
      <formula>0</formula>
    </cfRule>
  </conditionalFormatting>
  <conditionalFormatting sqref="E18:E522">
    <cfRule type="containsText" dxfId="0" priority="1" operator="containsText" text="NOT IN PORT">
      <formula>NOT(ISERROR(SEARCH("NOT IN PORT",E18)))</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75018FA-C2AF-4CF5-9B33-DF88482E476E}">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P6:P9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8"/>
  <sheetViews>
    <sheetView topLeftCell="A311" workbookViewId="0">
      <selection activeCell="B12" sqref="B12"/>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8.7109375" customWidth="1"/>
    <col min="9" max="9" width="9.85546875" bestFit="1" customWidth="1"/>
    <col min="10" max="10" width="15.140625" bestFit="1" customWidth="1"/>
    <col min="11" max="11" width="14.28515625" bestFit="1" customWidth="1"/>
    <col min="12" max="12" width="20.28515625" bestFit="1" customWidth="1"/>
    <col min="13" max="13" width="15.42578125" bestFit="1" customWidth="1"/>
    <col min="14" max="14" width="17.140625" bestFit="1" customWidth="1"/>
    <col min="15" max="15" width="26.140625" bestFit="1" customWidth="1"/>
    <col min="16" max="16" width="17.42578125" bestFit="1" customWidth="1"/>
  </cols>
  <sheetData>
    <row r="1" spans="1:16">
      <c r="A1" t="s">
        <v>1110</v>
      </c>
    </row>
    <row r="2" spans="1:16">
      <c r="A2" t="s">
        <v>1111</v>
      </c>
    </row>
    <row r="3" spans="1:16">
      <c r="A3" t="s">
        <v>0</v>
      </c>
    </row>
    <row r="5" spans="1:16">
      <c r="A5" t="s">
        <v>1</v>
      </c>
      <c r="B5" t="s">
        <v>2</v>
      </c>
      <c r="C5" t="s">
        <v>3</v>
      </c>
      <c r="D5" t="s">
        <v>4</v>
      </c>
      <c r="E5" t="s">
        <v>5</v>
      </c>
    </row>
    <row r="6" spans="1:16">
      <c r="A6" s="1"/>
      <c r="B6" s="1"/>
      <c r="C6" s="1"/>
      <c r="D6" s="1"/>
    </row>
    <row r="8" spans="1:16">
      <c r="A8" t="s">
        <v>6</v>
      </c>
      <c r="B8" t="s">
        <v>7</v>
      </c>
      <c r="C8" t="s">
        <v>8</v>
      </c>
      <c r="D8" t="s">
        <v>9</v>
      </c>
      <c r="E8" t="s">
        <v>10</v>
      </c>
      <c r="F8" t="s">
        <v>11</v>
      </c>
      <c r="G8" t="s">
        <v>12</v>
      </c>
      <c r="H8" t="s">
        <v>1112</v>
      </c>
      <c r="I8" t="s">
        <v>14</v>
      </c>
      <c r="J8" t="s">
        <v>15</v>
      </c>
      <c r="K8" t="s">
        <v>16</v>
      </c>
      <c r="L8" t="s">
        <v>17</v>
      </c>
      <c r="M8" t="s">
        <v>18</v>
      </c>
      <c r="N8" t="s">
        <v>19</v>
      </c>
      <c r="O8" t="s">
        <v>20</v>
      </c>
      <c r="P8" t="s">
        <v>21</v>
      </c>
    </row>
    <row r="9" spans="1:16">
      <c r="A9" t="s">
        <v>177</v>
      </c>
      <c r="B9" t="s">
        <v>200</v>
      </c>
      <c r="C9" t="str">
        <f>VLOOKUP(A9,#REF!,3,FALSE)</f>
        <v>US Equity</v>
      </c>
      <c r="D9">
        <v>926</v>
      </c>
      <c r="E9">
        <v>11111111</v>
      </c>
      <c r="F9" t="s">
        <v>1113</v>
      </c>
      <c r="G9" t="s">
        <v>1113</v>
      </c>
      <c r="I9" s="1">
        <v>137.5301</v>
      </c>
      <c r="J9" s="1">
        <v>127352.8726</v>
      </c>
      <c r="K9" t="s">
        <v>24</v>
      </c>
      <c r="M9" t="s">
        <v>22</v>
      </c>
      <c r="O9" s="3">
        <v>1.6000000000000001E-3</v>
      </c>
      <c r="P9" t="s">
        <v>1114</v>
      </c>
    </row>
    <row r="10" spans="1:16">
      <c r="A10" t="s">
        <v>178</v>
      </c>
      <c r="B10" t="s">
        <v>201</v>
      </c>
      <c r="C10" t="str">
        <f>VLOOKUP(A10,#REF!,3,FALSE)</f>
        <v>US Equity</v>
      </c>
      <c r="D10">
        <v>998</v>
      </c>
      <c r="E10">
        <v>11111111</v>
      </c>
      <c r="F10" t="s">
        <v>1113</v>
      </c>
      <c r="G10" t="s">
        <v>1113</v>
      </c>
      <c r="I10" s="1">
        <v>97.09</v>
      </c>
      <c r="J10" s="1">
        <v>96895.82</v>
      </c>
      <c r="K10" t="s">
        <v>24</v>
      </c>
      <c r="M10" t="s">
        <v>22</v>
      </c>
      <c r="O10" s="3">
        <v>1.1999999999999999E-3</v>
      </c>
      <c r="P10" t="s">
        <v>1115</v>
      </c>
    </row>
    <row r="11" spans="1:16">
      <c r="A11" t="s">
        <v>115</v>
      </c>
      <c r="B11" t="s">
        <v>125</v>
      </c>
      <c r="C11" t="str">
        <f>VLOOKUP(A11,#REF!,3,FALSE)</f>
        <v>US Equity</v>
      </c>
      <c r="D11">
        <v>367</v>
      </c>
      <c r="E11">
        <v>11111111</v>
      </c>
      <c r="F11" t="s">
        <v>1113</v>
      </c>
      <c r="G11" t="s">
        <v>1113</v>
      </c>
      <c r="I11" s="1">
        <v>119.4722</v>
      </c>
      <c r="J11" s="1">
        <v>43846.297400000003</v>
      </c>
      <c r="K11" t="s">
        <v>24</v>
      </c>
      <c r="M11" t="s">
        <v>22</v>
      </c>
      <c r="O11" s="3">
        <v>5.0000000000000001E-4</v>
      </c>
      <c r="P11" t="s">
        <v>1116</v>
      </c>
    </row>
    <row r="12" spans="1:16">
      <c r="A12" t="s">
        <v>179</v>
      </c>
      <c r="B12" t="s">
        <v>202</v>
      </c>
      <c r="C12" t="str">
        <f>VLOOKUP(A12,#REF!,3,FALSE)</f>
        <v>US Equity</v>
      </c>
      <c r="D12">
        <v>410</v>
      </c>
      <c r="E12">
        <v>11111111</v>
      </c>
      <c r="F12" t="s">
        <v>1113</v>
      </c>
      <c r="G12" t="s">
        <v>1113</v>
      </c>
      <c r="I12" s="1">
        <v>82.757900000000006</v>
      </c>
      <c r="J12" s="1">
        <v>33930.739000000001</v>
      </c>
      <c r="K12" t="s">
        <v>24</v>
      </c>
      <c r="M12" t="s">
        <v>22</v>
      </c>
      <c r="O12" s="3">
        <v>4.0000000000000002E-4</v>
      </c>
      <c r="P12" t="s">
        <v>1117</v>
      </c>
    </row>
    <row r="13" spans="1:16">
      <c r="A13" t="s">
        <v>180</v>
      </c>
      <c r="B13" t="s">
        <v>203</v>
      </c>
      <c r="C13" t="str">
        <f>VLOOKUP(A13,#REF!,3,FALSE)</f>
        <v>US Equity</v>
      </c>
      <c r="D13">
        <v>455</v>
      </c>
      <c r="E13">
        <v>11111111</v>
      </c>
      <c r="F13" t="s">
        <v>1113</v>
      </c>
      <c r="G13" t="s">
        <v>1113</v>
      </c>
      <c r="I13" s="1">
        <v>135.44999999999999</v>
      </c>
      <c r="J13" s="1">
        <v>61629.749999999993</v>
      </c>
      <c r="K13" t="s">
        <v>24</v>
      </c>
      <c r="M13" t="s">
        <v>22</v>
      </c>
      <c r="O13" s="3">
        <v>8.0000000000000004E-4</v>
      </c>
      <c r="P13" t="s">
        <v>1118</v>
      </c>
    </row>
    <row r="14" spans="1:16">
      <c r="A14" t="s">
        <v>181</v>
      </c>
      <c r="B14" t="s">
        <v>204</v>
      </c>
      <c r="C14" t="str">
        <f>VLOOKUP(A14,#REF!,3,FALSE)</f>
        <v>US Equity</v>
      </c>
      <c r="D14">
        <v>16</v>
      </c>
      <c r="E14">
        <v>11111111</v>
      </c>
      <c r="F14" t="s">
        <v>1113</v>
      </c>
      <c r="G14" t="s">
        <v>1113</v>
      </c>
      <c r="I14" s="1">
        <v>2342.4175</v>
      </c>
      <c r="J14" s="1">
        <v>37478.68</v>
      </c>
      <c r="K14" t="s">
        <v>24</v>
      </c>
      <c r="M14" t="s">
        <v>22</v>
      </c>
      <c r="O14" s="3">
        <v>5.0000000000000001E-4</v>
      </c>
      <c r="P14" t="s">
        <v>1119</v>
      </c>
    </row>
    <row r="15" spans="1:16">
      <c r="A15" t="s">
        <v>33</v>
      </c>
      <c r="B15" t="s">
        <v>205</v>
      </c>
      <c r="C15" t="str">
        <f>VLOOKUP(A15,#REF!,3,FALSE)</f>
        <v>US Equity</v>
      </c>
      <c r="D15">
        <v>46</v>
      </c>
      <c r="E15">
        <v>11111111</v>
      </c>
      <c r="F15" t="s">
        <v>1113</v>
      </c>
      <c r="G15" t="s">
        <v>1113</v>
      </c>
      <c r="I15" s="1">
        <v>741.19</v>
      </c>
      <c r="J15" s="1">
        <v>34094.740000000005</v>
      </c>
      <c r="K15" t="s">
        <v>24</v>
      </c>
      <c r="M15" t="s">
        <v>22</v>
      </c>
      <c r="O15" s="3">
        <v>4.0000000000000002E-4</v>
      </c>
      <c r="P15" t="s">
        <v>1120</v>
      </c>
    </row>
    <row r="16" spans="1:16">
      <c r="A16" t="s">
        <v>182</v>
      </c>
      <c r="B16" t="s">
        <v>182</v>
      </c>
      <c r="C16" t="str">
        <f>VLOOKUP(A16,#REF!,3,FALSE)</f>
        <v>US Equity</v>
      </c>
      <c r="D16" s="2">
        <v>8093</v>
      </c>
      <c r="E16">
        <v>11111111</v>
      </c>
      <c r="F16" t="s">
        <v>1113</v>
      </c>
      <c r="G16" t="s">
        <v>1113</v>
      </c>
      <c r="I16" s="1">
        <v>23.355</v>
      </c>
      <c r="J16" s="1">
        <v>189012.01500000001</v>
      </c>
      <c r="K16" t="s">
        <v>24</v>
      </c>
      <c r="M16" t="s">
        <v>22</v>
      </c>
      <c r="O16" s="3">
        <v>2.3999999999999998E-3</v>
      </c>
      <c r="P16" t="s">
        <v>1121</v>
      </c>
    </row>
    <row r="17" spans="1:16">
      <c r="A17" t="s">
        <v>27</v>
      </c>
      <c r="B17" t="s">
        <v>206</v>
      </c>
      <c r="C17" t="str">
        <f>VLOOKUP(A17,#REF!,3,FALSE)</f>
        <v>US Equity</v>
      </c>
      <c r="D17">
        <v>58</v>
      </c>
      <c r="E17">
        <v>11111111</v>
      </c>
      <c r="F17" t="s">
        <v>1113</v>
      </c>
      <c r="G17" t="s">
        <v>1113</v>
      </c>
      <c r="I17" s="1">
        <v>309.19900000000001</v>
      </c>
      <c r="J17" s="1">
        <v>17933.542000000001</v>
      </c>
      <c r="K17" t="s">
        <v>24</v>
      </c>
      <c r="M17" t="s">
        <v>22</v>
      </c>
      <c r="O17" s="3">
        <v>2.0000000000000001E-4</v>
      </c>
      <c r="P17" t="s">
        <v>1122</v>
      </c>
    </row>
    <row r="18" spans="1:16">
      <c r="A18" t="s">
        <v>183</v>
      </c>
      <c r="B18" t="s">
        <v>207</v>
      </c>
      <c r="C18" t="str">
        <f>VLOOKUP(A18,#REF!,3,FALSE)</f>
        <v>US Equity</v>
      </c>
      <c r="D18">
        <v>221</v>
      </c>
      <c r="E18">
        <v>11111111</v>
      </c>
      <c r="F18" t="s">
        <v>1113</v>
      </c>
      <c r="G18" t="s">
        <v>1113</v>
      </c>
      <c r="I18" s="1">
        <v>273.65499999999997</v>
      </c>
      <c r="J18" s="1">
        <v>60477.754999999997</v>
      </c>
      <c r="K18" t="s">
        <v>24</v>
      </c>
      <c r="M18" t="s">
        <v>22</v>
      </c>
      <c r="O18" s="3">
        <v>8.0000000000000004E-4</v>
      </c>
      <c r="P18" t="s">
        <v>1123</v>
      </c>
    </row>
    <row r="19" spans="1:16">
      <c r="A19" t="s">
        <v>29</v>
      </c>
      <c r="B19" t="s">
        <v>208</v>
      </c>
      <c r="C19" t="str">
        <f>VLOOKUP(A19,#REF!,3,FALSE)</f>
        <v>US Equity</v>
      </c>
      <c r="D19">
        <v>434</v>
      </c>
      <c r="E19">
        <v>11111111</v>
      </c>
      <c r="F19" t="s">
        <v>1113</v>
      </c>
      <c r="G19" t="s">
        <v>1113</v>
      </c>
      <c r="I19" s="1">
        <v>67.87</v>
      </c>
      <c r="J19" s="1">
        <v>29455.58</v>
      </c>
      <c r="K19" t="s">
        <v>24</v>
      </c>
      <c r="M19" t="s">
        <v>22</v>
      </c>
      <c r="O19" s="3">
        <v>4.0000000000000002E-4</v>
      </c>
      <c r="P19" t="s">
        <v>1124</v>
      </c>
    </row>
    <row r="20" spans="1:16">
      <c r="A20" t="s">
        <v>184</v>
      </c>
      <c r="B20" t="s">
        <v>209</v>
      </c>
      <c r="C20" t="str">
        <f>VLOOKUP(A20,#REF!,3,FALSE)</f>
        <v>US Equity</v>
      </c>
      <c r="D20" s="2">
        <v>4105</v>
      </c>
      <c r="E20">
        <v>11111111</v>
      </c>
      <c r="F20" t="s">
        <v>1113</v>
      </c>
      <c r="G20" t="s">
        <v>1113</v>
      </c>
      <c r="I20" s="1">
        <v>32.72</v>
      </c>
      <c r="J20" s="1">
        <v>134315.6</v>
      </c>
      <c r="K20" t="s">
        <v>24</v>
      </c>
      <c r="M20" t="s">
        <v>22</v>
      </c>
      <c r="O20" s="3">
        <v>1.6999999999999999E-3</v>
      </c>
      <c r="P20" t="s">
        <v>1125</v>
      </c>
    </row>
    <row r="21" spans="1:16">
      <c r="A21" t="s">
        <v>185</v>
      </c>
      <c r="B21" t="s">
        <v>210</v>
      </c>
      <c r="C21" t="str">
        <f>VLOOKUP(A21,#REF!,3,FALSE)</f>
        <v>US Equity</v>
      </c>
      <c r="D21" s="2">
        <v>8428</v>
      </c>
      <c r="E21">
        <v>11111111</v>
      </c>
      <c r="F21" t="s">
        <v>1113</v>
      </c>
      <c r="G21" t="s">
        <v>1113</v>
      </c>
      <c r="I21" s="1">
        <v>29.2</v>
      </c>
      <c r="J21" s="1">
        <v>246097.6</v>
      </c>
      <c r="K21" t="s">
        <v>24</v>
      </c>
      <c r="M21" t="s">
        <v>22</v>
      </c>
      <c r="O21" s="3">
        <v>3.0999999999999999E-3</v>
      </c>
      <c r="P21" t="s">
        <v>1126</v>
      </c>
    </row>
    <row r="22" spans="1:16">
      <c r="A22" t="s">
        <v>186</v>
      </c>
      <c r="B22" t="s">
        <v>211</v>
      </c>
      <c r="C22" t="str">
        <f>VLOOKUP(A22,#REF!,3,FALSE)</f>
        <v>US Equity</v>
      </c>
      <c r="D22">
        <v>256</v>
      </c>
      <c r="E22">
        <v>11111111</v>
      </c>
      <c r="F22" t="s">
        <v>1113</v>
      </c>
      <c r="G22" t="s">
        <v>1113</v>
      </c>
      <c r="I22" s="1">
        <v>147.56</v>
      </c>
      <c r="J22" s="1">
        <v>37775.360000000001</v>
      </c>
      <c r="K22" t="s">
        <v>24</v>
      </c>
      <c r="M22" t="s">
        <v>22</v>
      </c>
      <c r="O22" s="3">
        <v>5.0000000000000001E-4</v>
      </c>
      <c r="P22" t="s">
        <v>1127</v>
      </c>
    </row>
    <row r="23" spans="1:16">
      <c r="A23" t="s">
        <v>187</v>
      </c>
      <c r="B23" t="s">
        <v>212</v>
      </c>
      <c r="C23" t="str">
        <f>VLOOKUP(A23,#REF!,3,FALSE)</f>
        <v>US Equity</v>
      </c>
      <c r="D23" s="2">
        <v>3313</v>
      </c>
      <c r="E23">
        <v>11111111</v>
      </c>
      <c r="F23" t="s">
        <v>1113</v>
      </c>
      <c r="G23" t="s">
        <v>1113</v>
      </c>
      <c r="I23" s="1">
        <v>32.414999999999999</v>
      </c>
      <c r="J23" s="1">
        <v>107390.895</v>
      </c>
      <c r="K23" t="s">
        <v>24</v>
      </c>
      <c r="M23" t="s">
        <v>22</v>
      </c>
      <c r="O23" s="3">
        <v>1.2999999999999999E-3</v>
      </c>
      <c r="P23" t="s">
        <v>1128</v>
      </c>
    </row>
    <row r="24" spans="1:16">
      <c r="A24" t="s">
        <v>188</v>
      </c>
      <c r="B24" t="s">
        <v>213</v>
      </c>
      <c r="C24" t="str">
        <f>VLOOKUP(A24,#REF!,3,FALSE)</f>
        <v>US Equity</v>
      </c>
      <c r="D24">
        <v>721</v>
      </c>
      <c r="E24">
        <v>11111111</v>
      </c>
      <c r="F24" t="s">
        <v>1113</v>
      </c>
      <c r="G24" t="s">
        <v>1113</v>
      </c>
      <c r="I24" s="1">
        <v>97.79</v>
      </c>
      <c r="J24" s="1">
        <v>70506.590000000011</v>
      </c>
      <c r="K24" t="s">
        <v>24</v>
      </c>
      <c r="M24" t="s">
        <v>22</v>
      </c>
      <c r="O24" s="3">
        <v>8.9999999999999998E-4</v>
      </c>
      <c r="P24" t="s">
        <v>1129</v>
      </c>
    </row>
    <row r="25" spans="1:16">
      <c r="A25" t="s">
        <v>151</v>
      </c>
      <c r="B25" t="s">
        <v>214</v>
      </c>
      <c r="C25" t="str">
        <f>VLOOKUP(A25,#REF!,3,FALSE)</f>
        <v>US Equity</v>
      </c>
      <c r="D25">
        <v>877</v>
      </c>
      <c r="E25">
        <v>11111111</v>
      </c>
      <c r="F25" t="s">
        <v>1113</v>
      </c>
      <c r="G25" t="s">
        <v>1113</v>
      </c>
      <c r="I25" s="1">
        <v>44.49</v>
      </c>
      <c r="J25" s="1">
        <v>39017.730000000003</v>
      </c>
      <c r="K25" t="s">
        <v>24</v>
      </c>
      <c r="M25" t="s">
        <v>22</v>
      </c>
      <c r="O25" s="3">
        <v>5.0000000000000001E-4</v>
      </c>
      <c r="P25" t="s">
        <v>1130</v>
      </c>
    </row>
    <row r="26" spans="1:16">
      <c r="A26" t="s">
        <v>189</v>
      </c>
      <c r="B26" t="s">
        <v>215</v>
      </c>
      <c r="C26" t="str">
        <f>VLOOKUP(A26,#REF!,3,FALSE)</f>
        <v>US Equity</v>
      </c>
      <c r="D26">
        <v>56</v>
      </c>
      <c r="E26">
        <v>11111111</v>
      </c>
      <c r="F26" t="s">
        <v>1113</v>
      </c>
      <c r="G26" t="s">
        <v>1113</v>
      </c>
      <c r="I26" s="1">
        <v>495.39</v>
      </c>
      <c r="J26" s="1">
        <v>27741.84</v>
      </c>
      <c r="K26" t="s">
        <v>24</v>
      </c>
      <c r="M26" t="s">
        <v>22</v>
      </c>
      <c r="O26" s="3">
        <v>2.9999999999999997E-4</v>
      </c>
      <c r="P26" t="s">
        <v>1131</v>
      </c>
    </row>
    <row r="27" spans="1:16">
      <c r="A27" t="s">
        <v>32</v>
      </c>
      <c r="B27" t="s">
        <v>216</v>
      </c>
      <c r="C27" t="str">
        <f>VLOOKUP(A27,#REF!,3,FALSE)</f>
        <v>US Equity</v>
      </c>
      <c r="D27" s="2">
        <v>6708</v>
      </c>
      <c r="E27">
        <v>11111111</v>
      </c>
      <c r="F27" t="s">
        <v>1113</v>
      </c>
      <c r="G27" t="s">
        <v>1113</v>
      </c>
      <c r="I27" s="1">
        <v>51.395000000000003</v>
      </c>
      <c r="J27" s="1">
        <v>344757.66000000003</v>
      </c>
      <c r="K27" t="s">
        <v>24</v>
      </c>
      <c r="M27" t="s">
        <v>22</v>
      </c>
      <c r="O27" s="3">
        <v>4.3E-3</v>
      </c>
      <c r="P27" t="s">
        <v>1132</v>
      </c>
    </row>
    <row r="28" spans="1:16">
      <c r="A28" t="s">
        <v>190</v>
      </c>
      <c r="B28" t="s">
        <v>217</v>
      </c>
      <c r="C28" t="str">
        <f>VLOOKUP(A28,#REF!,3,FALSE)</f>
        <v>US Equity</v>
      </c>
      <c r="D28">
        <v>195</v>
      </c>
      <c r="E28">
        <v>11111111</v>
      </c>
      <c r="F28" t="s">
        <v>1113</v>
      </c>
      <c r="G28" t="s">
        <v>1113</v>
      </c>
      <c r="I28" s="1">
        <v>223.166</v>
      </c>
      <c r="J28" s="1">
        <v>43517.37</v>
      </c>
      <c r="K28" t="s">
        <v>24</v>
      </c>
      <c r="M28" t="s">
        <v>22</v>
      </c>
      <c r="O28" s="3">
        <v>5.0000000000000001E-4</v>
      </c>
      <c r="P28" t="s">
        <v>1133</v>
      </c>
    </row>
    <row r="29" spans="1:16">
      <c r="A29" t="s">
        <v>191</v>
      </c>
      <c r="B29" t="s">
        <v>218</v>
      </c>
      <c r="C29" t="str">
        <f>VLOOKUP(A29,#REF!,3,FALSE)</f>
        <v>US Equity</v>
      </c>
      <c r="D29">
        <v>169</v>
      </c>
      <c r="E29">
        <v>11111111</v>
      </c>
      <c r="F29" t="s">
        <v>1113</v>
      </c>
      <c r="G29" t="s">
        <v>1113</v>
      </c>
      <c r="I29" s="1">
        <v>184.70500000000001</v>
      </c>
      <c r="J29" s="1">
        <v>31215.145</v>
      </c>
      <c r="K29" t="s">
        <v>24</v>
      </c>
      <c r="M29" t="s">
        <v>22</v>
      </c>
      <c r="O29" s="3">
        <v>4.0000000000000002E-4</v>
      </c>
      <c r="P29" t="s">
        <v>1134</v>
      </c>
    </row>
    <row r="30" spans="1:16">
      <c r="A30" t="s">
        <v>192</v>
      </c>
      <c r="B30" t="s">
        <v>219</v>
      </c>
      <c r="C30" t="str">
        <f>VLOOKUP(A30,#REF!,3,FALSE)</f>
        <v>US Equity</v>
      </c>
      <c r="D30" s="2">
        <v>4453.5393000000004</v>
      </c>
      <c r="E30">
        <v>11111111</v>
      </c>
      <c r="F30" t="s">
        <v>1113</v>
      </c>
      <c r="G30" t="s">
        <v>1113</v>
      </c>
      <c r="I30" s="1">
        <v>55</v>
      </c>
      <c r="J30" s="1">
        <v>244944.66150000002</v>
      </c>
      <c r="K30" t="s">
        <v>26</v>
      </c>
      <c r="M30" t="s">
        <v>22</v>
      </c>
      <c r="O30" s="3">
        <v>3.0000000000000001E-3</v>
      </c>
      <c r="P30" t="s">
        <v>1135</v>
      </c>
    </row>
    <row r="31" spans="1:16">
      <c r="A31" t="s">
        <v>193</v>
      </c>
      <c r="B31" t="s">
        <v>220</v>
      </c>
      <c r="C31" t="str">
        <f>VLOOKUP(A31,#REF!,3,FALSE)</f>
        <v>US Equity</v>
      </c>
      <c r="D31">
        <v>277</v>
      </c>
      <c r="E31">
        <v>11111111</v>
      </c>
      <c r="F31" t="s">
        <v>1113</v>
      </c>
      <c r="G31" t="s">
        <v>1113</v>
      </c>
      <c r="I31" s="1">
        <v>134.89500000000001</v>
      </c>
      <c r="J31" s="1">
        <v>37365.915000000001</v>
      </c>
      <c r="K31" t="s">
        <v>24</v>
      </c>
      <c r="M31" t="s">
        <v>22</v>
      </c>
      <c r="O31" s="3">
        <v>5.0000000000000001E-4</v>
      </c>
      <c r="P31" t="s">
        <v>1136</v>
      </c>
    </row>
    <row r="32" spans="1:16">
      <c r="A32" t="s">
        <v>54</v>
      </c>
      <c r="B32" t="s">
        <v>221</v>
      </c>
      <c r="C32" t="str">
        <f>VLOOKUP(A32,#REF!,3,FALSE)</f>
        <v>US Equity</v>
      </c>
      <c r="D32">
        <v>108</v>
      </c>
      <c r="E32">
        <v>11111111</v>
      </c>
      <c r="F32" t="s">
        <v>1113</v>
      </c>
      <c r="G32" t="s">
        <v>1113</v>
      </c>
      <c r="I32" s="1">
        <v>327.96</v>
      </c>
      <c r="J32" s="1">
        <v>35419.68</v>
      </c>
      <c r="K32" t="s">
        <v>24</v>
      </c>
      <c r="M32" t="s">
        <v>22</v>
      </c>
      <c r="O32" s="3">
        <v>4.0000000000000002E-4</v>
      </c>
      <c r="P32" t="s">
        <v>1137</v>
      </c>
    </row>
    <row r="33" spans="1:16">
      <c r="A33" t="s">
        <v>53</v>
      </c>
      <c r="B33" t="s">
        <v>222</v>
      </c>
      <c r="C33" t="str">
        <f>VLOOKUP(A33,#REF!,3,FALSE)</f>
        <v>US Equity</v>
      </c>
      <c r="D33">
        <v>48</v>
      </c>
      <c r="E33">
        <v>11111111</v>
      </c>
      <c r="F33" t="s">
        <v>1113</v>
      </c>
      <c r="G33" t="s">
        <v>1113</v>
      </c>
      <c r="I33" s="1">
        <v>442.5</v>
      </c>
      <c r="J33" s="1">
        <v>21240</v>
      </c>
      <c r="K33" t="s">
        <v>24</v>
      </c>
      <c r="M33" t="s">
        <v>22</v>
      </c>
      <c r="O33" s="3">
        <v>2.9999999999999997E-4</v>
      </c>
      <c r="P33" t="s">
        <v>1138</v>
      </c>
    </row>
    <row r="34" spans="1:16">
      <c r="A34" t="s">
        <v>155</v>
      </c>
      <c r="B34" t="s">
        <v>223</v>
      </c>
      <c r="C34" t="str">
        <f>VLOOKUP(A34,#REF!,3,FALSE)</f>
        <v>US Equity</v>
      </c>
      <c r="D34">
        <v>331</v>
      </c>
      <c r="E34">
        <v>11111111</v>
      </c>
      <c r="F34" t="s">
        <v>1113</v>
      </c>
      <c r="G34" t="s">
        <v>1113</v>
      </c>
      <c r="I34" s="1">
        <v>125.45</v>
      </c>
      <c r="J34" s="1">
        <v>41523.950000000004</v>
      </c>
      <c r="K34" t="s">
        <v>24</v>
      </c>
      <c r="M34" t="s">
        <v>22</v>
      </c>
      <c r="O34" s="3">
        <v>5.0000000000000001E-4</v>
      </c>
      <c r="P34" t="s">
        <v>1139</v>
      </c>
    </row>
    <row r="35" spans="1:16">
      <c r="A35" t="s">
        <v>31</v>
      </c>
      <c r="B35" t="s">
        <v>224</v>
      </c>
      <c r="C35" t="str">
        <f>VLOOKUP(A35,#REF!,3,FALSE)</f>
        <v>US Equity</v>
      </c>
      <c r="D35">
        <v>412</v>
      </c>
      <c r="E35">
        <v>11111111</v>
      </c>
      <c r="F35" t="s">
        <v>1113</v>
      </c>
      <c r="G35" t="s">
        <v>1113</v>
      </c>
      <c r="I35" s="1">
        <v>240.23</v>
      </c>
      <c r="J35" s="1">
        <v>98974.76</v>
      </c>
      <c r="K35" t="s">
        <v>24</v>
      </c>
      <c r="M35" t="s">
        <v>22</v>
      </c>
      <c r="O35" s="3">
        <v>1.1999999999999999E-3</v>
      </c>
      <c r="P35" t="s">
        <v>1140</v>
      </c>
    </row>
    <row r="36" spans="1:16">
      <c r="A36" t="s">
        <v>194</v>
      </c>
      <c r="B36" t="s">
        <v>225</v>
      </c>
      <c r="C36" t="str">
        <f>VLOOKUP(A36,#REF!,3,FALSE)</f>
        <v>US Equity</v>
      </c>
      <c r="D36" s="2">
        <v>1440</v>
      </c>
      <c r="E36">
        <v>11111111</v>
      </c>
      <c r="F36" t="s">
        <v>1113</v>
      </c>
      <c r="G36" t="s">
        <v>1113</v>
      </c>
      <c r="I36" s="1">
        <v>27.05</v>
      </c>
      <c r="J36" s="1">
        <v>38952</v>
      </c>
      <c r="K36" t="s">
        <v>24</v>
      </c>
      <c r="M36" t="s">
        <v>22</v>
      </c>
      <c r="O36" s="3">
        <v>5.0000000000000001E-4</v>
      </c>
      <c r="P36" t="s">
        <v>1141</v>
      </c>
    </row>
    <row r="37" spans="1:16">
      <c r="A37" t="s">
        <v>195</v>
      </c>
      <c r="B37" t="s">
        <v>226</v>
      </c>
      <c r="C37" t="str">
        <f>VLOOKUP(A37,#REF!,3,FALSE)</f>
        <v>US Equity</v>
      </c>
      <c r="D37">
        <v>288</v>
      </c>
      <c r="E37">
        <v>11111111</v>
      </c>
      <c r="F37" t="s">
        <v>1113</v>
      </c>
      <c r="G37" t="s">
        <v>1113</v>
      </c>
      <c r="I37" s="1">
        <v>126.08499999999999</v>
      </c>
      <c r="J37" s="1">
        <v>36312.479999999996</v>
      </c>
      <c r="K37" t="s">
        <v>24</v>
      </c>
      <c r="M37" t="s">
        <v>22</v>
      </c>
      <c r="O37" s="3">
        <v>5.0000000000000001E-4</v>
      </c>
      <c r="P37" t="s">
        <v>1142</v>
      </c>
    </row>
    <row r="38" spans="1:16">
      <c r="A38" t="s">
        <v>196</v>
      </c>
      <c r="B38" t="s">
        <v>227</v>
      </c>
      <c r="C38" t="str">
        <f>VLOOKUP(A38,#REF!,3,FALSE)</f>
        <v>US Equity</v>
      </c>
      <c r="D38">
        <v>258</v>
      </c>
      <c r="E38">
        <v>11111111</v>
      </c>
      <c r="F38" t="s">
        <v>1113</v>
      </c>
      <c r="G38" t="s">
        <v>1113</v>
      </c>
      <c r="I38" s="1">
        <v>145.91</v>
      </c>
      <c r="J38" s="1">
        <v>37644.78</v>
      </c>
      <c r="K38" t="s">
        <v>24</v>
      </c>
      <c r="M38" t="s">
        <v>22</v>
      </c>
      <c r="O38" s="3">
        <v>5.0000000000000001E-4</v>
      </c>
      <c r="P38" t="s">
        <v>1143</v>
      </c>
    </row>
    <row r="39" spans="1:16">
      <c r="A39" t="s">
        <v>197</v>
      </c>
      <c r="B39" t="s">
        <v>228</v>
      </c>
      <c r="C39" t="str">
        <f>VLOOKUP(A39,#REF!,3,FALSE)</f>
        <v>US Equity</v>
      </c>
      <c r="D39" s="2">
        <v>2586</v>
      </c>
      <c r="E39">
        <v>11111111</v>
      </c>
      <c r="F39" t="s">
        <v>1113</v>
      </c>
      <c r="G39" t="s">
        <v>1113</v>
      </c>
      <c r="I39" s="1">
        <v>20.335000000000001</v>
      </c>
      <c r="J39" s="1">
        <v>52586.310000000005</v>
      </c>
      <c r="K39" t="s">
        <v>24</v>
      </c>
      <c r="M39" t="s">
        <v>22</v>
      </c>
      <c r="O39" s="3">
        <v>6.9999999999999999E-4</v>
      </c>
      <c r="P39" t="s">
        <v>1144</v>
      </c>
    </row>
    <row r="40" spans="1:16">
      <c r="A40" t="s">
        <v>34</v>
      </c>
      <c r="B40" t="s">
        <v>229</v>
      </c>
      <c r="C40" t="str">
        <f>VLOOKUP(A40,#REF!,3,FALSE)</f>
        <v>US Equity</v>
      </c>
      <c r="D40" s="2">
        <v>1203</v>
      </c>
      <c r="E40">
        <v>11111111</v>
      </c>
      <c r="F40" t="s">
        <v>1113</v>
      </c>
      <c r="G40" t="s">
        <v>1113</v>
      </c>
      <c r="I40" s="1">
        <v>40.42</v>
      </c>
      <c r="J40" s="1">
        <v>48625.26</v>
      </c>
      <c r="K40" t="s">
        <v>24</v>
      </c>
      <c r="M40" t="s">
        <v>22</v>
      </c>
      <c r="O40" s="3">
        <v>5.9999999999999995E-4</v>
      </c>
      <c r="P40" t="s">
        <v>1145</v>
      </c>
    </row>
    <row r="41" spans="1:16">
      <c r="A41" t="s">
        <v>198</v>
      </c>
      <c r="B41" t="s">
        <v>230</v>
      </c>
      <c r="C41" t="str">
        <f>VLOOKUP(A41,#REF!,3,FALSE)</f>
        <v>US Equity</v>
      </c>
      <c r="D41" s="2">
        <v>6938</v>
      </c>
      <c r="E41">
        <v>11111111</v>
      </c>
      <c r="F41" t="s">
        <v>1113</v>
      </c>
      <c r="G41" t="s">
        <v>1113</v>
      </c>
      <c r="I41" s="1">
        <v>12.414999999999999</v>
      </c>
      <c r="J41" s="1">
        <v>86135.26999999999</v>
      </c>
      <c r="K41" t="s">
        <v>24</v>
      </c>
      <c r="M41" t="s">
        <v>22</v>
      </c>
      <c r="O41" s="3">
        <v>1.1000000000000001E-3</v>
      </c>
      <c r="P41" t="s">
        <v>1146</v>
      </c>
    </row>
    <row r="42" spans="1:16">
      <c r="A42" t="s">
        <v>199</v>
      </c>
      <c r="B42" t="s">
        <v>231</v>
      </c>
      <c r="C42" t="str">
        <f>VLOOKUP(A42,#REF!,3,FALSE)</f>
        <v>US Equity</v>
      </c>
      <c r="D42">
        <v>143</v>
      </c>
      <c r="E42">
        <v>11111111</v>
      </c>
      <c r="F42" t="s">
        <v>1113</v>
      </c>
      <c r="G42" t="s">
        <v>1113</v>
      </c>
      <c r="I42" s="1">
        <v>288.79000000000002</v>
      </c>
      <c r="J42" s="1">
        <v>41296.97</v>
      </c>
      <c r="K42" t="s">
        <v>24</v>
      </c>
      <c r="M42" t="s">
        <v>22</v>
      </c>
      <c r="O42" s="3">
        <v>5.0000000000000001E-4</v>
      </c>
      <c r="P42" t="s">
        <v>1147</v>
      </c>
    </row>
    <row r="43" spans="1:16">
      <c r="A43" t="s">
        <v>1148</v>
      </c>
      <c r="B43" t="s">
        <v>1149</v>
      </c>
      <c r="C43" t="str">
        <f>VLOOKUP(A43,#REF!,3,FALSE)</f>
        <v>Emerging</v>
      </c>
      <c r="D43">
        <v>337</v>
      </c>
      <c r="E43">
        <v>11111111</v>
      </c>
      <c r="F43" t="s">
        <v>1113</v>
      </c>
      <c r="G43" t="s">
        <v>1113</v>
      </c>
      <c r="I43" s="1">
        <v>78.644999999999996</v>
      </c>
      <c r="J43" s="1">
        <v>26503.364999999998</v>
      </c>
      <c r="K43" t="s">
        <v>24</v>
      </c>
      <c r="M43" t="s">
        <v>22</v>
      </c>
      <c r="O43" s="3">
        <v>2.9999999999999997E-4</v>
      </c>
      <c r="P43" t="s">
        <v>1150</v>
      </c>
    </row>
    <row r="44" spans="1:16">
      <c r="A44" t="s">
        <v>1151</v>
      </c>
      <c r="B44" t="s">
        <v>1152</v>
      </c>
      <c r="C44" t="str">
        <f>VLOOKUP(A44,#REF!,3,FALSE)</f>
        <v>Emerging</v>
      </c>
      <c r="D44">
        <v>51</v>
      </c>
      <c r="E44">
        <v>11111111</v>
      </c>
      <c r="F44" t="s">
        <v>1113</v>
      </c>
      <c r="G44" t="s">
        <v>1113</v>
      </c>
      <c r="I44" s="1">
        <v>282.38</v>
      </c>
      <c r="J44" s="1">
        <v>14401.38</v>
      </c>
      <c r="K44" t="s">
        <v>24</v>
      </c>
      <c r="M44" t="s">
        <v>22</v>
      </c>
      <c r="O44" s="3">
        <v>2.0000000000000001E-4</v>
      </c>
      <c r="P44" t="s">
        <v>1153</v>
      </c>
    </row>
    <row r="45" spans="1:16">
      <c r="A45" t="s">
        <v>1154</v>
      </c>
      <c r="B45" t="s">
        <v>1155</v>
      </c>
      <c r="C45" t="str">
        <f>VLOOKUP(A45,#REF!,3,FALSE)</f>
        <v>Emerging</v>
      </c>
      <c r="D45">
        <v>399</v>
      </c>
      <c r="E45">
        <v>11111111</v>
      </c>
      <c r="F45" t="s">
        <v>1113</v>
      </c>
      <c r="G45" t="s">
        <v>1113</v>
      </c>
      <c r="I45" s="1">
        <v>94.265000000000001</v>
      </c>
      <c r="J45" s="1">
        <v>37611.735000000001</v>
      </c>
      <c r="K45" t="s">
        <v>24</v>
      </c>
      <c r="M45" t="s">
        <v>22</v>
      </c>
      <c r="O45" s="3">
        <v>5.0000000000000001E-4</v>
      </c>
      <c r="P45" t="s">
        <v>1156</v>
      </c>
    </row>
    <row r="46" spans="1:16">
      <c r="A46" t="s">
        <v>1157</v>
      </c>
      <c r="B46" t="s">
        <v>1158</v>
      </c>
      <c r="C46" t="str">
        <f>VLOOKUP(A46,#REF!,3,FALSE)</f>
        <v>Intl</v>
      </c>
      <c r="D46">
        <v>658</v>
      </c>
      <c r="E46">
        <v>11111111</v>
      </c>
      <c r="F46" t="s">
        <v>1113</v>
      </c>
      <c r="G46" t="s">
        <v>1113</v>
      </c>
      <c r="I46" s="1">
        <v>126.29</v>
      </c>
      <c r="J46" s="1">
        <v>83098.820000000007</v>
      </c>
      <c r="K46" t="s">
        <v>24</v>
      </c>
      <c r="M46" t="s">
        <v>22</v>
      </c>
      <c r="O46" s="3">
        <v>1E-3</v>
      </c>
      <c r="P46" t="s">
        <v>1159</v>
      </c>
    </row>
    <row r="47" spans="1:16">
      <c r="A47" t="s">
        <v>1160</v>
      </c>
      <c r="B47" t="s">
        <v>1161</v>
      </c>
      <c r="C47" t="str">
        <f>VLOOKUP(A47,#REF!,3,FALSE)</f>
        <v>Intl</v>
      </c>
      <c r="D47" s="2">
        <v>1877</v>
      </c>
      <c r="E47">
        <v>11111111</v>
      </c>
      <c r="F47" t="s">
        <v>1113</v>
      </c>
      <c r="G47" t="s">
        <v>1113</v>
      </c>
      <c r="I47" s="1">
        <v>44.564999999999998</v>
      </c>
      <c r="J47" s="1">
        <v>83648.50499999999</v>
      </c>
      <c r="K47" t="s">
        <v>24</v>
      </c>
      <c r="M47" t="s">
        <v>22</v>
      </c>
      <c r="O47" s="3">
        <v>1E-3</v>
      </c>
      <c r="P47" t="s">
        <v>1162</v>
      </c>
    </row>
    <row r="48" spans="1:16">
      <c r="A48" t="s">
        <v>1163</v>
      </c>
      <c r="B48" t="s">
        <v>1164</v>
      </c>
      <c r="C48" t="str">
        <f>VLOOKUP(A48,#REF!,3,FALSE)</f>
        <v>Intl</v>
      </c>
      <c r="D48">
        <v>352</v>
      </c>
      <c r="E48">
        <v>11111111</v>
      </c>
      <c r="F48" t="s">
        <v>1113</v>
      </c>
      <c r="G48" t="s">
        <v>1113</v>
      </c>
      <c r="I48" s="1">
        <v>395.25</v>
      </c>
      <c r="J48" s="1">
        <v>139128</v>
      </c>
      <c r="K48" t="s">
        <v>24</v>
      </c>
      <c r="M48" t="s">
        <v>22</v>
      </c>
      <c r="O48" s="3">
        <v>1.6999999999999999E-3</v>
      </c>
      <c r="P48" t="s">
        <v>1165</v>
      </c>
    </row>
    <row r="49" spans="1:16">
      <c r="A49" t="s">
        <v>80</v>
      </c>
      <c r="B49" t="s">
        <v>1166</v>
      </c>
      <c r="C49" t="str">
        <f>VLOOKUP(A49,#REF!,3,FALSE)</f>
        <v>Intl</v>
      </c>
      <c r="D49">
        <v>691</v>
      </c>
      <c r="E49">
        <v>11111111</v>
      </c>
      <c r="F49" t="s">
        <v>1113</v>
      </c>
      <c r="G49" t="s">
        <v>1113</v>
      </c>
      <c r="I49" s="1">
        <v>50.354999999999997</v>
      </c>
      <c r="J49" s="1">
        <v>34795.305</v>
      </c>
      <c r="K49" t="s">
        <v>24</v>
      </c>
      <c r="M49" t="s">
        <v>22</v>
      </c>
      <c r="O49" s="3">
        <v>4.0000000000000002E-4</v>
      </c>
      <c r="P49" t="s">
        <v>1167</v>
      </c>
    </row>
    <row r="50" spans="1:16">
      <c r="A50" t="s">
        <v>156</v>
      </c>
      <c r="B50" t="s">
        <v>1168</v>
      </c>
      <c r="C50" t="str">
        <f>VLOOKUP(A50,#REF!,3,FALSE)</f>
        <v>MMF</v>
      </c>
      <c r="D50">
        <v>156</v>
      </c>
      <c r="E50">
        <v>11111111</v>
      </c>
      <c r="F50" t="s">
        <v>1113</v>
      </c>
      <c r="G50" t="s">
        <v>1113</v>
      </c>
      <c r="I50" s="1">
        <v>1</v>
      </c>
      <c r="J50" s="1">
        <v>156</v>
      </c>
      <c r="K50" t="s">
        <v>24</v>
      </c>
      <c r="M50" t="s">
        <v>22</v>
      </c>
      <c r="O50" s="3">
        <v>4.0000000000000002E-4</v>
      </c>
      <c r="P50" t="s">
        <v>1169</v>
      </c>
    </row>
    <row r="51" spans="1:16">
      <c r="A51" t="s">
        <v>1170</v>
      </c>
      <c r="B51" t="s">
        <v>1171</v>
      </c>
      <c r="C51" t="str">
        <f>VLOOKUP(A51,#REF!,3,FALSE)</f>
        <v>Bond</v>
      </c>
      <c r="D51" s="2">
        <v>4277</v>
      </c>
      <c r="E51">
        <v>11111111</v>
      </c>
      <c r="F51" t="s">
        <v>1113</v>
      </c>
      <c r="G51" t="s">
        <v>1113</v>
      </c>
      <c r="I51" s="1">
        <v>80.459999999999994</v>
      </c>
      <c r="J51" s="1">
        <v>344127.42</v>
      </c>
      <c r="K51" t="s">
        <v>24</v>
      </c>
      <c r="M51" t="s">
        <v>22</v>
      </c>
      <c r="O51" s="3">
        <v>4.3E-3</v>
      </c>
      <c r="P51" t="s">
        <v>1172</v>
      </c>
    </row>
    <row r="52" spans="1:16">
      <c r="A52" t="s">
        <v>1173</v>
      </c>
      <c r="B52" t="s">
        <v>1174</v>
      </c>
      <c r="C52" t="str">
        <f>VLOOKUP(A52,#REF!,3,FALSE)</f>
        <v>Bond</v>
      </c>
      <c r="D52" s="2">
        <v>103000</v>
      </c>
      <c r="E52">
        <v>11111111</v>
      </c>
      <c r="F52" t="s">
        <v>1113</v>
      </c>
      <c r="G52" t="s">
        <v>1113</v>
      </c>
      <c r="I52" s="1">
        <v>28.41</v>
      </c>
      <c r="J52" s="1">
        <v>29262.3</v>
      </c>
      <c r="M52" t="s">
        <v>22</v>
      </c>
      <c r="O52" s="3">
        <v>4.0000000000000002E-4</v>
      </c>
      <c r="P52" t="s">
        <v>23</v>
      </c>
    </row>
    <row r="53" spans="1:16">
      <c r="A53" t="s">
        <v>1175</v>
      </c>
      <c r="B53" t="s">
        <v>1176</v>
      </c>
      <c r="C53" t="str">
        <f>VLOOKUP(A53,#REF!,3,FALSE)</f>
        <v>Bond</v>
      </c>
      <c r="D53" s="2">
        <v>94000</v>
      </c>
      <c r="E53">
        <v>11111111</v>
      </c>
      <c r="F53" t="s">
        <v>1113</v>
      </c>
      <c r="G53" t="s">
        <v>1113</v>
      </c>
      <c r="I53" s="1">
        <v>96.935000000000002</v>
      </c>
      <c r="J53" s="1">
        <v>91118.9</v>
      </c>
      <c r="M53" t="s">
        <v>22</v>
      </c>
      <c r="O53" s="3">
        <v>1.1000000000000001E-3</v>
      </c>
      <c r="P53" t="s">
        <v>23</v>
      </c>
    </row>
    <row r="54" spans="1:16">
      <c r="A54" t="s">
        <v>1177</v>
      </c>
      <c r="B54" t="s">
        <v>1178</v>
      </c>
      <c r="C54" t="str">
        <f>VLOOKUP(A54,#REF!,3,FALSE)</f>
        <v>Bond</v>
      </c>
      <c r="D54" s="2">
        <v>12000</v>
      </c>
      <c r="E54">
        <v>11111111</v>
      </c>
      <c r="F54" t="s">
        <v>1113</v>
      </c>
      <c r="G54" t="s">
        <v>1113</v>
      </c>
      <c r="I54" s="1">
        <v>98.955600000000004</v>
      </c>
      <c r="J54" s="1">
        <v>11874.67</v>
      </c>
      <c r="M54" t="s">
        <v>22</v>
      </c>
      <c r="O54" s="3">
        <v>1E-4</v>
      </c>
      <c r="P54" t="s">
        <v>23</v>
      </c>
    </row>
    <row r="55" spans="1:16">
      <c r="A55" t="s">
        <v>82</v>
      </c>
      <c r="B55" t="s">
        <v>83</v>
      </c>
      <c r="C55" t="str">
        <f>VLOOKUP(A55,#REF!,3,FALSE)</f>
        <v>US ETF</v>
      </c>
      <c r="D55" s="2">
        <v>11238.326999999999</v>
      </c>
      <c r="E55">
        <v>11111111</v>
      </c>
      <c r="F55" t="s">
        <v>1113</v>
      </c>
      <c r="G55" t="s">
        <v>1113</v>
      </c>
      <c r="I55" s="1">
        <v>28.4</v>
      </c>
      <c r="J55" s="1">
        <v>319168.49</v>
      </c>
      <c r="K55" t="s">
        <v>24</v>
      </c>
      <c r="L55" t="s">
        <v>24</v>
      </c>
      <c r="M55" t="s">
        <v>22</v>
      </c>
      <c r="O55" s="3">
        <v>4.0000000000000001E-3</v>
      </c>
      <c r="P55" t="s">
        <v>23</v>
      </c>
    </row>
    <row r="56" spans="1:16">
      <c r="A56" t="s">
        <v>1179</v>
      </c>
      <c r="B56" t="s">
        <v>1180</v>
      </c>
      <c r="C56" t="str">
        <f>VLOOKUP(A56,#REF!,3,FALSE)</f>
        <v>REIT</v>
      </c>
      <c r="D56" s="2">
        <v>21852.417000000001</v>
      </c>
      <c r="E56">
        <v>11111111</v>
      </c>
      <c r="F56" t="s">
        <v>1113</v>
      </c>
      <c r="G56" t="s">
        <v>1113</v>
      </c>
      <c r="I56" s="1">
        <v>4.84</v>
      </c>
      <c r="J56" s="1">
        <v>105765.7</v>
      </c>
      <c r="K56" t="s">
        <v>24</v>
      </c>
      <c r="L56" t="s">
        <v>24</v>
      </c>
      <c r="M56" t="s">
        <v>22</v>
      </c>
      <c r="O56" s="3">
        <v>1.2999999999999999E-3</v>
      </c>
      <c r="P56" t="s">
        <v>23</v>
      </c>
    </row>
    <row r="57" spans="1:16">
      <c r="A57" t="s">
        <v>85</v>
      </c>
      <c r="B57" t="s">
        <v>1181</v>
      </c>
      <c r="C57" t="str">
        <f>VLOOKUP(A57,#REF!,3,FALSE)</f>
        <v>US MF</v>
      </c>
      <c r="D57">
        <v>683.86</v>
      </c>
      <c r="E57">
        <v>11111111</v>
      </c>
      <c r="F57" t="s">
        <v>1113</v>
      </c>
      <c r="G57" t="s">
        <v>1113</v>
      </c>
      <c r="I57" s="1">
        <v>1</v>
      </c>
      <c r="J57" s="1">
        <v>683.86</v>
      </c>
      <c r="K57" t="s">
        <v>26</v>
      </c>
      <c r="L57" t="s">
        <v>26</v>
      </c>
      <c r="M57" t="s">
        <v>22</v>
      </c>
      <c r="O57" s="3">
        <v>0</v>
      </c>
      <c r="P57" t="s">
        <v>23</v>
      </c>
    </row>
    <row r="58" spans="1:16">
      <c r="A58" t="s">
        <v>184</v>
      </c>
      <c r="B58" t="s">
        <v>209</v>
      </c>
      <c r="C58" t="str">
        <f>VLOOKUP(A58,#REF!,3,FALSE)</f>
        <v>US Equity</v>
      </c>
      <c r="D58">
        <v>27.471699999999998</v>
      </c>
      <c r="E58">
        <v>11111112</v>
      </c>
      <c r="F58" t="s">
        <v>1182</v>
      </c>
      <c r="G58" t="s">
        <v>1182</v>
      </c>
      <c r="I58" s="1">
        <v>32.72</v>
      </c>
      <c r="J58" s="1">
        <v>898.87402399999996</v>
      </c>
      <c r="K58" t="s">
        <v>26</v>
      </c>
      <c r="M58" t="s">
        <v>22</v>
      </c>
      <c r="O58" s="3">
        <v>0</v>
      </c>
      <c r="P58" t="s">
        <v>1183</v>
      </c>
    </row>
    <row r="59" spans="1:16">
      <c r="A59" t="s">
        <v>185</v>
      </c>
      <c r="B59" t="s">
        <v>210</v>
      </c>
      <c r="C59" t="str">
        <f>VLOOKUP(A59,#REF!,3,FALSE)</f>
        <v>US Equity</v>
      </c>
      <c r="D59">
        <v>31</v>
      </c>
      <c r="E59">
        <v>11111112</v>
      </c>
      <c r="F59" t="s">
        <v>1182</v>
      </c>
      <c r="G59" t="s">
        <v>1182</v>
      </c>
      <c r="I59" s="1">
        <v>29.2</v>
      </c>
      <c r="J59" s="1">
        <v>905.19999999999993</v>
      </c>
      <c r="K59" t="s">
        <v>26</v>
      </c>
      <c r="M59" t="s">
        <v>22</v>
      </c>
      <c r="O59" s="3">
        <v>0</v>
      </c>
      <c r="P59" t="s">
        <v>1184</v>
      </c>
    </row>
    <row r="60" spans="1:16">
      <c r="A60" t="s">
        <v>186</v>
      </c>
      <c r="B60" t="s">
        <v>211</v>
      </c>
      <c r="C60" t="str">
        <f>VLOOKUP(A60,#REF!,3,FALSE)</f>
        <v>US Equity</v>
      </c>
      <c r="D60">
        <v>10.247199999999999</v>
      </c>
      <c r="E60">
        <v>11111112</v>
      </c>
      <c r="F60" t="s">
        <v>1182</v>
      </c>
      <c r="G60" t="s">
        <v>1182</v>
      </c>
      <c r="I60" s="1">
        <v>147.56</v>
      </c>
      <c r="J60" s="1">
        <v>1512.076832</v>
      </c>
      <c r="K60" t="s">
        <v>26</v>
      </c>
      <c r="M60" t="s">
        <v>22</v>
      </c>
      <c r="O60" s="3">
        <v>0</v>
      </c>
      <c r="P60" t="s">
        <v>1185</v>
      </c>
    </row>
    <row r="61" spans="1:16">
      <c r="A61" t="s">
        <v>187</v>
      </c>
      <c r="B61" t="s">
        <v>212</v>
      </c>
      <c r="C61" t="str">
        <f>VLOOKUP(A61,#REF!,3,FALSE)</f>
        <v>US Equity</v>
      </c>
      <c r="D61">
        <v>11</v>
      </c>
      <c r="E61">
        <v>11111112</v>
      </c>
      <c r="F61" t="s">
        <v>1182</v>
      </c>
      <c r="G61" t="s">
        <v>1182</v>
      </c>
      <c r="I61" s="1">
        <v>32.414999999999999</v>
      </c>
      <c r="J61" s="1">
        <v>356.565</v>
      </c>
      <c r="K61" t="s">
        <v>24</v>
      </c>
      <c r="M61" t="s">
        <v>22</v>
      </c>
      <c r="O61" s="3">
        <v>0</v>
      </c>
      <c r="P61" t="s">
        <v>1186</v>
      </c>
    </row>
    <row r="62" spans="1:16">
      <c r="A62" t="s">
        <v>188</v>
      </c>
      <c r="B62" t="s">
        <v>213</v>
      </c>
      <c r="C62" t="str">
        <f>VLOOKUP(A62,#REF!,3,FALSE)</f>
        <v>US Equity</v>
      </c>
      <c r="D62">
        <v>1.0392999999999999</v>
      </c>
      <c r="E62">
        <v>11111112</v>
      </c>
      <c r="F62" t="s">
        <v>1182</v>
      </c>
      <c r="G62" t="s">
        <v>1182</v>
      </c>
      <c r="I62" s="1">
        <v>97.79</v>
      </c>
      <c r="J62" s="1">
        <v>101.63314699999999</v>
      </c>
      <c r="K62" t="s">
        <v>26</v>
      </c>
      <c r="M62" t="s">
        <v>22</v>
      </c>
      <c r="O62" s="3">
        <v>0</v>
      </c>
      <c r="P62" t="s">
        <v>1187</v>
      </c>
    </row>
    <row r="63" spans="1:16">
      <c r="A63" t="s">
        <v>151</v>
      </c>
      <c r="B63" t="s">
        <v>214</v>
      </c>
      <c r="C63" t="str">
        <f>VLOOKUP(A63,#REF!,3,FALSE)</f>
        <v>US Equity</v>
      </c>
      <c r="D63">
        <v>3.1911</v>
      </c>
      <c r="E63">
        <v>11111112</v>
      </c>
      <c r="F63" t="s">
        <v>1182</v>
      </c>
      <c r="G63" t="s">
        <v>1182</v>
      </c>
      <c r="I63" s="1">
        <v>44.49</v>
      </c>
      <c r="J63" s="1">
        <v>141.972039</v>
      </c>
      <c r="K63" t="s">
        <v>26</v>
      </c>
      <c r="M63" t="s">
        <v>22</v>
      </c>
      <c r="O63" s="3">
        <v>0</v>
      </c>
      <c r="P63" t="s">
        <v>1188</v>
      </c>
    </row>
    <row r="64" spans="1:16">
      <c r="A64" t="s">
        <v>189</v>
      </c>
      <c r="B64" t="s">
        <v>215</v>
      </c>
      <c r="C64" t="str">
        <f>VLOOKUP(A64,#REF!,3,FALSE)</f>
        <v>US Equity</v>
      </c>
      <c r="D64">
        <v>7</v>
      </c>
      <c r="E64">
        <v>11111112</v>
      </c>
      <c r="F64" t="s">
        <v>1182</v>
      </c>
      <c r="G64" t="s">
        <v>1182</v>
      </c>
      <c r="I64" s="1">
        <v>495.39</v>
      </c>
      <c r="J64" s="1">
        <v>3467.73</v>
      </c>
      <c r="K64" t="s">
        <v>24</v>
      </c>
      <c r="M64" t="s">
        <v>22</v>
      </c>
      <c r="O64" s="3">
        <v>0</v>
      </c>
      <c r="P64" t="s">
        <v>1189</v>
      </c>
    </row>
    <row r="65" spans="1:16">
      <c r="A65" t="s">
        <v>32</v>
      </c>
      <c r="B65" t="s">
        <v>216</v>
      </c>
      <c r="C65" t="str">
        <f>VLOOKUP(A65,#REF!,3,FALSE)</f>
        <v>US Equity</v>
      </c>
      <c r="D65">
        <v>12.3011</v>
      </c>
      <c r="E65">
        <v>11111112</v>
      </c>
      <c r="F65" t="s">
        <v>1182</v>
      </c>
      <c r="G65" t="s">
        <v>1182</v>
      </c>
      <c r="I65" s="1">
        <v>51.395000000000003</v>
      </c>
      <c r="J65" s="1">
        <v>632.2150345</v>
      </c>
      <c r="K65" t="s">
        <v>26</v>
      </c>
      <c r="M65" t="s">
        <v>22</v>
      </c>
      <c r="O65" s="3">
        <v>0</v>
      </c>
      <c r="P65" t="s">
        <v>1190</v>
      </c>
    </row>
    <row r="66" spans="1:16">
      <c r="A66" t="s">
        <v>190</v>
      </c>
      <c r="B66" t="s">
        <v>217</v>
      </c>
      <c r="C66" t="str">
        <f>VLOOKUP(A66,#REF!,3,FALSE)</f>
        <v>US Equity</v>
      </c>
      <c r="D66">
        <v>89.329800000000006</v>
      </c>
      <c r="E66">
        <v>11111112</v>
      </c>
      <c r="F66" t="s">
        <v>1182</v>
      </c>
      <c r="G66" t="s">
        <v>1182</v>
      </c>
      <c r="I66" s="1">
        <v>223.166</v>
      </c>
      <c r="J66" s="1">
        <v>19935.374146800001</v>
      </c>
      <c r="K66" t="s">
        <v>26</v>
      </c>
      <c r="M66" t="s">
        <v>22</v>
      </c>
      <c r="O66" s="3">
        <v>0</v>
      </c>
      <c r="P66" t="s">
        <v>1191</v>
      </c>
    </row>
    <row r="67" spans="1:16">
      <c r="A67" t="s">
        <v>191</v>
      </c>
      <c r="B67" t="s">
        <v>218</v>
      </c>
      <c r="C67" t="str">
        <f>VLOOKUP(A67,#REF!,3,FALSE)</f>
        <v>US Equity</v>
      </c>
      <c r="D67">
        <v>186.6403</v>
      </c>
      <c r="E67">
        <v>11111112</v>
      </c>
      <c r="F67" t="s">
        <v>1182</v>
      </c>
      <c r="G67" t="s">
        <v>1182</v>
      </c>
      <c r="I67" s="1">
        <v>184.70500000000001</v>
      </c>
      <c r="J67" s="1">
        <v>34473.3966115</v>
      </c>
      <c r="K67" t="s">
        <v>26</v>
      </c>
      <c r="M67" t="s">
        <v>22</v>
      </c>
      <c r="O67" s="3">
        <v>1E-4</v>
      </c>
      <c r="P67" t="s">
        <v>1192</v>
      </c>
    </row>
    <row r="68" spans="1:16">
      <c r="A68" t="s">
        <v>192</v>
      </c>
      <c r="B68" t="s">
        <v>219</v>
      </c>
      <c r="C68" t="str">
        <f>VLOOKUP(A68,#REF!,3,FALSE)</f>
        <v>US Equity</v>
      </c>
      <c r="D68">
        <v>11.2889</v>
      </c>
      <c r="E68">
        <v>11111112</v>
      </c>
      <c r="F68" t="s">
        <v>1182</v>
      </c>
      <c r="G68" t="s">
        <v>1182</v>
      </c>
      <c r="I68" s="1">
        <v>55</v>
      </c>
      <c r="J68" s="1">
        <v>620.8895</v>
      </c>
      <c r="K68" t="s">
        <v>26</v>
      </c>
      <c r="M68" t="s">
        <v>22</v>
      </c>
      <c r="O68" s="3">
        <v>0</v>
      </c>
      <c r="P68" t="s">
        <v>1193</v>
      </c>
    </row>
    <row r="69" spans="1:16">
      <c r="A69" t="s">
        <v>193</v>
      </c>
      <c r="B69" t="s">
        <v>220</v>
      </c>
      <c r="C69" t="str">
        <f>VLOOKUP(A69,#REF!,3,FALSE)</f>
        <v>US Equity</v>
      </c>
      <c r="D69">
        <v>145.05289999999999</v>
      </c>
      <c r="E69">
        <v>11111112</v>
      </c>
      <c r="F69" t="s">
        <v>1182</v>
      </c>
      <c r="G69" t="s">
        <v>1182</v>
      </c>
      <c r="I69" s="1">
        <v>134.89500000000001</v>
      </c>
      <c r="J69" s="1">
        <v>19566.9109455</v>
      </c>
      <c r="K69" t="s">
        <v>26</v>
      </c>
      <c r="M69" t="s">
        <v>22</v>
      </c>
      <c r="O69" s="3">
        <v>1E-4</v>
      </c>
      <c r="P69" t="s">
        <v>1194</v>
      </c>
    </row>
    <row r="70" spans="1:16">
      <c r="A70" t="s">
        <v>54</v>
      </c>
      <c r="B70" t="s">
        <v>221</v>
      </c>
      <c r="C70" t="str">
        <f>VLOOKUP(A70,#REF!,3,FALSE)</f>
        <v>US Equity</v>
      </c>
      <c r="D70">
        <v>20</v>
      </c>
      <c r="E70">
        <v>11111112</v>
      </c>
      <c r="F70" t="s">
        <v>1182</v>
      </c>
      <c r="G70" t="s">
        <v>1182</v>
      </c>
      <c r="I70" s="1">
        <v>327.96</v>
      </c>
      <c r="J70" s="1">
        <v>6559.2</v>
      </c>
      <c r="K70" t="s">
        <v>26</v>
      </c>
      <c r="M70" t="s">
        <v>22</v>
      </c>
      <c r="O70" s="3">
        <v>0</v>
      </c>
      <c r="P70" t="s">
        <v>1195</v>
      </c>
    </row>
    <row r="71" spans="1:16">
      <c r="A71" t="s">
        <v>53</v>
      </c>
      <c r="B71" t="s">
        <v>222</v>
      </c>
      <c r="C71" t="str">
        <f>VLOOKUP(A71,#REF!,3,FALSE)</f>
        <v>US Equity</v>
      </c>
      <c r="D71">
        <v>20</v>
      </c>
      <c r="E71">
        <v>11111112</v>
      </c>
      <c r="F71" t="s">
        <v>1182</v>
      </c>
      <c r="G71" t="s">
        <v>1182</v>
      </c>
      <c r="I71" s="1">
        <v>442.5</v>
      </c>
      <c r="J71" s="1">
        <v>8850</v>
      </c>
      <c r="K71" t="s">
        <v>24</v>
      </c>
      <c r="M71" t="s">
        <v>22</v>
      </c>
      <c r="O71" s="3">
        <v>0</v>
      </c>
      <c r="P71" t="s">
        <v>1196</v>
      </c>
    </row>
    <row r="72" spans="1:16">
      <c r="A72" t="s">
        <v>155</v>
      </c>
      <c r="B72" t="s">
        <v>223</v>
      </c>
      <c r="C72" t="str">
        <f>VLOOKUP(A72,#REF!,3,FALSE)</f>
        <v>US Equity</v>
      </c>
      <c r="D72">
        <v>2</v>
      </c>
      <c r="E72">
        <v>11111112</v>
      </c>
      <c r="F72" t="s">
        <v>1182</v>
      </c>
      <c r="G72" t="s">
        <v>1182</v>
      </c>
      <c r="I72" s="1">
        <v>125.45</v>
      </c>
      <c r="J72" s="1">
        <v>250.9</v>
      </c>
      <c r="K72" t="s">
        <v>24</v>
      </c>
      <c r="M72" t="s">
        <v>22</v>
      </c>
      <c r="O72" s="3">
        <v>0</v>
      </c>
      <c r="P72" t="s">
        <v>1197</v>
      </c>
    </row>
    <row r="73" spans="1:16">
      <c r="A73" t="s">
        <v>31</v>
      </c>
      <c r="B73" t="s">
        <v>224</v>
      </c>
      <c r="C73" t="str">
        <f>VLOOKUP(A73,#REF!,3,FALSE)</f>
        <v>US Equity</v>
      </c>
      <c r="D73">
        <v>4</v>
      </c>
      <c r="E73">
        <v>11111112</v>
      </c>
      <c r="F73" t="s">
        <v>1182</v>
      </c>
      <c r="G73" t="s">
        <v>1182</v>
      </c>
      <c r="I73" s="1">
        <v>240.23</v>
      </c>
      <c r="J73" s="1">
        <v>960.92</v>
      </c>
      <c r="K73" t="s">
        <v>26</v>
      </c>
      <c r="M73" t="s">
        <v>22</v>
      </c>
      <c r="O73" s="3">
        <v>0</v>
      </c>
      <c r="P73" t="s">
        <v>1198</v>
      </c>
    </row>
    <row r="74" spans="1:16">
      <c r="A74" t="s">
        <v>194</v>
      </c>
      <c r="B74" t="s">
        <v>225</v>
      </c>
      <c r="C74" t="str">
        <f>VLOOKUP(A74,#REF!,3,FALSE)</f>
        <v>US Equity</v>
      </c>
      <c r="D74">
        <v>4.0315000000000003</v>
      </c>
      <c r="E74">
        <v>11111112</v>
      </c>
      <c r="F74" t="s">
        <v>1182</v>
      </c>
      <c r="G74" t="s">
        <v>1182</v>
      </c>
      <c r="I74" s="1">
        <v>27.05</v>
      </c>
      <c r="J74" s="1">
        <v>109.05207500000002</v>
      </c>
      <c r="K74" t="s">
        <v>26</v>
      </c>
      <c r="M74" t="s">
        <v>22</v>
      </c>
      <c r="O74" s="3">
        <v>0</v>
      </c>
      <c r="P74" t="s">
        <v>1199</v>
      </c>
    </row>
    <row r="75" spans="1:16">
      <c r="A75" t="s">
        <v>195</v>
      </c>
      <c r="B75" t="s">
        <v>226</v>
      </c>
      <c r="C75" t="str">
        <f>VLOOKUP(A75,#REF!,3,FALSE)</f>
        <v>US Equity</v>
      </c>
      <c r="D75">
        <v>3</v>
      </c>
      <c r="E75">
        <v>11111112</v>
      </c>
      <c r="F75" t="s">
        <v>1182</v>
      </c>
      <c r="G75" t="s">
        <v>1182</v>
      </c>
      <c r="I75" s="1">
        <v>126.08499999999999</v>
      </c>
      <c r="J75" s="1">
        <v>378.255</v>
      </c>
      <c r="K75" t="s">
        <v>24</v>
      </c>
      <c r="M75" t="s">
        <v>22</v>
      </c>
      <c r="O75" s="3">
        <v>0</v>
      </c>
      <c r="P75" t="s">
        <v>1200</v>
      </c>
    </row>
    <row r="76" spans="1:16">
      <c r="A76" t="s">
        <v>196</v>
      </c>
      <c r="B76" t="s">
        <v>227</v>
      </c>
      <c r="C76" t="str">
        <f>VLOOKUP(A76,#REF!,3,FALSE)</f>
        <v>US Equity</v>
      </c>
      <c r="D76">
        <v>2.0261999999999998</v>
      </c>
      <c r="E76">
        <v>11111112</v>
      </c>
      <c r="F76" t="s">
        <v>1182</v>
      </c>
      <c r="G76" t="s">
        <v>1182</v>
      </c>
      <c r="I76" s="1">
        <v>145.91</v>
      </c>
      <c r="J76" s="1">
        <v>295.64284199999997</v>
      </c>
      <c r="K76" t="s">
        <v>26</v>
      </c>
      <c r="M76" t="s">
        <v>22</v>
      </c>
      <c r="O76" s="3">
        <v>0</v>
      </c>
      <c r="P76" t="s">
        <v>1201</v>
      </c>
    </row>
    <row r="77" spans="1:16">
      <c r="A77" t="s">
        <v>197</v>
      </c>
      <c r="B77" t="s">
        <v>228</v>
      </c>
      <c r="C77" t="str">
        <f>VLOOKUP(A77,#REF!,3,FALSE)</f>
        <v>US Equity</v>
      </c>
      <c r="D77">
        <v>21.5884</v>
      </c>
      <c r="E77">
        <v>11111112</v>
      </c>
      <c r="F77" t="s">
        <v>1182</v>
      </c>
      <c r="G77" t="s">
        <v>1182</v>
      </c>
      <c r="I77" s="1">
        <v>20.335000000000001</v>
      </c>
      <c r="J77" s="1">
        <v>439.000114</v>
      </c>
      <c r="K77" t="s">
        <v>26</v>
      </c>
      <c r="M77" t="s">
        <v>22</v>
      </c>
      <c r="O77" s="3">
        <v>0</v>
      </c>
      <c r="P77" t="s">
        <v>1202</v>
      </c>
    </row>
    <row r="78" spans="1:16">
      <c r="A78" t="s">
        <v>34</v>
      </c>
      <c r="B78" t="s">
        <v>229</v>
      </c>
      <c r="C78" t="str">
        <f>VLOOKUP(A78,#REF!,3,FALSE)</f>
        <v>US Equity</v>
      </c>
      <c r="D78">
        <v>10.3096</v>
      </c>
      <c r="E78">
        <v>11111112</v>
      </c>
      <c r="F78" t="s">
        <v>1182</v>
      </c>
      <c r="G78" t="s">
        <v>1182</v>
      </c>
      <c r="I78" s="1">
        <v>40.42</v>
      </c>
      <c r="J78" s="1">
        <v>416.71403200000003</v>
      </c>
      <c r="K78" t="s">
        <v>26</v>
      </c>
      <c r="M78" t="s">
        <v>22</v>
      </c>
      <c r="O78" s="3">
        <v>0</v>
      </c>
      <c r="P78" t="s">
        <v>1203</v>
      </c>
    </row>
    <row r="79" spans="1:16">
      <c r="A79" t="s">
        <v>198</v>
      </c>
      <c r="B79" t="s">
        <v>230</v>
      </c>
      <c r="C79" t="str">
        <f>VLOOKUP(A79,#REF!,3,FALSE)</f>
        <v>US Equity</v>
      </c>
      <c r="D79">
        <v>34</v>
      </c>
      <c r="E79">
        <v>11111112</v>
      </c>
      <c r="F79" t="s">
        <v>1182</v>
      </c>
      <c r="G79" t="s">
        <v>1182</v>
      </c>
      <c r="I79" s="1">
        <v>12.414999999999999</v>
      </c>
      <c r="J79" s="1">
        <v>422.10999999999996</v>
      </c>
      <c r="K79" t="s">
        <v>24</v>
      </c>
      <c r="M79" t="s">
        <v>22</v>
      </c>
      <c r="O79" s="3">
        <v>0</v>
      </c>
      <c r="P79" t="s">
        <v>1204</v>
      </c>
    </row>
    <row r="80" spans="1:16">
      <c r="A80" t="s">
        <v>199</v>
      </c>
      <c r="B80" t="s">
        <v>231</v>
      </c>
      <c r="C80" t="str">
        <f>VLOOKUP(A80,#REF!,3,FALSE)</f>
        <v>US Equity</v>
      </c>
      <c r="D80">
        <v>6.0384000000000002</v>
      </c>
      <c r="E80">
        <v>11111112</v>
      </c>
      <c r="F80" t="s">
        <v>1182</v>
      </c>
      <c r="G80" t="s">
        <v>1182</v>
      </c>
      <c r="I80" s="1">
        <v>288.79000000000002</v>
      </c>
      <c r="J80" s="1">
        <v>1743.8295360000002</v>
      </c>
      <c r="K80" t="s">
        <v>26</v>
      </c>
      <c r="M80" t="s">
        <v>22</v>
      </c>
      <c r="O80" s="3">
        <v>0</v>
      </c>
      <c r="P80" t="s">
        <v>1205</v>
      </c>
    </row>
    <row r="81" spans="1:16">
      <c r="A81" t="s">
        <v>1148</v>
      </c>
      <c r="B81" t="s">
        <v>1149</v>
      </c>
      <c r="C81" t="str">
        <f>VLOOKUP(A81,#REF!,3,FALSE)</f>
        <v>Emerging</v>
      </c>
      <c r="D81">
        <v>6</v>
      </c>
      <c r="E81">
        <v>11111112</v>
      </c>
      <c r="F81" t="s">
        <v>1182</v>
      </c>
      <c r="G81" t="s">
        <v>1182</v>
      </c>
      <c r="I81" s="1">
        <v>78.644999999999996</v>
      </c>
      <c r="J81" s="1">
        <v>471.87</v>
      </c>
      <c r="K81" t="s">
        <v>26</v>
      </c>
      <c r="M81" t="s">
        <v>22</v>
      </c>
      <c r="O81" s="3">
        <v>0</v>
      </c>
      <c r="P81" t="s">
        <v>1206</v>
      </c>
    </row>
    <row r="82" spans="1:16">
      <c r="A82" t="s">
        <v>1151</v>
      </c>
      <c r="B82" t="s">
        <v>1152</v>
      </c>
      <c r="C82" t="str">
        <f>VLOOKUP(A82,#REF!,3,FALSE)</f>
        <v>Emerging</v>
      </c>
      <c r="D82">
        <v>52.109900000000003</v>
      </c>
      <c r="E82">
        <v>11111112</v>
      </c>
      <c r="F82" t="s">
        <v>1182</v>
      </c>
      <c r="G82" t="s">
        <v>1182</v>
      </c>
      <c r="I82" s="1">
        <v>282.38</v>
      </c>
      <c r="J82" s="1">
        <v>14714.793562000001</v>
      </c>
      <c r="K82" t="s">
        <v>26</v>
      </c>
      <c r="M82" t="s">
        <v>22</v>
      </c>
      <c r="O82" s="3">
        <v>0</v>
      </c>
      <c r="P82" t="s">
        <v>1207</v>
      </c>
    </row>
    <row r="83" spans="1:16">
      <c r="A83" t="s">
        <v>1154</v>
      </c>
      <c r="B83" t="s">
        <v>1155</v>
      </c>
      <c r="C83" t="str">
        <f>VLOOKUP(A83,#REF!,3,FALSE)</f>
        <v>Emerging</v>
      </c>
      <c r="D83">
        <v>27.0274</v>
      </c>
      <c r="E83">
        <v>11111112</v>
      </c>
      <c r="F83" t="s">
        <v>1182</v>
      </c>
      <c r="G83" t="s">
        <v>1182</v>
      </c>
      <c r="I83" s="1">
        <v>94.265000000000001</v>
      </c>
      <c r="J83" s="1">
        <v>2547.7378610000001</v>
      </c>
      <c r="K83" t="s">
        <v>26</v>
      </c>
      <c r="M83" t="s">
        <v>22</v>
      </c>
      <c r="O83" s="3">
        <v>0</v>
      </c>
      <c r="P83" t="s">
        <v>1208</v>
      </c>
    </row>
    <row r="84" spans="1:16">
      <c r="A84" t="s">
        <v>1157</v>
      </c>
      <c r="B84" t="s">
        <v>1158</v>
      </c>
      <c r="C84" t="str">
        <f>VLOOKUP(A84,#REF!,3,FALSE)</f>
        <v>Intl</v>
      </c>
      <c r="D84">
        <v>3</v>
      </c>
      <c r="E84">
        <v>11111112</v>
      </c>
      <c r="F84" t="s">
        <v>1182</v>
      </c>
      <c r="G84" t="s">
        <v>1182</v>
      </c>
      <c r="I84" s="1">
        <v>126.29</v>
      </c>
      <c r="J84" s="1">
        <v>378.87</v>
      </c>
      <c r="K84" t="s">
        <v>24</v>
      </c>
      <c r="M84" t="s">
        <v>22</v>
      </c>
      <c r="O84" s="3">
        <v>0</v>
      </c>
      <c r="P84" t="s">
        <v>1209</v>
      </c>
    </row>
    <row r="85" spans="1:16">
      <c r="A85" t="s">
        <v>1160</v>
      </c>
      <c r="B85" t="s">
        <v>1161</v>
      </c>
      <c r="C85" t="str">
        <f>VLOOKUP(A85,#REF!,3,FALSE)</f>
        <v>Intl</v>
      </c>
      <c r="D85">
        <v>6</v>
      </c>
      <c r="E85">
        <v>11111112</v>
      </c>
      <c r="F85" t="s">
        <v>1182</v>
      </c>
      <c r="G85" t="s">
        <v>1182</v>
      </c>
      <c r="I85" s="1">
        <v>44.564999999999998</v>
      </c>
      <c r="J85" s="1">
        <v>267.39</v>
      </c>
      <c r="K85" t="s">
        <v>26</v>
      </c>
      <c r="M85" t="s">
        <v>22</v>
      </c>
      <c r="O85" s="3">
        <v>0</v>
      </c>
      <c r="P85" t="s">
        <v>1210</v>
      </c>
    </row>
    <row r="86" spans="1:16">
      <c r="A86" t="s">
        <v>1163</v>
      </c>
      <c r="B86" t="s">
        <v>1164</v>
      </c>
      <c r="C86" t="str">
        <f>VLOOKUP(A86,#REF!,3,FALSE)</f>
        <v>Intl</v>
      </c>
      <c r="D86">
        <v>1.0044</v>
      </c>
      <c r="E86">
        <v>11111112</v>
      </c>
      <c r="F86" t="s">
        <v>1182</v>
      </c>
      <c r="G86" t="s">
        <v>1182</v>
      </c>
      <c r="I86" s="1">
        <v>395.25</v>
      </c>
      <c r="J86" s="1">
        <v>396.98910000000001</v>
      </c>
      <c r="K86" t="s">
        <v>26</v>
      </c>
      <c r="M86" t="s">
        <v>22</v>
      </c>
      <c r="O86" s="3">
        <v>0</v>
      </c>
      <c r="P86" t="s">
        <v>1211</v>
      </c>
    </row>
    <row r="87" spans="1:16">
      <c r="A87" t="s">
        <v>80</v>
      </c>
      <c r="B87" t="s">
        <v>1166</v>
      </c>
      <c r="C87" t="str">
        <f>VLOOKUP(A87,#REF!,3,FALSE)</f>
        <v>Intl</v>
      </c>
      <c r="D87">
        <v>9.1080000000000005</v>
      </c>
      <c r="E87">
        <v>11111112</v>
      </c>
      <c r="F87" t="s">
        <v>1182</v>
      </c>
      <c r="G87" t="s">
        <v>1182</v>
      </c>
      <c r="I87" s="1">
        <v>50.354999999999997</v>
      </c>
      <c r="J87" s="1">
        <v>458.63333999999998</v>
      </c>
      <c r="K87" t="s">
        <v>26</v>
      </c>
      <c r="M87" t="s">
        <v>22</v>
      </c>
      <c r="O87" s="3">
        <v>0</v>
      </c>
      <c r="P87" t="s">
        <v>1212</v>
      </c>
    </row>
    <row r="88" spans="1:16">
      <c r="A88" t="s">
        <v>156</v>
      </c>
      <c r="B88" t="s">
        <v>1168</v>
      </c>
      <c r="C88" t="str">
        <f>VLOOKUP(A88,#REF!,3,FALSE)</f>
        <v>MMF</v>
      </c>
      <c r="D88">
        <v>32</v>
      </c>
      <c r="E88">
        <v>11111112</v>
      </c>
      <c r="F88" t="s">
        <v>1182</v>
      </c>
      <c r="G88" t="s">
        <v>1182</v>
      </c>
      <c r="I88" s="1">
        <v>1</v>
      </c>
      <c r="J88" s="1">
        <v>32</v>
      </c>
      <c r="K88" t="s">
        <v>24</v>
      </c>
      <c r="M88" t="s">
        <v>22</v>
      </c>
      <c r="O88" s="3">
        <v>0</v>
      </c>
      <c r="P88" t="s">
        <v>1213</v>
      </c>
    </row>
    <row r="89" spans="1:16">
      <c r="A89" t="s">
        <v>1170</v>
      </c>
      <c r="B89" t="s">
        <v>1171</v>
      </c>
      <c r="C89" t="str">
        <f>VLOOKUP(A89,#REF!,3,FALSE)</f>
        <v>Bond</v>
      </c>
      <c r="D89">
        <v>11.045500000000001</v>
      </c>
      <c r="E89">
        <v>11111112</v>
      </c>
      <c r="F89" t="s">
        <v>1182</v>
      </c>
      <c r="G89" t="s">
        <v>1182</v>
      </c>
      <c r="I89" s="1">
        <v>80.459999999999994</v>
      </c>
      <c r="J89" s="1">
        <v>888.72092999999995</v>
      </c>
      <c r="K89" t="s">
        <v>26</v>
      </c>
      <c r="M89" t="s">
        <v>22</v>
      </c>
      <c r="O89" s="3">
        <v>1E-4</v>
      </c>
      <c r="P89" t="s">
        <v>1214</v>
      </c>
    </row>
    <row r="90" spans="1:16">
      <c r="A90" t="s">
        <v>1173</v>
      </c>
      <c r="B90" t="s">
        <v>1174</v>
      </c>
      <c r="C90" t="str">
        <f>VLOOKUP(A90,#REF!,3,FALSE)</f>
        <v>Bond</v>
      </c>
      <c r="D90">
        <v>51</v>
      </c>
      <c r="E90">
        <v>11111112</v>
      </c>
      <c r="F90" t="s">
        <v>1182</v>
      </c>
      <c r="G90" t="s">
        <v>1182</v>
      </c>
      <c r="I90" s="1">
        <v>28.41</v>
      </c>
      <c r="J90" s="1">
        <v>1448.91</v>
      </c>
      <c r="K90" t="s">
        <v>24</v>
      </c>
      <c r="M90" t="s">
        <v>22</v>
      </c>
      <c r="O90" s="3">
        <v>0</v>
      </c>
      <c r="P90" t="s">
        <v>1215</v>
      </c>
    </row>
    <row r="91" spans="1:16">
      <c r="A91" t="s">
        <v>1175</v>
      </c>
      <c r="B91" t="s">
        <v>1176</v>
      </c>
      <c r="C91" t="str">
        <f>VLOOKUP(A91,#REF!,3,FALSE)</f>
        <v>Bond</v>
      </c>
      <c r="D91">
        <v>4.0374999999999996</v>
      </c>
      <c r="E91">
        <v>11111112</v>
      </c>
      <c r="F91" t="s">
        <v>1182</v>
      </c>
      <c r="G91" t="s">
        <v>1182</v>
      </c>
      <c r="I91" s="1">
        <v>96.935000000000002</v>
      </c>
      <c r="J91" s="1">
        <v>391.37506249999996</v>
      </c>
      <c r="K91" t="s">
        <v>26</v>
      </c>
      <c r="M91" t="s">
        <v>22</v>
      </c>
      <c r="O91" s="3">
        <v>0</v>
      </c>
      <c r="P91" t="s">
        <v>1216</v>
      </c>
    </row>
    <row r="92" spans="1:16">
      <c r="A92" t="s">
        <v>1177</v>
      </c>
      <c r="B92" t="s">
        <v>1178</v>
      </c>
      <c r="C92" t="str">
        <f>VLOOKUP(A92,#REF!,3,FALSE)</f>
        <v>Bond</v>
      </c>
      <c r="D92" s="2">
        <v>1000</v>
      </c>
      <c r="E92">
        <v>11111112</v>
      </c>
      <c r="F92" t="s">
        <v>1182</v>
      </c>
      <c r="G92" t="s">
        <v>1182</v>
      </c>
      <c r="I92" s="1">
        <v>98.955600000000004</v>
      </c>
      <c r="J92" s="1">
        <v>98955.6</v>
      </c>
      <c r="M92" t="s">
        <v>22</v>
      </c>
      <c r="O92" s="3">
        <v>0</v>
      </c>
      <c r="P92" t="s">
        <v>23</v>
      </c>
    </row>
    <row r="93" spans="1:16">
      <c r="A93" t="s">
        <v>82</v>
      </c>
      <c r="B93" t="s">
        <v>83</v>
      </c>
      <c r="C93" t="str">
        <f>VLOOKUP(A93,#REF!,3,FALSE)</f>
        <v>US ETF</v>
      </c>
      <c r="D93" s="2">
        <v>1000</v>
      </c>
      <c r="E93">
        <v>11111112</v>
      </c>
      <c r="F93" t="s">
        <v>1182</v>
      </c>
      <c r="G93" t="s">
        <v>1182</v>
      </c>
      <c r="I93" s="1">
        <v>28.4</v>
      </c>
      <c r="J93" s="1">
        <v>28400</v>
      </c>
      <c r="M93" t="s">
        <v>22</v>
      </c>
      <c r="O93" s="3">
        <v>0</v>
      </c>
      <c r="P93" t="s">
        <v>23</v>
      </c>
    </row>
    <row r="94" spans="1:16">
      <c r="A94" t="s">
        <v>1179</v>
      </c>
      <c r="B94" t="s">
        <v>1180</v>
      </c>
      <c r="C94" t="str">
        <f>VLOOKUP(A94,#REF!,3,FALSE)</f>
        <v>REIT</v>
      </c>
      <c r="D94" s="2">
        <v>7000</v>
      </c>
      <c r="E94">
        <v>11111112</v>
      </c>
      <c r="F94" t="s">
        <v>1182</v>
      </c>
      <c r="G94" t="s">
        <v>1182</v>
      </c>
      <c r="I94" s="1">
        <v>4.84</v>
      </c>
      <c r="J94" s="1">
        <v>33880</v>
      </c>
      <c r="M94" t="s">
        <v>22</v>
      </c>
      <c r="O94" s="3">
        <v>1E-4</v>
      </c>
      <c r="P94" t="s">
        <v>23</v>
      </c>
    </row>
    <row r="95" spans="1:16">
      <c r="A95" t="s">
        <v>85</v>
      </c>
      <c r="B95" t="s">
        <v>1181</v>
      </c>
      <c r="C95" t="str">
        <f>VLOOKUP(A95,#REF!,3,FALSE)</f>
        <v>US MF</v>
      </c>
      <c r="D95" s="2">
        <v>38313.53</v>
      </c>
      <c r="E95">
        <v>11111112</v>
      </c>
      <c r="F95" t="s">
        <v>1182</v>
      </c>
      <c r="G95" t="s">
        <v>1182</v>
      </c>
      <c r="I95" s="1">
        <v>1</v>
      </c>
      <c r="J95" s="1">
        <v>38313.53</v>
      </c>
      <c r="K95" t="s">
        <v>26</v>
      </c>
      <c r="L95" t="s">
        <v>26</v>
      </c>
      <c r="M95" t="s">
        <v>22</v>
      </c>
      <c r="O95" s="3">
        <v>5.0000000000000001E-4</v>
      </c>
      <c r="P95" t="s">
        <v>23</v>
      </c>
    </row>
    <row r="96" spans="1:16">
      <c r="A96" t="s">
        <v>27</v>
      </c>
      <c r="B96" t="s">
        <v>206</v>
      </c>
      <c r="C96" t="str">
        <f>VLOOKUP(A96,#REF!,3,FALSE)</f>
        <v>US Equity</v>
      </c>
      <c r="D96">
        <v>38.458199999999998</v>
      </c>
      <c r="E96">
        <v>11111113</v>
      </c>
      <c r="F96" t="s">
        <v>1217</v>
      </c>
      <c r="G96" t="s">
        <v>1217</v>
      </c>
      <c r="I96" s="1">
        <v>309.19900000000001</v>
      </c>
      <c r="J96" s="1">
        <v>11891.236981800001</v>
      </c>
      <c r="K96" t="s">
        <v>26</v>
      </c>
      <c r="M96" t="s">
        <v>22</v>
      </c>
      <c r="O96" s="3">
        <v>1E-4</v>
      </c>
      <c r="P96" t="s">
        <v>1218</v>
      </c>
    </row>
    <row r="97" spans="1:16">
      <c r="A97" t="s">
        <v>183</v>
      </c>
      <c r="B97" t="s">
        <v>207</v>
      </c>
      <c r="C97" t="str">
        <f>VLOOKUP(A97,#REF!,3,FALSE)</f>
        <v>US Equity</v>
      </c>
      <c r="D97">
        <v>20</v>
      </c>
      <c r="E97">
        <v>11111113</v>
      </c>
      <c r="F97" t="s">
        <v>1217</v>
      </c>
      <c r="G97" t="s">
        <v>1217</v>
      </c>
      <c r="I97" s="1">
        <v>273.65499999999997</v>
      </c>
      <c r="J97" s="1">
        <v>5473.0999999999995</v>
      </c>
      <c r="K97" t="s">
        <v>26</v>
      </c>
      <c r="M97" t="s">
        <v>22</v>
      </c>
      <c r="O97" s="3">
        <v>0</v>
      </c>
      <c r="P97" t="s">
        <v>1219</v>
      </c>
    </row>
    <row r="98" spans="1:16">
      <c r="A98" t="s">
        <v>29</v>
      </c>
      <c r="B98" t="s">
        <v>208</v>
      </c>
      <c r="C98" t="str">
        <f>VLOOKUP(A98,#REF!,3,FALSE)</f>
        <v>US Equity</v>
      </c>
      <c r="D98">
        <v>12.2967</v>
      </c>
      <c r="E98">
        <v>11111113</v>
      </c>
      <c r="F98" t="s">
        <v>1217</v>
      </c>
      <c r="G98" t="s">
        <v>1217</v>
      </c>
      <c r="I98" s="1">
        <v>67.87</v>
      </c>
      <c r="J98" s="1">
        <v>834.57702900000004</v>
      </c>
      <c r="K98" t="s">
        <v>26</v>
      </c>
      <c r="M98" t="s">
        <v>22</v>
      </c>
      <c r="O98" s="3">
        <v>0</v>
      </c>
      <c r="P98" t="s">
        <v>1220</v>
      </c>
    </row>
    <row r="99" spans="1:16">
      <c r="A99" t="s">
        <v>184</v>
      </c>
      <c r="B99" t="s">
        <v>209</v>
      </c>
      <c r="C99" t="str">
        <f>VLOOKUP(A99,#REF!,3,FALSE)</f>
        <v>US Equity</v>
      </c>
      <c r="D99">
        <v>13</v>
      </c>
      <c r="E99">
        <v>11111113</v>
      </c>
      <c r="F99" t="s">
        <v>1217</v>
      </c>
      <c r="G99" t="s">
        <v>1217</v>
      </c>
      <c r="I99" s="1">
        <v>32.72</v>
      </c>
      <c r="J99" s="1">
        <v>425.36</v>
      </c>
      <c r="K99" t="s">
        <v>24</v>
      </c>
      <c r="M99" t="s">
        <v>22</v>
      </c>
      <c r="O99" s="3">
        <v>0</v>
      </c>
      <c r="P99" t="s">
        <v>1221</v>
      </c>
    </row>
    <row r="100" spans="1:16">
      <c r="A100" t="s">
        <v>185</v>
      </c>
      <c r="B100" t="s">
        <v>210</v>
      </c>
      <c r="C100" t="str">
        <f>VLOOKUP(A100,#REF!,3,FALSE)</f>
        <v>US Equity</v>
      </c>
      <c r="D100">
        <v>1.0392999999999999</v>
      </c>
      <c r="E100">
        <v>11111113</v>
      </c>
      <c r="F100" t="s">
        <v>1217</v>
      </c>
      <c r="G100" t="s">
        <v>1217</v>
      </c>
      <c r="I100" s="1">
        <v>29.2</v>
      </c>
      <c r="J100" s="1">
        <v>30.347559999999994</v>
      </c>
      <c r="K100" t="s">
        <v>26</v>
      </c>
      <c r="M100" t="s">
        <v>22</v>
      </c>
      <c r="O100" s="3">
        <v>0</v>
      </c>
      <c r="P100" t="s">
        <v>1187</v>
      </c>
    </row>
    <row r="101" spans="1:16">
      <c r="A101" t="s">
        <v>186</v>
      </c>
      <c r="B101" t="s">
        <v>211</v>
      </c>
      <c r="C101" t="str">
        <f>VLOOKUP(A101,#REF!,3,FALSE)</f>
        <v>US Equity</v>
      </c>
      <c r="D101">
        <v>3.1297999999999999</v>
      </c>
      <c r="E101">
        <v>11111113</v>
      </c>
      <c r="F101" t="s">
        <v>1217</v>
      </c>
      <c r="G101" t="s">
        <v>1217</v>
      </c>
      <c r="I101" s="1">
        <v>147.56</v>
      </c>
      <c r="J101" s="1">
        <v>461.83328799999998</v>
      </c>
      <c r="K101" t="s">
        <v>26</v>
      </c>
      <c r="M101" t="s">
        <v>22</v>
      </c>
      <c r="O101" s="3">
        <v>0</v>
      </c>
      <c r="P101" t="s">
        <v>1222</v>
      </c>
    </row>
    <row r="102" spans="1:16">
      <c r="A102" t="s">
        <v>187</v>
      </c>
      <c r="B102" t="s">
        <v>212</v>
      </c>
      <c r="C102" t="str">
        <f>VLOOKUP(A102,#REF!,3,FALSE)</f>
        <v>US Equity</v>
      </c>
      <c r="D102">
        <v>5</v>
      </c>
      <c r="E102">
        <v>11111113</v>
      </c>
      <c r="F102" t="s">
        <v>1217</v>
      </c>
      <c r="G102" t="s">
        <v>1217</v>
      </c>
      <c r="I102" s="1">
        <v>32.414999999999999</v>
      </c>
      <c r="J102" s="1">
        <v>162.07499999999999</v>
      </c>
      <c r="K102" t="s">
        <v>24</v>
      </c>
      <c r="M102" t="s">
        <v>22</v>
      </c>
      <c r="O102" s="3">
        <v>0</v>
      </c>
      <c r="P102" t="s">
        <v>1223</v>
      </c>
    </row>
    <row r="103" spans="1:16">
      <c r="A103" t="s">
        <v>188</v>
      </c>
      <c r="B103" t="s">
        <v>213</v>
      </c>
      <c r="C103" t="str">
        <f>VLOOKUP(A103,#REF!,3,FALSE)</f>
        <v>US Equity</v>
      </c>
      <c r="D103">
        <v>16.401599999999998</v>
      </c>
      <c r="E103">
        <v>11111113</v>
      </c>
      <c r="F103" t="s">
        <v>1217</v>
      </c>
      <c r="G103" t="s">
        <v>1217</v>
      </c>
      <c r="I103" s="1">
        <v>97.79</v>
      </c>
      <c r="J103" s="1">
        <v>1603.912464</v>
      </c>
      <c r="K103" t="s">
        <v>26</v>
      </c>
      <c r="M103" t="s">
        <v>22</v>
      </c>
      <c r="O103" s="3">
        <v>0</v>
      </c>
      <c r="P103" t="s">
        <v>1224</v>
      </c>
    </row>
    <row r="104" spans="1:16">
      <c r="A104" t="s">
        <v>151</v>
      </c>
      <c r="B104" t="s">
        <v>214</v>
      </c>
      <c r="C104" t="str">
        <f>VLOOKUP(A104,#REF!,3,FALSE)</f>
        <v>US Equity</v>
      </c>
      <c r="D104">
        <v>115.50749999999999</v>
      </c>
      <c r="E104">
        <v>11111113</v>
      </c>
      <c r="F104" t="s">
        <v>1217</v>
      </c>
      <c r="G104" t="s">
        <v>1217</v>
      </c>
      <c r="I104" s="1">
        <v>44.49</v>
      </c>
      <c r="J104" s="1">
        <v>5138.9286750000001</v>
      </c>
      <c r="K104" t="s">
        <v>26</v>
      </c>
      <c r="M104" t="s">
        <v>22</v>
      </c>
      <c r="O104" s="3">
        <v>0</v>
      </c>
      <c r="P104" t="s">
        <v>1225</v>
      </c>
    </row>
    <row r="105" spans="1:16">
      <c r="A105" t="s">
        <v>189</v>
      </c>
      <c r="B105" t="s">
        <v>215</v>
      </c>
      <c r="C105" t="str">
        <f>VLOOKUP(A105,#REF!,3,FALSE)</f>
        <v>US Equity</v>
      </c>
      <c r="D105">
        <v>245.63560000000001</v>
      </c>
      <c r="E105">
        <v>11111113</v>
      </c>
      <c r="F105" t="s">
        <v>1217</v>
      </c>
      <c r="G105" t="s">
        <v>1217</v>
      </c>
      <c r="I105" s="1">
        <v>495.39</v>
      </c>
      <c r="J105" s="1">
        <v>121685.419884</v>
      </c>
      <c r="K105" t="s">
        <v>26</v>
      </c>
      <c r="M105" t="s">
        <v>22</v>
      </c>
      <c r="O105" s="3">
        <v>1E-4</v>
      </c>
      <c r="P105" t="s">
        <v>1226</v>
      </c>
    </row>
    <row r="106" spans="1:16">
      <c r="A106" t="s">
        <v>32</v>
      </c>
      <c r="B106" t="s">
        <v>216</v>
      </c>
      <c r="C106" t="str">
        <f>VLOOKUP(A106,#REF!,3,FALSE)</f>
        <v>US Equity</v>
      </c>
      <c r="D106">
        <v>14.3711</v>
      </c>
      <c r="E106">
        <v>11111113</v>
      </c>
      <c r="F106" t="s">
        <v>1217</v>
      </c>
      <c r="G106" t="s">
        <v>1217</v>
      </c>
      <c r="I106" s="1">
        <v>51.395000000000003</v>
      </c>
      <c r="J106" s="1">
        <v>738.60268450000001</v>
      </c>
      <c r="K106" t="s">
        <v>26</v>
      </c>
      <c r="M106" t="s">
        <v>22</v>
      </c>
      <c r="O106" s="3">
        <v>0</v>
      </c>
      <c r="P106" t="s">
        <v>1227</v>
      </c>
    </row>
    <row r="107" spans="1:16">
      <c r="A107" t="s">
        <v>190</v>
      </c>
      <c r="B107" t="s">
        <v>217</v>
      </c>
      <c r="C107" t="str">
        <f>VLOOKUP(A107,#REF!,3,FALSE)</f>
        <v>US Equity</v>
      </c>
      <c r="D107">
        <v>121.5582</v>
      </c>
      <c r="E107">
        <v>11111113</v>
      </c>
      <c r="F107" t="s">
        <v>1217</v>
      </c>
      <c r="G107" t="s">
        <v>1217</v>
      </c>
      <c r="I107" s="1">
        <v>223.166</v>
      </c>
      <c r="J107" s="1">
        <v>27127.657261199998</v>
      </c>
      <c r="K107" t="s">
        <v>26</v>
      </c>
      <c r="M107" t="s">
        <v>22</v>
      </c>
      <c r="O107" s="3">
        <v>0</v>
      </c>
      <c r="P107" t="s">
        <v>1228</v>
      </c>
    </row>
    <row r="108" spans="1:16">
      <c r="A108" t="s">
        <v>191</v>
      </c>
      <c r="B108" t="s">
        <v>218</v>
      </c>
      <c r="C108" t="str">
        <f>VLOOKUP(A108,#REF!,3,FALSE)</f>
        <v>US Equity</v>
      </c>
      <c r="D108">
        <v>40</v>
      </c>
      <c r="E108">
        <v>11111113</v>
      </c>
      <c r="F108" t="s">
        <v>1217</v>
      </c>
      <c r="G108" t="s">
        <v>1217</v>
      </c>
      <c r="I108" s="1">
        <v>184.70500000000001</v>
      </c>
      <c r="J108" s="1">
        <v>7388.2000000000007</v>
      </c>
      <c r="K108" t="s">
        <v>26</v>
      </c>
      <c r="M108" t="s">
        <v>22</v>
      </c>
      <c r="O108" s="3">
        <v>0</v>
      </c>
      <c r="P108" t="s">
        <v>1229</v>
      </c>
    </row>
    <row r="109" spans="1:16">
      <c r="A109" t="s">
        <v>192</v>
      </c>
      <c r="B109" t="s">
        <v>219</v>
      </c>
      <c r="C109" t="str">
        <f>VLOOKUP(A109,#REF!,3,FALSE)</f>
        <v>US Equity</v>
      </c>
      <c r="D109">
        <v>20</v>
      </c>
      <c r="E109">
        <v>11111113</v>
      </c>
      <c r="F109" t="s">
        <v>1217</v>
      </c>
      <c r="G109" t="s">
        <v>1217</v>
      </c>
      <c r="I109" s="1">
        <v>55</v>
      </c>
      <c r="J109" s="1">
        <v>1100</v>
      </c>
      <c r="K109" t="s">
        <v>24</v>
      </c>
      <c r="M109" t="s">
        <v>22</v>
      </c>
      <c r="O109" s="3">
        <v>0</v>
      </c>
      <c r="P109" t="s">
        <v>1196</v>
      </c>
    </row>
    <row r="110" spans="1:16">
      <c r="A110" t="s">
        <v>193</v>
      </c>
      <c r="B110" t="s">
        <v>220</v>
      </c>
      <c r="C110" t="str">
        <f>VLOOKUP(A110,#REF!,3,FALSE)</f>
        <v>US Equity</v>
      </c>
      <c r="D110">
        <v>1</v>
      </c>
      <c r="E110">
        <v>11111113</v>
      </c>
      <c r="F110" t="s">
        <v>1217</v>
      </c>
      <c r="G110" t="s">
        <v>1217</v>
      </c>
      <c r="I110" s="1">
        <v>134.89500000000001</v>
      </c>
      <c r="J110" s="1">
        <v>134.89500000000001</v>
      </c>
      <c r="K110" t="s">
        <v>24</v>
      </c>
      <c r="M110" t="s">
        <v>22</v>
      </c>
      <c r="O110" s="3">
        <v>0</v>
      </c>
      <c r="P110" t="s">
        <v>1230</v>
      </c>
    </row>
    <row r="111" spans="1:16">
      <c r="A111" t="s">
        <v>54</v>
      </c>
      <c r="B111" t="s">
        <v>221</v>
      </c>
      <c r="C111" t="str">
        <f>VLOOKUP(A111,#REF!,3,FALSE)</f>
        <v>US Equity</v>
      </c>
      <c r="D111">
        <v>94.269199999999998</v>
      </c>
      <c r="E111">
        <v>11111113</v>
      </c>
      <c r="F111" t="s">
        <v>1217</v>
      </c>
      <c r="G111" t="s">
        <v>1217</v>
      </c>
      <c r="I111" s="1">
        <v>327.96</v>
      </c>
      <c r="J111" s="1">
        <v>30916.526831999996</v>
      </c>
      <c r="K111" t="s">
        <v>26</v>
      </c>
      <c r="M111" t="s">
        <v>22</v>
      </c>
      <c r="O111" s="3">
        <v>1E-4</v>
      </c>
      <c r="P111" t="s">
        <v>1231</v>
      </c>
    </row>
    <row r="112" spans="1:16">
      <c r="A112" t="s">
        <v>53</v>
      </c>
      <c r="B112" t="s">
        <v>222</v>
      </c>
      <c r="C112" t="str">
        <f>VLOOKUP(A112,#REF!,3,FALSE)</f>
        <v>US Equity</v>
      </c>
      <c r="D112">
        <v>6</v>
      </c>
      <c r="E112">
        <v>11111113</v>
      </c>
      <c r="F112" t="s">
        <v>1217</v>
      </c>
      <c r="G112" t="s">
        <v>1217</v>
      </c>
      <c r="I112" s="1">
        <v>442.5</v>
      </c>
      <c r="J112" s="1">
        <v>2655</v>
      </c>
      <c r="K112" t="s">
        <v>26</v>
      </c>
      <c r="M112" t="s">
        <v>22</v>
      </c>
      <c r="O112" s="3">
        <v>0</v>
      </c>
      <c r="P112" t="s">
        <v>1232</v>
      </c>
    </row>
    <row r="113" spans="1:16">
      <c r="A113" t="s">
        <v>155</v>
      </c>
      <c r="B113" t="s">
        <v>223</v>
      </c>
      <c r="C113" t="str">
        <f>VLOOKUP(A113,#REF!,3,FALSE)</f>
        <v>US Equity</v>
      </c>
      <c r="D113">
        <v>5.0495999999999999</v>
      </c>
      <c r="E113">
        <v>11111113</v>
      </c>
      <c r="F113" t="s">
        <v>1217</v>
      </c>
      <c r="G113" t="s">
        <v>1217</v>
      </c>
      <c r="I113" s="1">
        <v>125.45</v>
      </c>
      <c r="J113" s="1">
        <v>633.47231999999997</v>
      </c>
      <c r="K113" t="s">
        <v>26</v>
      </c>
      <c r="M113" t="s">
        <v>22</v>
      </c>
      <c r="O113" s="3">
        <v>0</v>
      </c>
      <c r="P113" t="s">
        <v>1233</v>
      </c>
    </row>
    <row r="114" spans="1:16">
      <c r="A114" t="s">
        <v>31</v>
      </c>
      <c r="B114" t="s">
        <v>224</v>
      </c>
      <c r="C114" t="str">
        <f>VLOOKUP(A114,#REF!,3,FALSE)</f>
        <v>US Equity</v>
      </c>
      <c r="D114">
        <v>6.0472999999999999</v>
      </c>
      <c r="E114">
        <v>11111113</v>
      </c>
      <c r="F114" t="s">
        <v>1217</v>
      </c>
      <c r="G114" t="s">
        <v>1217</v>
      </c>
      <c r="I114" s="1">
        <v>240.23</v>
      </c>
      <c r="J114" s="1">
        <v>1452.7428789999999</v>
      </c>
      <c r="K114" t="s">
        <v>26</v>
      </c>
      <c r="M114" t="s">
        <v>22</v>
      </c>
      <c r="O114" s="3">
        <v>0</v>
      </c>
      <c r="P114" t="s">
        <v>1234</v>
      </c>
    </row>
    <row r="115" spans="1:16">
      <c r="A115" t="s">
        <v>194</v>
      </c>
      <c r="B115" t="s">
        <v>225</v>
      </c>
      <c r="C115" t="str">
        <f>VLOOKUP(A115,#REF!,3,FALSE)</f>
        <v>US Equity</v>
      </c>
      <c r="D115">
        <v>4</v>
      </c>
      <c r="E115">
        <v>11111113</v>
      </c>
      <c r="F115" t="s">
        <v>1217</v>
      </c>
      <c r="G115" t="s">
        <v>1217</v>
      </c>
      <c r="I115" s="1">
        <v>27.05</v>
      </c>
      <c r="J115" s="1">
        <v>108.2</v>
      </c>
      <c r="K115" t="s">
        <v>24</v>
      </c>
      <c r="M115" t="s">
        <v>22</v>
      </c>
      <c r="O115" s="3">
        <v>0</v>
      </c>
      <c r="P115" t="s">
        <v>1235</v>
      </c>
    </row>
    <row r="116" spans="1:16">
      <c r="A116" t="s">
        <v>195</v>
      </c>
      <c r="B116" t="s">
        <v>226</v>
      </c>
      <c r="C116" t="str">
        <f>VLOOKUP(A116,#REF!,3,FALSE)</f>
        <v>US Equity</v>
      </c>
      <c r="D116">
        <v>1.0130999999999999</v>
      </c>
      <c r="E116">
        <v>11111113</v>
      </c>
      <c r="F116" t="s">
        <v>1217</v>
      </c>
      <c r="G116" t="s">
        <v>1217</v>
      </c>
      <c r="I116" s="1">
        <v>126.08499999999999</v>
      </c>
      <c r="J116" s="1">
        <v>127.73671349999998</v>
      </c>
      <c r="K116" t="s">
        <v>26</v>
      </c>
      <c r="M116" t="s">
        <v>22</v>
      </c>
      <c r="O116" s="3">
        <v>0</v>
      </c>
      <c r="P116" t="s">
        <v>1236</v>
      </c>
    </row>
    <row r="117" spans="1:16">
      <c r="A117" t="s">
        <v>196</v>
      </c>
      <c r="B117" t="s">
        <v>227</v>
      </c>
      <c r="C117" t="str">
        <f>VLOOKUP(A117,#REF!,3,FALSE)</f>
        <v>US Equity</v>
      </c>
      <c r="D117">
        <v>20.810500000000001</v>
      </c>
      <c r="E117">
        <v>11111113</v>
      </c>
      <c r="F117" t="s">
        <v>1217</v>
      </c>
      <c r="G117" t="s">
        <v>1217</v>
      </c>
      <c r="I117" s="1">
        <v>145.91</v>
      </c>
      <c r="J117" s="1">
        <v>3036.460055</v>
      </c>
      <c r="K117" t="s">
        <v>26</v>
      </c>
      <c r="M117" t="s">
        <v>22</v>
      </c>
      <c r="O117" s="3">
        <v>0</v>
      </c>
      <c r="P117" t="s">
        <v>1237</v>
      </c>
    </row>
    <row r="118" spans="1:16">
      <c r="A118" t="s">
        <v>197</v>
      </c>
      <c r="B118" t="s">
        <v>228</v>
      </c>
      <c r="C118" t="str">
        <f>VLOOKUP(A118,#REF!,3,FALSE)</f>
        <v>US Equity</v>
      </c>
      <c r="D118">
        <v>15.280799999999999</v>
      </c>
      <c r="E118">
        <v>11111113</v>
      </c>
      <c r="F118" t="s">
        <v>1217</v>
      </c>
      <c r="G118" t="s">
        <v>1217</v>
      </c>
      <c r="I118" s="1">
        <v>20.335000000000001</v>
      </c>
      <c r="J118" s="1">
        <v>310.73506800000001</v>
      </c>
      <c r="K118" t="s">
        <v>26</v>
      </c>
      <c r="M118" t="s">
        <v>22</v>
      </c>
      <c r="O118" s="3">
        <v>0</v>
      </c>
      <c r="P118" t="s">
        <v>1238</v>
      </c>
    </row>
    <row r="119" spans="1:16">
      <c r="A119" t="s">
        <v>34</v>
      </c>
      <c r="B119" t="s">
        <v>229</v>
      </c>
      <c r="C119" t="str">
        <f>VLOOKUP(A119,#REF!,3,FALSE)</f>
        <v>US Equity</v>
      </c>
      <c r="D119">
        <v>33</v>
      </c>
      <c r="E119">
        <v>11111113</v>
      </c>
      <c r="F119" t="s">
        <v>1217</v>
      </c>
      <c r="G119" t="s">
        <v>1217</v>
      </c>
      <c r="I119" s="1">
        <v>40.42</v>
      </c>
      <c r="J119" s="1">
        <v>1333.8600000000001</v>
      </c>
      <c r="K119" t="s">
        <v>24</v>
      </c>
      <c r="M119" t="s">
        <v>22</v>
      </c>
      <c r="O119" s="3">
        <v>0</v>
      </c>
      <c r="P119" t="s">
        <v>1239</v>
      </c>
    </row>
    <row r="120" spans="1:16">
      <c r="A120" t="s">
        <v>198</v>
      </c>
      <c r="B120" t="s">
        <v>230</v>
      </c>
      <c r="C120" t="str">
        <f>VLOOKUP(A120,#REF!,3,FALSE)</f>
        <v>US Equity</v>
      </c>
      <c r="D120">
        <v>6.0384000000000002</v>
      </c>
      <c r="E120">
        <v>11111113</v>
      </c>
      <c r="F120" t="s">
        <v>1217</v>
      </c>
      <c r="G120" t="s">
        <v>1217</v>
      </c>
      <c r="I120" s="1">
        <v>12.414999999999999</v>
      </c>
      <c r="J120" s="1">
        <v>74.966735999999997</v>
      </c>
      <c r="K120" t="s">
        <v>26</v>
      </c>
      <c r="M120" t="s">
        <v>22</v>
      </c>
      <c r="O120" s="3">
        <v>0</v>
      </c>
      <c r="P120" t="s">
        <v>1205</v>
      </c>
    </row>
    <row r="121" spans="1:16">
      <c r="A121" t="s">
        <v>199</v>
      </c>
      <c r="B121" t="s">
        <v>231</v>
      </c>
      <c r="C121" t="str">
        <f>VLOOKUP(A121,#REF!,3,FALSE)</f>
        <v>US Equity</v>
      </c>
      <c r="D121">
        <v>12</v>
      </c>
      <c r="E121">
        <v>11111113</v>
      </c>
      <c r="F121" t="s">
        <v>1217</v>
      </c>
      <c r="G121" t="s">
        <v>1217</v>
      </c>
      <c r="I121" s="1">
        <v>288.79000000000002</v>
      </c>
      <c r="J121" s="1">
        <v>3465.4800000000005</v>
      </c>
      <c r="K121" t="s">
        <v>26</v>
      </c>
      <c r="M121" t="s">
        <v>22</v>
      </c>
      <c r="O121" s="3">
        <v>0</v>
      </c>
      <c r="P121" t="s">
        <v>1240</v>
      </c>
    </row>
    <row r="122" spans="1:16">
      <c r="A122" t="s">
        <v>1148</v>
      </c>
      <c r="B122" t="s">
        <v>1149</v>
      </c>
      <c r="C122" t="str">
        <f>VLOOKUP(A122,#REF!,3,FALSE)</f>
        <v>Emerging</v>
      </c>
      <c r="D122">
        <v>66.954099999999997</v>
      </c>
      <c r="E122">
        <v>11111113</v>
      </c>
      <c r="F122" t="s">
        <v>1217</v>
      </c>
      <c r="G122" t="s">
        <v>1217</v>
      </c>
      <c r="I122" s="1">
        <v>78.644999999999996</v>
      </c>
      <c r="J122" s="1">
        <v>5265.6051944999999</v>
      </c>
      <c r="K122" t="s">
        <v>26</v>
      </c>
      <c r="M122" t="s">
        <v>22</v>
      </c>
      <c r="O122" s="3">
        <v>0</v>
      </c>
      <c r="P122" t="s">
        <v>1241</v>
      </c>
    </row>
    <row r="123" spans="1:16">
      <c r="A123" t="s">
        <v>1151</v>
      </c>
      <c r="B123" t="s">
        <v>1152</v>
      </c>
      <c r="C123" t="str">
        <f>VLOOKUP(A123,#REF!,3,FALSE)</f>
        <v>Emerging</v>
      </c>
      <c r="D123">
        <v>34.034799999999997</v>
      </c>
      <c r="E123">
        <v>11111113</v>
      </c>
      <c r="F123" t="s">
        <v>1217</v>
      </c>
      <c r="G123" t="s">
        <v>1217</v>
      </c>
      <c r="I123" s="1">
        <v>282.38</v>
      </c>
      <c r="J123" s="1">
        <v>9610.7468239999998</v>
      </c>
      <c r="K123" t="s">
        <v>26</v>
      </c>
      <c r="M123" t="s">
        <v>22</v>
      </c>
      <c r="O123" s="3">
        <v>0</v>
      </c>
      <c r="P123" t="s">
        <v>1242</v>
      </c>
    </row>
    <row r="124" spans="1:16">
      <c r="A124" t="s">
        <v>1154</v>
      </c>
      <c r="B124" t="s">
        <v>1155</v>
      </c>
      <c r="C124" t="str">
        <f>VLOOKUP(A124,#REF!,3,FALSE)</f>
        <v>Emerging</v>
      </c>
      <c r="D124">
        <v>3</v>
      </c>
      <c r="E124">
        <v>11111113</v>
      </c>
      <c r="F124" t="s">
        <v>1217</v>
      </c>
      <c r="G124" t="s">
        <v>1217</v>
      </c>
      <c r="I124" s="1">
        <v>94.265000000000001</v>
      </c>
      <c r="J124" s="1">
        <v>282.79500000000002</v>
      </c>
      <c r="K124" t="s">
        <v>24</v>
      </c>
      <c r="M124" t="s">
        <v>22</v>
      </c>
      <c r="O124" s="3">
        <v>0</v>
      </c>
      <c r="P124" t="s">
        <v>1209</v>
      </c>
    </row>
    <row r="125" spans="1:16">
      <c r="A125" t="s">
        <v>1157</v>
      </c>
      <c r="B125" t="s">
        <v>1158</v>
      </c>
      <c r="C125" t="str">
        <f>VLOOKUP(A125,#REF!,3,FALSE)</f>
        <v>Intl</v>
      </c>
      <c r="D125">
        <v>8</v>
      </c>
      <c r="E125">
        <v>11111113</v>
      </c>
      <c r="F125" t="s">
        <v>1217</v>
      </c>
      <c r="G125" t="s">
        <v>1217</v>
      </c>
      <c r="I125" s="1">
        <v>126.29</v>
      </c>
      <c r="J125" s="1">
        <v>1010.32</v>
      </c>
      <c r="K125" t="s">
        <v>26</v>
      </c>
      <c r="M125" t="s">
        <v>22</v>
      </c>
      <c r="O125" s="3">
        <v>0</v>
      </c>
      <c r="P125" t="s">
        <v>1243</v>
      </c>
    </row>
    <row r="126" spans="1:16">
      <c r="A126" t="s">
        <v>1160</v>
      </c>
      <c r="B126" t="s">
        <v>1161</v>
      </c>
      <c r="C126" t="str">
        <f>VLOOKUP(A126,#REF!,3,FALSE)</f>
        <v>Intl</v>
      </c>
      <c r="D126">
        <v>1.0044</v>
      </c>
      <c r="E126">
        <v>11111113</v>
      </c>
      <c r="F126" t="s">
        <v>1217</v>
      </c>
      <c r="G126" t="s">
        <v>1217</v>
      </c>
      <c r="I126" s="1">
        <v>44.564999999999998</v>
      </c>
      <c r="J126" s="1">
        <v>44.761085999999999</v>
      </c>
      <c r="K126" t="s">
        <v>26</v>
      </c>
      <c r="M126" t="s">
        <v>22</v>
      </c>
      <c r="O126" s="3">
        <v>0</v>
      </c>
      <c r="P126" t="s">
        <v>1211</v>
      </c>
    </row>
    <row r="127" spans="1:16">
      <c r="A127" t="s">
        <v>1163</v>
      </c>
      <c r="B127" t="s">
        <v>1164</v>
      </c>
      <c r="C127" t="str">
        <f>VLOOKUP(A127,#REF!,3,FALSE)</f>
        <v>Intl</v>
      </c>
      <c r="D127">
        <v>11.132099999999999</v>
      </c>
      <c r="E127">
        <v>11111113</v>
      </c>
      <c r="F127" t="s">
        <v>1217</v>
      </c>
      <c r="G127" t="s">
        <v>1217</v>
      </c>
      <c r="I127" s="1">
        <v>395.25</v>
      </c>
      <c r="J127" s="1">
        <v>4399.9625249999999</v>
      </c>
      <c r="K127" t="s">
        <v>26</v>
      </c>
      <c r="M127" t="s">
        <v>22</v>
      </c>
      <c r="O127" s="3">
        <v>0</v>
      </c>
      <c r="P127" t="s">
        <v>1244</v>
      </c>
    </row>
    <row r="128" spans="1:16">
      <c r="A128" t="s">
        <v>80</v>
      </c>
      <c r="B128" t="s">
        <v>1166</v>
      </c>
      <c r="C128" t="str">
        <f>VLOOKUP(A128,#REF!,3,FALSE)</f>
        <v>Intl</v>
      </c>
      <c r="D128">
        <v>32</v>
      </c>
      <c r="E128">
        <v>11111113</v>
      </c>
      <c r="F128" t="s">
        <v>1217</v>
      </c>
      <c r="G128" t="s">
        <v>1217</v>
      </c>
      <c r="I128" s="1">
        <v>50.354999999999997</v>
      </c>
      <c r="J128" s="1">
        <v>1611.36</v>
      </c>
      <c r="K128" t="s">
        <v>24</v>
      </c>
      <c r="M128" t="s">
        <v>22</v>
      </c>
      <c r="O128" s="3">
        <v>0</v>
      </c>
      <c r="P128" t="s">
        <v>1213</v>
      </c>
    </row>
    <row r="129" spans="1:16">
      <c r="A129" t="s">
        <v>156</v>
      </c>
      <c r="B129" t="s">
        <v>1168</v>
      </c>
      <c r="C129" t="str">
        <f>VLOOKUP(A129,#REF!,3,FALSE)</f>
        <v>MMF</v>
      </c>
      <c r="D129">
        <v>10.041399999999999</v>
      </c>
      <c r="E129">
        <v>11111113</v>
      </c>
      <c r="F129" t="s">
        <v>1217</v>
      </c>
      <c r="G129" t="s">
        <v>1217</v>
      </c>
      <c r="I129" s="1">
        <v>1</v>
      </c>
      <c r="J129" s="1">
        <v>10.041399999999999</v>
      </c>
      <c r="K129" t="s">
        <v>26</v>
      </c>
      <c r="M129" t="s">
        <v>22</v>
      </c>
      <c r="O129" s="3">
        <v>0</v>
      </c>
      <c r="P129" t="s">
        <v>1245</v>
      </c>
    </row>
    <row r="130" spans="1:16">
      <c r="A130" t="s">
        <v>1170</v>
      </c>
      <c r="B130" t="s">
        <v>1171</v>
      </c>
      <c r="C130" t="str">
        <f>VLOOKUP(A130,#REF!,3,FALSE)</f>
        <v>Bond</v>
      </c>
      <c r="D130">
        <v>20</v>
      </c>
      <c r="E130">
        <v>11111113</v>
      </c>
      <c r="F130" t="s">
        <v>1217</v>
      </c>
      <c r="G130" t="s">
        <v>1217</v>
      </c>
      <c r="I130" s="1">
        <v>80.459999999999994</v>
      </c>
      <c r="J130" s="1">
        <v>1609.1999999999998</v>
      </c>
      <c r="K130" t="s">
        <v>24</v>
      </c>
      <c r="M130" t="s">
        <v>22</v>
      </c>
      <c r="O130" s="3">
        <v>0</v>
      </c>
      <c r="P130" t="s">
        <v>1246</v>
      </c>
    </row>
    <row r="131" spans="1:16">
      <c r="A131" t="s">
        <v>1173</v>
      </c>
      <c r="B131" t="s">
        <v>1174</v>
      </c>
      <c r="C131" t="str">
        <f>VLOOKUP(A131,#REF!,3,FALSE)</f>
        <v>Bond</v>
      </c>
      <c r="D131">
        <v>5.0468000000000002</v>
      </c>
      <c r="E131">
        <v>11111113</v>
      </c>
      <c r="F131" t="s">
        <v>1217</v>
      </c>
      <c r="G131" t="s">
        <v>1217</v>
      </c>
      <c r="I131" s="1">
        <v>28.41</v>
      </c>
      <c r="J131" s="1">
        <v>143.37958800000001</v>
      </c>
      <c r="K131" t="s">
        <v>26</v>
      </c>
      <c r="M131" t="s">
        <v>22</v>
      </c>
      <c r="O131" s="3">
        <v>0</v>
      </c>
      <c r="P131" t="s">
        <v>1247</v>
      </c>
    </row>
    <row r="132" spans="1:16">
      <c r="A132" t="s">
        <v>1175</v>
      </c>
      <c r="B132" t="s">
        <v>1176</v>
      </c>
      <c r="C132" t="str">
        <f>VLOOKUP(A132,#REF!,3,FALSE)</f>
        <v>Bond</v>
      </c>
      <c r="D132">
        <v>59.8245</v>
      </c>
      <c r="E132">
        <v>11111113</v>
      </c>
      <c r="F132" t="s">
        <v>1217</v>
      </c>
      <c r="G132" t="s">
        <v>1217</v>
      </c>
      <c r="I132" s="1">
        <v>96.935000000000002</v>
      </c>
      <c r="J132" s="1">
        <v>5799.0879075000003</v>
      </c>
      <c r="K132" t="s">
        <v>26</v>
      </c>
      <c r="M132" t="s">
        <v>22</v>
      </c>
      <c r="O132" s="3">
        <v>1E-4</v>
      </c>
      <c r="P132" t="s">
        <v>1248</v>
      </c>
    </row>
    <row r="133" spans="1:16">
      <c r="A133" t="s">
        <v>1177</v>
      </c>
      <c r="B133" t="s">
        <v>1178</v>
      </c>
      <c r="C133" t="str">
        <f>VLOOKUP(A133,#REF!,3,FALSE)</f>
        <v>Bond</v>
      </c>
      <c r="D133" s="2">
        <v>1000</v>
      </c>
      <c r="E133">
        <v>11111113</v>
      </c>
      <c r="F133" t="s">
        <v>1217</v>
      </c>
      <c r="G133" t="s">
        <v>1217</v>
      </c>
      <c r="I133" s="1">
        <v>98.955600000000004</v>
      </c>
      <c r="J133" s="1">
        <v>98955.6</v>
      </c>
      <c r="M133" t="s">
        <v>22</v>
      </c>
      <c r="O133" s="3">
        <v>0</v>
      </c>
      <c r="P133" t="s">
        <v>23</v>
      </c>
    </row>
    <row r="134" spans="1:16">
      <c r="A134" t="s">
        <v>82</v>
      </c>
      <c r="B134" t="s">
        <v>83</v>
      </c>
      <c r="C134" t="str">
        <f>VLOOKUP(A134,#REF!,3,FALSE)</f>
        <v>US ETF</v>
      </c>
      <c r="D134" s="2">
        <v>1000</v>
      </c>
      <c r="E134">
        <v>11111113</v>
      </c>
      <c r="F134" t="s">
        <v>1217</v>
      </c>
      <c r="G134" t="s">
        <v>1217</v>
      </c>
      <c r="I134" s="1">
        <v>28.4</v>
      </c>
      <c r="J134" s="1">
        <v>28400</v>
      </c>
      <c r="M134" t="s">
        <v>22</v>
      </c>
      <c r="O134" s="3">
        <v>0</v>
      </c>
      <c r="P134" t="s">
        <v>23</v>
      </c>
    </row>
    <row r="135" spans="1:16">
      <c r="A135" t="s">
        <v>1179</v>
      </c>
      <c r="B135" t="s">
        <v>1180</v>
      </c>
      <c r="C135" t="str">
        <f>VLOOKUP(A135,#REF!,3,FALSE)</f>
        <v>REIT</v>
      </c>
      <c r="D135" s="2">
        <v>1000</v>
      </c>
      <c r="E135">
        <v>11111113</v>
      </c>
      <c r="F135" t="s">
        <v>1217</v>
      </c>
      <c r="G135" t="s">
        <v>1217</v>
      </c>
      <c r="I135" s="1">
        <v>4.84</v>
      </c>
      <c r="J135" s="1">
        <v>4840</v>
      </c>
      <c r="M135" t="s">
        <v>22</v>
      </c>
      <c r="O135" s="3">
        <v>0</v>
      </c>
      <c r="P135" t="s">
        <v>23</v>
      </c>
    </row>
    <row r="136" spans="1:16">
      <c r="A136" t="s">
        <v>85</v>
      </c>
      <c r="B136" t="s">
        <v>1181</v>
      </c>
      <c r="C136" t="str">
        <f>VLOOKUP(A136,#REF!,3,FALSE)</f>
        <v>US MF</v>
      </c>
      <c r="D136" s="2">
        <v>6207.38</v>
      </c>
      <c r="E136">
        <v>11111113</v>
      </c>
      <c r="F136" t="s">
        <v>1217</v>
      </c>
      <c r="G136" t="s">
        <v>1217</v>
      </c>
      <c r="I136" s="1">
        <v>1</v>
      </c>
      <c r="J136" s="1">
        <v>6207.38</v>
      </c>
      <c r="K136" t="s">
        <v>26</v>
      </c>
      <c r="L136" t="s">
        <v>26</v>
      </c>
      <c r="M136" t="s">
        <v>22</v>
      </c>
      <c r="O136" s="3">
        <v>1E-4</v>
      </c>
      <c r="P136" t="s">
        <v>23</v>
      </c>
    </row>
    <row r="137" spans="1:16">
      <c r="A137" t="s">
        <v>177</v>
      </c>
      <c r="B137" t="s">
        <v>200</v>
      </c>
      <c r="C137" t="str">
        <f>VLOOKUP(A137,#REF!,3,FALSE)</f>
        <v>US Equity</v>
      </c>
      <c r="D137">
        <v>100.1212</v>
      </c>
      <c r="E137">
        <v>11111114</v>
      </c>
      <c r="F137" t="s">
        <v>1249</v>
      </c>
      <c r="G137" t="s">
        <v>1249</v>
      </c>
      <c r="I137" s="1">
        <v>137.5301</v>
      </c>
      <c r="J137" s="1">
        <v>13769.678648120002</v>
      </c>
      <c r="K137" t="s">
        <v>26</v>
      </c>
      <c r="M137" t="s">
        <v>22</v>
      </c>
      <c r="O137" s="3">
        <v>2.0000000000000001E-4</v>
      </c>
      <c r="P137" t="s">
        <v>1250</v>
      </c>
    </row>
    <row r="138" spans="1:16">
      <c r="A138" t="s">
        <v>178</v>
      </c>
      <c r="B138" t="s">
        <v>201</v>
      </c>
      <c r="C138" t="str">
        <f>VLOOKUP(A138,#REF!,3,FALSE)</f>
        <v>US Equity</v>
      </c>
      <c r="D138">
        <v>80</v>
      </c>
      <c r="E138">
        <v>11111114</v>
      </c>
      <c r="F138" t="s">
        <v>1249</v>
      </c>
      <c r="G138" t="s">
        <v>1249</v>
      </c>
      <c r="I138" s="1">
        <v>97.09</v>
      </c>
      <c r="J138" s="1">
        <v>7767.2000000000007</v>
      </c>
      <c r="K138" t="s">
        <v>26</v>
      </c>
      <c r="M138" t="s">
        <v>22</v>
      </c>
      <c r="O138" s="3">
        <v>1E-4</v>
      </c>
      <c r="P138" t="s">
        <v>1251</v>
      </c>
    </row>
    <row r="139" spans="1:16">
      <c r="A139" t="s">
        <v>115</v>
      </c>
      <c r="B139" t="s">
        <v>125</v>
      </c>
      <c r="C139" t="str">
        <f>VLOOKUP(A139,#REF!,3,FALSE)</f>
        <v>US Equity</v>
      </c>
      <c r="D139">
        <v>25</v>
      </c>
      <c r="E139">
        <v>11111114</v>
      </c>
      <c r="F139" t="s">
        <v>1249</v>
      </c>
      <c r="G139" t="s">
        <v>1249</v>
      </c>
      <c r="I139" s="1">
        <v>119.4722</v>
      </c>
      <c r="J139" s="1">
        <v>2986.8049999999998</v>
      </c>
      <c r="K139" t="s">
        <v>24</v>
      </c>
      <c r="M139" t="s">
        <v>22</v>
      </c>
      <c r="O139" s="3">
        <v>0</v>
      </c>
      <c r="P139" t="s">
        <v>1252</v>
      </c>
    </row>
    <row r="140" spans="1:16">
      <c r="A140" t="s">
        <v>179</v>
      </c>
      <c r="B140" t="s">
        <v>202</v>
      </c>
      <c r="C140" t="str">
        <f>VLOOKUP(A140,#REF!,3,FALSE)</f>
        <v>US Equity</v>
      </c>
      <c r="D140">
        <v>31.766300000000001</v>
      </c>
      <c r="E140">
        <v>11111114</v>
      </c>
      <c r="F140" t="s">
        <v>1249</v>
      </c>
      <c r="G140" t="s">
        <v>1249</v>
      </c>
      <c r="I140" s="1">
        <v>82.757900000000006</v>
      </c>
      <c r="J140" s="1">
        <v>2628.9122787700003</v>
      </c>
      <c r="K140" t="s">
        <v>26</v>
      </c>
      <c r="M140" t="s">
        <v>22</v>
      </c>
      <c r="O140" s="3">
        <v>0</v>
      </c>
      <c r="P140" t="s">
        <v>1253</v>
      </c>
    </row>
    <row r="141" spans="1:16">
      <c r="A141" t="s">
        <v>180</v>
      </c>
      <c r="B141" t="s">
        <v>203</v>
      </c>
      <c r="C141" t="str">
        <f>VLOOKUP(A141,#REF!,3,FALSE)</f>
        <v>US Equity</v>
      </c>
      <c r="D141">
        <v>30</v>
      </c>
      <c r="E141">
        <v>11111114</v>
      </c>
      <c r="F141" t="s">
        <v>1249</v>
      </c>
      <c r="G141" t="s">
        <v>1249</v>
      </c>
      <c r="I141" s="1">
        <v>135.44999999999999</v>
      </c>
      <c r="J141" s="1">
        <v>4063.4999999999995</v>
      </c>
      <c r="K141" t="s">
        <v>24</v>
      </c>
      <c r="M141" t="s">
        <v>22</v>
      </c>
      <c r="O141" s="3">
        <v>1E-4</v>
      </c>
      <c r="P141" t="s">
        <v>1254</v>
      </c>
    </row>
    <row r="142" spans="1:16">
      <c r="A142" t="s">
        <v>181</v>
      </c>
      <c r="B142" t="s">
        <v>204</v>
      </c>
      <c r="C142" t="str">
        <f>VLOOKUP(A142,#REF!,3,FALSE)</f>
        <v>US Equity</v>
      </c>
      <c r="D142">
        <v>1</v>
      </c>
      <c r="E142">
        <v>11111114</v>
      </c>
      <c r="F142" t="s">
        <v>1249</v>
      </c>
      <c r="G142" t="s">
        <v>1249</v>
      </c>
      <c r="I142" s="1">
        <v>2342.4175</v>
      </c>
      <c r="J142" s="1">
        <v>2342.4175</v>
      </c>
      <c r="K142" t="s">
        <v>26</v>
      </c>
      <c r="M142" t="s">
        <v>22</v>
      </c>
      <c r="O142" s="3">
        <v>0</v>
      </c>
      <c r="P142" t="s">
        <v>1255</v>
      </c>
    </row>
    <row r="143" spans="1:16">
      <c r="A143" t="s">
        <v>33</v>
      </c>
      <c r="B143" t="s">
        <v>205</v>
      </c>
      <c r="C143" t="str">
        <f>VLOOKUP(A143,#REF!,3,FALSE)</f>
        <v>US Equity</v>
      </c>
      <c r="D143">
        <v>4.1573000000000002</v>
      </c>
      <c r="E143">
        <v>11111114</v>
      </c>
      <c r="F143" t="s">
        <v>1249</v>
      </c>
      <c r="G143" t="s">
        <v>1249</v>
      </c>
      <c r="I143" s="1">
        <v>741.19</v>
      </c>
      <c r="J143" s="1">
        <v>3081.3491870000003</v>
      </c>
      <c r="K143" t="s">
        <v>26</v>
      </c>
      <c r="M143" t="s">
        <v>22</v>
      </c>
      <c r="O143" s="3">
        <v>0</v>
      </c>
      <c r="P143" t="s">
        <v>1256</v>
      </c>
    </row>
    <row r="144" spans="1:16">
      <c r="A144" t="s">
        <v>182</v>
      </c>
      <c r="B144" t="s">
        <v>182</v>
      </c>
      <c r="C144" t="str">
        <f>VLOOKUP(A144,#REF!,3,FALSE)</f>
        <v>US Equity</v>
      </c>
      <c r="D144">
        <v>11.545199999999999</v>
      </c>
      <c r="E144">
        <v>11111114</v>
      </c>
      <c r="F144" t="s">
        <v>1249</v>
      </c>
      <c r="G144" t="s">
        <v>1249</v>
      </c>
      <c r="I144" s="1">
        <v>23.355</v>
      </c>
      <c r="J144" s="1">
        <v>269.63814600000001</v>
      </c>
      <c r="K144" t="s">
        <v>26</v>
      </c>
      <c r="M144" t="s">
        <v>22</v>
      </c>
      <c r="O144" s="3">
        <v>0</v>
      </c>
      <c r="P144" t="s">
        <v>1257</v>
      </c>
    </row>
    <row r="145" spans="1:16">
      <c r="A145" t="s">
        <v>27</v>
      </c>
      <c r="B145" t="s">
        <v>206</v>
      </c>
      <c r="C145" t="str">
        <f>VLOOKUP(A145,#REF!,3,FALSE)</f>
        <v>US Equity</v>
      </c>
      <c r="D145">
        <v>19</v>
      </c>
      <c r="E145">
        <v>11111114</v>
      </c>
      <c r="F145" t="s">
        <v>1249</v>
      </c>
      <c r="G145" t="s">
        <v>1249</v>
      </c>
      <c r="I145" s="1">
        <v>309.19900000000001</v>
      </c>
      <c r="J145" s="1">
        <v>5874.7809999999999</v>
      </c>
      <c r="K145" t="s">
        <v>24</v>
      </c>
      <c r="M145" t="s">
        <v>22</v>
      </c>
      <c r="O145" s="3">
        <v>1E-4</v>
      </c>
      <c r="P145" t="s">
        <v>1258</v>
      </c>
    </row>
    <row r="146" spans="1:16">
      <c r="A146" t="s">
        <v>183</v>
      </c>
      <c r="B146" t="s">
        <v>207</v>
      </c>
      <c r="C146" t="str">
        <f>VLOOKUP(A146,#REF!,3,FALSE)</f>
        <v>US Equity</v>
      </c>
      <c r="D146">
        <v>60.481099999999998</v>
      </c>
      <c r="E146">
        <v>11111114</v>
      </c>
      <c r="F146" t="s">
        <v>1249</v>
      </c>
      <c r="G146" t="s">
        <v>1249</v>
      </c>
      <c r="I146" s="1">
        <v>273.65499999999997</v>
      </c>
      <c r="J146" s="1">
        <v>16550.955420499999</v>
      </c>
      <c r="K146" t="s">
        <v>26</v>
      </c>
      <c r="M146" t="s">
        <v>22</v>
      </c>
      <c r="O146" s="3">
        <v>1E-4</v>
      </c>
      <c r="P146" t="s">
        <v>1259</v>
      </c>
    </row>
    <row r="147" spans="1:16">
      <c r="A147" t="s">
        <v>29</v>
      </c>
      <c r="B147" t="s">
        <v>208</v>
      </c>
      <c r="C147" t="str">
        <f>VLOOKUP(A147,#REF!,3,FALSE)</f>
        <v>US Equity</v>
      </c>
      <c r="D147">
        <v>239.23220000000001</v>
      </c>
      <c r="E147">
        <v>11111114</v>
      </c>
      <c r="F147" t="s">
        <v>1249</v>
      </c>
      <c r="G147" t="s">
        <v>1249</v>
      </c>
      <c r="I147" s="1">
        <v>67.87</v>
      </c>
      <c r="J147" s="1">
        <v>16236.689414000002</v>
      </c>
      <c r="K147" t="s">
        <v>26</v>
      </c>
      <c r="M147" t="s">
        <v>22</v>
      </c>
      <c r="O147" s="3">
        <v>1E-4</v>
      </c>
      <c r="P147" t="s">
        <v>1260</v>
      </c>
    </row>
    <row r="148" spans="1:16">
      <c r="A148" t="s">
        <v>184</v>
      </c>
      <c r="B148" t="s">
        <v>209</v>
      </c>
      <c r="C148" t="str">
        <f>VLOOKUP(A148,#REF!,3,FALSE)</f>
        <v>US Equity</v>
      </c>
      <c r="D148">
        <v>515.9425</v>
      </c>
      <c r="E148">
        <v>11111114</v>
      </c>
      <c r="F148" t="s">
        <v>1249</v>
      </c>
      <c r="G148" t="s">
        <v>1249</v>
      </c>
      <c r="I148" s="1">
        <v>32.72</v>
      </c>
      <c r="J148" s="1">
        <v>16881.638599999998</v>
      </c>
      <c r="K148" t="s">
        <v>26</v>
      </c>
      <c r="M148" t="s">
        <v>22</v>
      </c>
      <c r="O148" s="3">
        <v>2.0000000000000001E-4</v>
      </c>
      <c r="P148" t="s">
        <v>1261</v>
      </c>
    </row>
    <row r="149" spans="1:16">
      <c r="A149" t="s">
        <v>185</v>
      </c>
      <c r="B149" t="s">
        <v>210</v>
      </c>
      <c r="C149" t="str">
        <f>VLOOKUP(A149,#REF!,3,FALSE)</f>
        <v>US Equity</v>
      </c>
      <c r="D149">
        <v>47.236899999999999</v>
      </c>
      <c r="E149">
        <v>11111114</v>
      </c>
      <c r="F149" t="s">
        <v>1249</v>
      </c>
      <c r="G149" t="s">
        <v>1249</v>
      </c>
      <c r="I149" s="1">
        <v>29.2</v>
      </c>
      <c r="J149" s="1">
        <v>1379.3174799999999</v>
      </c>
      <c r="K149" t="s">
        <v>26</v>
      </c>
      <c r="M149" t="s">
        <v>22</v>
      </c>
      <c r="O149" s="3">
        <v>1E-4</v>
      </c>
      <c r="P149" t="s">
        <v>1262</v>
      </c>
    </row>
    <row r="150" spans="1:16">
      <c r="A150" t="s">
        <v>186</v>
      </c>
      <c r="B150" t="s">
        <v>211</v>
      </c>
      <c r="C150" t="str">
        <f>VLOOKUP(A150,#REF!,3,FALSE)</f>
        <v>US Equity</v>
      </c>
      <c r="D150">
        <v>257.41759999999999</v>
      </c>
      <c r="E150">
        <v>11111114</v>
      </c>
      <c r="F150" t="s">
        <v>1249</v>
      </c>
      <c r="G150" t="s">
        <v>1249</v>
      </c>
      <c r="I150" s="1">
        <v>147.56</v>
      </c>
      <c r="J150" s="1">
        <v>37984.541056000002</v>
      </c>
      <c r="K150" t="s">
        <v>26</v>
      </c>
      <c r="M150" t="s">
        <v>22</v>
      </c>
      <c r="O150" s="3">
        <v>1E-4</v>
      </c>
      <c r="P150" t="s">
        <v>1263</v>
      </c>
    </row>
    <row r="151" spans="1:16">
      <c r="A151" t="s">
        <v>187</v>
      </c>
      <c r="B151" t="s">
        <v>212</v>
      </c>
      <c r="C151" t="str">
        <f>VLOOKUP(A151,#REF!,3,FALSE)</f>
        <v>US Equity</v>
      </c>
      <c r="D151">
        <v>60</v>
      </c>
      <c r="E151">
        <v>11111114</v>
      </c>
      <c r="F151" t="s">
        <v>1249</v>
      </c>
      <c r="G151" t="s">
        <v>1249</v>
      </c>
      <c r="I151" s="1">
        <v>32.414999999999999</v>
      </c>
      <c r="J151" s="1">
        <v>1944.8999999999999</v>
      </c>
      <c r="K151" t="s">
        <v>26</v>
      </c>
      <c r="M151" t="s">
        <v>22</v>
      </c>
      <c r="O151" s="3">
        <v>1E-4</v>
      </c>
      <c r="P151" t="s">
        <v>1264</v>
      </c>
    </row>
    <row r="152" spans="1:16">
      <c r="A152" t="s">
        <v>188</v>
      </c>
      <c r="B152" t="s">
        <v>213</v>
      </c>
      <c r="C152" t="str">
        <f>VLOOKUP(A152,#REF!,3,FALSE)</f>
        <v>US Equity</v>
      </c>
      <c r="D152">
        <v>48</v>
      </c>
      <c r="E152">
        <v>11111114</v>
      </c>
      <c r="F152" t="s">
        <v>1249</v>
      </c>
      <c r="G152" t="s">
        <v>1249</v>
      </c>
      <c r="I152" s="1">
        <v>97.79</v>
      </c>
      <c r="J152" s="1">
        <v>4693.92</v>
      </c>
      <c r="K152" t="s">
        <v>24</v>
      </c>
      <c r="M152" t="s">
        <v>22</v>
      </c>
      <c r="O152" s="3">
        <v>0</v>
      </c>
      <c r="P152" t="s">
        <v>1265</v>
      </c>
    </row>
    <row r="153" spans="1:16">
      <c r="A153" t="s">
        <v>151</v>
      </c>
      <c r="B153" t="s">
        <v>214</v>
      </c>
      <c r="C153" t="str">
        <f>VLOOKUP(A153,#REF!,3,FALSE)</f>
        <v>US Equity</v>
      </c>
      <c r="D153">
        <v>4</v>
      </c>
      <c r="E153">
        <v>11111114</v>
      </c>
      <c r="F153" t="s">
        <v>1249</v>
      </c>
      <c r="G153" t="s">
        <v>1249</v>
      </c>
      <c r="I153" s="1">
        <v>44.49</v>
      </c>
      <c r="J153" s="1">
        <v>177.96</v>
      </c>
      <c r="K153" t="s">
        <v>24</v>
      </c>
      <c r="M153" t="s">
        <v>22</v>
      </c>
      <c r="O153" s="3">
        <v>0</v>
      </c>
      <c r="P153" t="s">
        <v>1266</v>
      </c>
    </row>
    <row r="154" spans="1:16">
      <c r="A154" t="s">
        <v>189</v>
      </c>
      <c r="B154" t="s">
        <v>215</v>
      </c>
      <c r="C154" t="str">
        <f>VLOOKUP(A154,#REF!,3,FALSE)</f>
        <v>US Equity</v>
      </c>
      <c r="D154">
        <v>927.48919999999998</v>
      </c>
      <c r="E154">
        <v>11111114</v>
      </c>
      <c r="F154" t="s">
        <v>1249</v>
      </c>
      <c r="G154" t="s">
        <v>1249</v>
      </c>
      <c r="I154" s="1">
        <v>495.39</v>
      </c>
      <c r="J154" s="1">
        <v>459468.87478799996</v>
      </c>
      <c r="K154" t="s">
        <v>26</v>
      </c>
      <c r="M154" t="s">
        <v>22</v>
      </c>
      <c r="O154" s="3">
        <v>5.9999999999999995E-4</v>
      </c>
      <c r="P154" t="s">
        <v>1267</v>
      </c>
    </row>
    <row r="155" spans="1:16">
      <c r="A155" t="s">
        <v>32</v>
      </c>
      <c r="B155" t="s">
        <v>216</v>
      </c>
      <c r="C155" t="str">
        <f>VLOOKUP(A155,#REF!,3,FALSE)</f>
        <v>US Equity</v>
      </c>
      <c r="D155">
        <v>17</v>
      </c>
      <c r="E155">
        <v>11111114</v>
      </c>
      <c r="F155" t="s">
        <v>1249</v>
      </c>
      <c r="G155" t="s">
        <v>1249</v>
      </c>
      <c r="I155" s="1">
        <v>51.395000000000003</v>
      </c>
      <c r="J155" s="1">
        <v>873.71500000000003</v>
      </c>
      <c r="K155" t="s">
        <v>26</v>
      </c>
      <c r="M155" t="s">
        <v>22</v>
      </c>
      <c r="O155" s="3">
        <v>0</v>
      </c>
      <c r="P155" t="s">
        <v>1268</v>
      </c>
    </row>
    <row r="156" spans="1:16">
      <c r="A156" t="s">
        <v>190</v>
      </c>
      <c r="B156" t="s">
        <v>217</v>
      </c>
      <c r="C156" t="str">
        <f>VLOOKUP(A156,#REF!,3,FALSE)</f>
        <v>US Equity</v>
      </c>
      <c r="D156">
        <v>19.188199999999998</v>
      </c>
      <c r="E156">
        <v>11111114</v>
      </c>
      <c r="F156" t="s">
        <v>1249</v>
      </c>
      <c r="G156" t="s">
        <v>1249</v>
      </c>
      <c r="I156" s="1">
        <v>223.166</v>
      </c>
      <c r="J156" s="1">
        <v>4282.1538412</v>
      </c>
      <c r="K156" t="s">
        <v>26</v>
      </c>
      <c r="M156" t="s">
        <v>22</v>
      </c>
      <c r="O156" s="3">
        <v>0</v>
      </c>
      <c r="P156" t="s">
        <v>1269</v>
      </c>
    </row>
    <row r="157" spans="1:16">
      <c r="A157" t="s">
        <v>191</v>
      </c>
      <c r="B157" t="s">
        <v>218</v>
      </c>
      <c r="C157" t="str">
        <f>VLOOKUP(A157,#REF!,3,FALSE)</f>
        <v>US Equity</v>
      </c>
      <c r="D157">
        <v>24.189299999999999</v>
      </c>
      <c r="E157">
        <v>11111114</v>
      </c>
      <c r="F157" t="s">
        <v>1249</v>
      </c>
      <c r="G157" t="s">
        <v>1249</v>
      </c>
      <c r="I157" s="1">
        <v>184.70500000000001</v>
      </c>
      <c r="J157" s="1">
        <v>4467.8846565000003</v>
      </c>
      <c r="K157" t="s">
        <v>26</v>
      </c>
      <c r="M157" t="s">
        <v>22</v>
      </c>
      <c r="O157" s="3">
        <v>0</v>
      </c>
      <c r="P157" t="s">
        <v>1270</v>
      </c>
    </row>
    <row r="158" spans="1:16">
      <c r="A158" t="s">
        <v>192</v>
      </c>
      <c r="B158" t="s">
        <v>219</v>
      </c>
      <c r="C158" t="str">
        <f>VLOOKUP(A158,#REF!,3,FALSE)</f>
        <v>US Equity</v>
      </c>
      <c r="D158">
        <v>13</v>
      </c>
      <c r="E158">
        <v>11111114</v>
      </c>
      <c r="F158" t="s">
        <v>1249</v>
      </c>
      <c r="G158" t="s">
        <v>1249</v>
      </c>
      <c r="I158" s="1">
        <v>55</v>
      </c>
      <c r="J158" s="1">
        <v>715</v>
      </c>
      <c r="K158" t="s">
        <v>24</v>
      </c>
      <c r="M158" t="s">
        <v>22</v>
      </c>
      <c r="O158" s="3">
        <v>1E-4</v>
      </c>
      <c r="P158" t="s">
        <v>1271</v>
      </c>
    </row>
    <row r="159" spans="1:16">
      <c r="A159" t="s">
        <v>193</v>
      </c>
      <c r="B159" t="s">
        <v>220</v>
      </c>
      <c r="C159" t="str">
        <f>VLOOKUP(A159,#REF!,3,FALSE)</f>
        <v>US Equity</v>
      </c>
      <c r="D159">
        <v>4.0525000000000002</v>
      </c>
      <c r="E159">
        <v>11111114</v>
      </c>
      <c r="F159" t="s">
        <v>1249</v>
      </c>
      <c r="G159" t="s">
        <v>1249</v>
      </c>
      <c r="I159" s="1">
        <v>134.89500000000001</v>
      </c>
      <c r="J159" s="1">
        <v>546.66198750000012</v>
      </c>
      <c r="K159" t="s">
        <v>26</v>
      </c>
      <c r="M159" t="s">
        <v>22</v>
      </c>
      <c r="O159" s="3">
        <v>0</v>
      </c>
      <c r="P159" t="s">
        <v>1272</v>
      </c>
    </row>
    <row r="160" spans="1:16">
      <c r="A160" t="s">
        <v>54</v>
      </c>
      <c r="B160" t="s">
        <v>221</v>
      </c>
      <c r="C160" t="str">
        <f>VLOOKUP(A160,#REF!,3,FALSE)</f>
        <v>US Equity</v>
      </c>
      <c r="D160">
        <v>90.260499999999993</v>
      </c>
      <c r="E160">
        <v>11111114</v>
      </c>
      <c r="F160" t="s">
        <v>1249</v>
      </c>
      <c r="G160" t="s">
        <v>1249</v>
      </c>
      <c r="I160" s="1">
        <v>327.96</v>
      </c>
      <c r="J160" s="1">
        <v>29601.833579999995</v>
      </c>
      <c r="K160" t="s">
        <v>26</v>
      </c>
      <c r="M160" t="s">
        <v>22</v>
      </c>
      <c r="O160" s="3">
        <v>1E-4</v>
      </c>
      <c r="P160" t="s">
        <v>1273</v>
      </c>
    </row>
    <row r="161" spans="1:16">
      <c r="A161" t="s">
        <v>53</v>
      </c>
      <c r="B161" t="s">
        <v>222</v>
      </c>
      <c r="C161" t="str">
        <f>VLOOKUP(A161,#REF!,3,FALSE)</f>
        <v>US Equity</v>
      </c>
      <c r="D161">
        <v>36.250100000000003</v>
      </c>
      <c r="E161">
        <v>11111114</v>
      </c>
      <c r="F161" t="s">
        <v>1249</v>
      </c>
      <c r="G161" t="s">
        <v>1249</v>
      </c>
      <c r="I161" s="1">
        <v>442.5</v>
      </c>
      <c r="J161" s="1">
        <v>16040.669250000001</v>
      </c>
      <c r="K161" t="s">
        <v>26</v>
      </c>
      <c r="M161" t="s">
        <v>22</v>
      </c>
      <c r="O161" s="3">
        <v>1E-4</v>
      </c>
      <c r="P161" t="s">
        <v>1274</v>
      </c>
    </row>
    <row r="162" spans="1:16">
      <c r="A162" t="s">
        <v>155</v>
      </c>
      <c r="B162" t="s">
        <v>223</v>
      </c>
      <c r="C162" t="str">
        <f>VLOOKUP(A162,#REF!,3,FALSE)</f>
        <v>US Equity</v>
      </c>
      <c r="D162">
        <v>79</v>
      </c>
      <c r="E162">
        <v>11111114</v>
      </c>
      <c r="F162" t="s">
        <v>1249</v>
      </c>
      <c r="G162" t="s">
        <v>1249</v>
      </c>
      <c r="I162" s="1">
        <v>125.45</v>
      </c>
      <c r="J162" s="1">
        <v>9910.5500000000011</v>
      </c>
      <c r="K162" t="s">
        <v>24</v>
      </c>
      <c r="M162" t="s">
        <v>22</v>
      </c>
      <c r="O162" s="3">
        <v>0</v>
      </c>
      <c r="P162" t="s">
        <v>1275</v>
      </c>
    </row>
    <row r="163" spans="1:16">
      <c r="A163" t="s">
        <v>31</v>
      </c>
      <c r="B163" t="s">
        <v>224</v>
      </c>
      <c r="C163" t="str">
        <f>VLOOKUP(A163,#REF!,3,FALSE)</f>
        <v>US Equity</v>
      </c>
      <c r="D163">
        <v>26.166</v>
      </c>
      <c r="E163">
        <v>11111114</v>
      </c>
      <c r="F163" t="s">
        <v>1249</v>
      </c>
      <c r="G163" t="s">
        <v>1249</v>
      </c>
      <c r="I163" s="1">
        <v>240.23</v>
      </c>
      <c r="J163" s="1">
        <v>6285.8581800000002</v>
      </c>
      <c r="K163" t="s">
        <v>26</v>
      </c>
      <c r="M163" t="s">
        <v>22</v>
      </c>
      <c r="O163" s="3">
        <v>0</v>
      </c>
      <c r="P163" t="s">
        <v>1276</v>
      </c>
    </row>
    <row r="164" spans="1:16">
      <c r="A164" t="s">
        <v>194</v>
      </c>
      <c r="B164" t="s">
        <v>225</v>
      </c>
      <c r="C164" t="str">
        <f>VLOOKUP(A164,#REF!,3,FALSE)</f>
        <v>US Equity</v>
      </c>
      <c r="D164">
        <v>27</v>
      </c>
      <c r="E164">
        <v>11111114</v>
      </c>
      <c r="F164" t="s">
        <v>1249</v>
      </c>
      <c r="G164" t="s">
        <v>1249</v>
      </c>
      <c r="I164" s="1">
        <v>27.05</v>
      </c>
      <c r="J164" s="1">
        <v>730.35</v>
      </c>
      <c r="K164" t="s">
        <v>26</v>
      </c>
      <c r="M164" t="s">
        <v>22</v>
      </c>
      <c r="O164" s="3">
        <v>0</v>
      </c>
      <c r="P164" t="s">
        <v>1277</v>
      </c>
    </row>
    <row r="165" spans="1:16">
      <c r="A165" t="s">
        <v>195</v>
      </c>
      <c r="B165" t="s">
        <v>226</v>
      </c>
      <c r="C165" t="str">
        <f>VLOOKUP(A165,#REF!,3,FALSE)</f>
        <v>US Equity</v>
      </c>
      <c r="D165">
        <v>140.58150000000001</v>
      </c>
      <c r="E165">
        <v>11111114</v>
      </c>
      <c r="F165" t="s">
        <v>1249</v>
      </c>
      <c r="G165" t="s">
        <v>1249</v>
      </c>
      <c r="I165" s="1">
        <v>126.08499999999999</v>
      </c>
      <c r="J165" s="1">
        <v>17725.2184275</v>
      </c>
      <c r="K165" t="s">
        <v>26</v>
      </c>
      <c r="M165" t="s">
        <v>22</v>
      </c>
      <c r="O165" s="3">
        <v>0</v>
      </c>
      <c r="P165" t="s">
        <v>1278</v>
      </c>
    </row>
    <row r="166" spans="1:16">
      <c r="A166" t="s">
        <v>196</v>
      </c>
      <c r="B166" t="s">
        <v>227</v>
      </c>
      <c r="C166" t="str">
        <f>VLOOKUP(A166,#REF!,3,FALSE)</f>
        <v>US Equity</v>
      </c>
      <c r="D166">
        <v>118.1204</v>
      </c>
      <c r="E166">
        <v>11111114</v>
      </c>
      <c r="F166" t="s">
        <v>1249</v>
      </c>
      <c r="G166" t="s">
        <v>1249</v>
      </c>
      <c r="I166" s="1">
        <v>145.91</v>
      </c>
      <c r="J166" s="1">
        <v>17234.947564000002</v>
      </c>
      <c r="K166" t="s">
        <v>26</v>
      </c>
      <c r="M166" t="s">
        <v>22</v>
      </c>
      <c r="O166" s="3">
        <v>1E-4</v>
      </c>
      <c r="P166" t="s">
        <v>1279</v>
      </c>
    </row>
    <row r="167" spans="1:16">
      <c r="A167" t="s">
        <v>197</v>
      </c>
      <c r="B167" t="s">
        <v>228</v>
      </c>
      <c r="C167" t="str">
        <f>VLOOKUP(A167,#REF!,3,FALSE)</f>
        <v>US Equity</v>
      </c>
      <c r="D167">
        <v>7</v>
      </c>
      <c r="E167">
        <v>11111114</v>
      </c>
      <c r="F167" t="s">
        <v>1249</v>
      </c>
      <c r="G167" t="s">
        <v>1249</v>
      </c>
      <c r="I167" s="1">
        <v>20.335000000000001</v>
      </c>
      <c r="J167" s="1">
        <v>142.345</v>
      </c>
      <c r="K167" t="s">
        <v>24</v>
      </c>
      <c r="M167" t="s">
        <v>22</v>
      </c>
      <c r="O167" s="3">
        <v>0</v>
      </c>
      <c r="P167" t="s">
        <v>1280</v>
      </c>
    </row>
    <row r="168" spans="1:16">
      <c r="A168" t="s">
        <v>34</v>
      </c>
      <c r="B168" t="s">
        <v>229</v>
      </c>
      <c r="C168" t="str">
        <f>VLOOKUP(A168,#REF!,3,FALSE)</f>
        <v>US Equity</v>
      </c>
      <c r="D168">
        <v>31</v>
      </c>
      <c r="E168">
        <v>11111114</v>
      </c>
      <c r="F168" t="s">
        <v>1249</v>
      </c>
      <c r="G168" t="s">
        <v>1249</v>
      </c>
      <c r="I168" s="1">
        <v>40.42</v>
      </c>
      <c r="J168" s="1">
        <v>1253.02</v>
      </c>
      <c r="K168" t="s">
        <v>26</v>
      </c>
      <c r="M168" t="s">
        <v>22</v>
      </c>
      <c r="O168" s="3">
        <v>0</v>
      </c>
      <c r="P168" t="s">
        <v>1281</v>
      </c>
    </row>
    <row r="169" spans="1:16">
      <c r="A169" t="s">
        <v>198</v>
      </c>
      <c r="B169" t="s">
        <v>230</v>
      </c>
      <c r="C169" t="str">
        <f>VLOOKUP(A169,#REF!,3,FALSE)</f>
        <v>US Equity</v>
      </c>
      <c r="D169">
        <v>5.0217999999999998</v>
      </c>
      <c r="E169">
        <v>11111114</v>
      </c>
      <c r="F169" t="s">
        <v>1249</v>
      </c>
      <c r="G169" t="s">
        <v>1249</v>
      </c>
      <c r="I169" s="1">
        <v>12.414999999999999</v>
      </c>
      <c r="J169" s="1">
        <v>62.345646999999992</v>
      </c>
      <c r="K169" t="s">
        <v>26</v>
      </c>
      <c r="M169" t="s">
        <v>22</v>
      </c>
      <c r="O169" s="3">
        <v>0</v>
      </c>
      <c r="P169" t="s">
        <v>1282</v>
      </c>
    </row>
    <row r="170" spans="1:16">
      <c r="A170" t="s">
        <v>199</v>
      </c>
      <c r="B170" t="s">
        <v>231</v>
      </c>
      <c r="C170" t="str">
        <f>VLOOKUP(A170,#REF!,3,FALSE)</f>
        <v>US Equity</v>
      </c>
      <c r="D170">
        <v>42.504300000000001</v>
      </c>
      <c r="E170">
        <v>11111114</v>
      </c>
      <c r="F170" t="s">
        <v>1249</v>
      </c>
      <c r="G170" t="s">
        <v>1249</v>
      </c>
      <c r="I170" s="1">
        <v>288.79000000000002</v>
      </c>
      <c r="J170" s="1">
        <v>12274.816797000001</v>
      </c>
      <c r="K170" t="s">
        <v>26</v>
      </c>
      <c r="M170" t="s">
        <v>22</v>
      </c>
      <c r="O170" s="3">
        <v>0</v>
      </c>
      <c r="P170" t="s">
        <v>1283</v>
      </c>
    </row>
    <row r="171" spans="1:16">
      <c r="A171" t="s">
        <v>1148</v>
      </c>
      <c r="B171" t="s">
        <v>1149</v>
      </c>
      <c r="C171" t="str">
        <f>VLOOKUP(A171,#REF!,3,FALSE)</f>
        <v>Emerging</v>
      </c>
      <c r="D171">
        <v>290</v>
      </c>
      <c r="E171">
        <v>11111114</v>
      </c>
      <c r="F171" t="s">
        <v>1249</v>
      </c>
      <c r="G171" t="s">
        <v>1249</v>
      </c>
      <c r="I171" s="1">
        <v>78.644999999999996</v>
      </c>
      <c r="J171" s="1">
        <v>22807.05</v>
      </c>
      <c r="K171" t="s">
        <v>24</v>
      </c>
      <c r="M171" t="s">
        <v>22</v>
      </c>
      <c r="O171" s="3">
        <v>1E-4</v>
      </c>
      <c r="P171" t="s">
        <v>1284</v>
      </c>
    </row>
    <row r="172" spans="1:16">
      <c r="A172" t="s">
        <v>1151</v>
      </c>
      <c r="B172" t="s">
        <v>1152</v>
      </c>
      <c r="C172" t="str">
        <f>VLOOKUP(A172,#REF!,3,FALSE)</f>
        <v>Emerging</v>
      </c>
      <c r="D172">
        <v>38.157299999999999</v>
      </c>
      <c r="E172">
        <v>11111114</v>
      </c>
      <c r="F172" t="s">
        <v>1249</v>
      </c>
      <c r="G172" t="s">
        <v>1249</v>
      </c>
      <c r="I172" s="1">
        <v>282.38</v>
      </c>
      <c r="J172" s="1">
        <v>10774.858373999999</v>
      </c>
      <c r="K172" t="s">
        <v>26</v>
      </c>
      <c r="M172" t="s">
        <v>22</v>
      </c>
      <c r="O172" s="3">
        <v>2.0000000000000001E-4</v>
      </c>
      <c r="P172" t="s">
        <v>1285</v>
      </c>
    </row>
    <row r="173" spans="1:16">
      <c r="A173" t="s">
        <v>1154</v>
      </c>
      <c r="B173" t="s">
        <v>1155</v>
      </c>
      <c r="C173" t="str">
        <f>VLOOKUP(A173,#REF!,3,FALSE)</f>
        <v>Emerging</v>
      </c>
      <c r="D173">
        <v>57</v>
      </c>
      <c r="E173">
        <v>11111114</v>
      </c>
      <c r="F173" t="s">
        <v>1249</v>
      </c>
      <c r="G173" t="s">
        <v>1249</v>
      </c>
      <c r="I173" s="1">
        <v>94.265000000000001</v>
      </c>
      <c r="J173" s="1">
        <v>5373.1050000000005</v>
      </c>
      <c r="K173" t="s">
        <v>24</v>
      </c>
      <c r="M173" t="s">
        <v>22</v>
      </c>
      <c r="O173" s="3">
        <v>0</v>
      </c>
      <c r="P173" t="s">
        <v>1286</v>
      </c>
    </row>
    <row r="174" spans="1:16">
      <c r="A174" t="s">
        <v>1157</v>
      </c>
      <c r="B174" t="s">
        <v>1158</v>
      </c>
      <c r="C174" t="str">
        <f>VLOOKUP(A174,#REF!,3,FALSE)</f>
        <v>Intl</v>
      </c>
      <c r="D174">
        <v>17.159199999999998</v>
      </c>
      <c r="E174">
        <v>11111114</v>
      </c>
      <c r="F174" t="s">
        <v>1249</v>
      </c>
      <c r="G174" t="s">
        <v>1249</v>
      </c>
      <c r="I174" s="1">
        <v>126.29</v>
      </c>
      <c r="J174" s="1">
        <v>2167.0353679999998</v>
      </c>
      <c r="K174" t="s">
        <v>26</v>
      </c>
      <c r="M174" t="s">
        <v>22</v>
      </c>
      <c r="O174" s="3">
        <v>0</v>
      </c>
      <c r="P174" t="s">
        <v>1287</v>
      </c>
    </row>
    <row r="175" spans="1:16">
      <c r="A175" t="s">
        <v>1160</v>
      </c>
      <c r="B175" t="s">
        <v>1161</v>
      </c>
      <c r="C175" t="str">
        <f>VLOOKUP(A175,#REF!,3,FALSE)</f>
        <v>Intl</v>
      </c>
      <c r="D175">
        <v>592.15959999999995</v>
      </c>
      <c r="E175">
        <v>11111114</v>
      </c>
      <c r="F175" t="s">
        <v>1249</v>
      </c>
      <c r="G175" t="s">
        <v>1249</v>
      </c>
      <c r="I175" s="1">
        <v>44.564999999999998</v>
      </c>
      <c r="J175" s="1">
        <v>26389.592573999998</v>
      </c>
      <c r="K175" t="s">
        <v>26</v>
      </c>
      <c r="M175" t="s">
        <v>22</v>
      </c>
      <c r="O175" s="3">
        <v>5.9999999999999995E-4</v>
      </c>
      <c r="P175" t="s">
        <v>1288</v>
      </c>
    </row>
    <row r="176" spans="1:16">
      <c r="A176" t="s">
        <v>1163</v>
      </c>
      <c r="B176" t="s">
        <v>1164</v>
      </c>
      <c r="C176" t="str">
        <f>VLOOKUP(A176,#REF!,3,FALSE)</f>
        <v>Intl</v>
      </c>
      <c r="D176" s="2">
        <v>10000</v>
      </c>
      <c r="E176">
        <v>11111114</v>
      </c>
      <c r="F176" t="s">
        <v>1249</v>
      </c>
      <c r="G176" t="s">
        <v>1249</v>
      </c>
      <c r="I176" s="1">
        <v>395.25</v>
      </c>
      <c r="J176" s="1">
        <v>3952500</v>
      </c>
      <c r="M176" t="s">
        <v>22</v>
      </c>
      <c r="O176" s="3">
        <v>0</v>
      </c>
      <c r="P176" t="s">
        <v>23</v>
      </c>
    </row>
    <row r="177" spans="1:16">
      <c r="A177" t="s">
        <v>80</v>
      </c>
      <c r="B177" t="s">
        <v>1166</v>
      </c>
      <c r="C177" t="str">
        <f>VLOOKUP(A177,#REF!,3,FALSE)</f>
        <v>Intl</v>
      </c>
      <c r="D177" s="2">
        <v>4000</v>
      </c>
      <c r="E177">
        <v>11111114</v>
      </c>
      <c r="F177" t="s">
        <v>1249</v>
      </c>
      <c r="G177" t="s">
        <v>1249</v>
      </c>
      <c r="I177" s="1">
        <v>50.354999999999997</v>
      </c>
      <c r="J177" s="1">
        <v>201420</v>
      </c>
      <c r="M177" t="s">
        <v>22</v>
      </c>
      <c r="O177" s="3">
        <v>0</v>
      </c>
      <c r="P177" t="s">
        <v>23</v>
      </c>
    </row>
    <row r="178" spans="1:16">
      <c r="A178" t="s">
        <v>156</v>
      </c>
      <c r="B178" t="s">
        <v>1168</v>
      </c>
      <c r="C178" t="str">
        <f>VLOOKUP(A178,#REF!,3,FALSE)</f>
        <v>MMF</v>
      </c>
      <c r="D178" s="2">
        <v>9000</v>
      </c>
      <c r="E178">
        <v>11111114</v>
      </c>
      <c r="F178" t="s">
        <v>1249</v>
      </c>
      <c r="G178" t="s">
        <v>1249</v>
      </c>
      <c r="I178" s="1">
        <v>1</v>
      </c>
      <c r="J178" s="1">
        <v>9000</v>
      </c>
      <c r="M178" t="s">
        <v>22</v>
      </c>
      <c r="O178" s="3">
        <v>0</v>
      </c>
      <c r="P178" t="s">
        <v>23</v>
      </c>
    </row>
    <row r="179" spans="1:16">
      <c r="A179" t="s">
        <v>1170</v>
      </c>
      <c r="B179" t="s">
        <v>1171</v>
      </c>
      <c r="C179" t="str">
        <f>VLOOKUP(A179,#REF!,3,FALSE)</f>
        <v>Bond</v>
      </c>
      <c r="D179" s="2">
        <v>14000</v>
      </c>
      <c r="E179">
        <v>11111114</v>
      </c>
      <c r="F179" t="s">
        <v>1249</v>
      </c>
      <c r="G179" t="s">
        <v>1249</v>
      </c>
      <c r="I179" s="1">
        <v>80.459999999999994</v>
      </c>
      <c r="J179" s="1">
        <v>1126440</v>
      </c>
      <c r="M179" t="s">
        <v>22</v>
      </c>
      <c r="O179" s="3">
        <v>0</v>
      </c>
      <c r="P179" t="s">
        <v>23</v>
      </c>
    </row>
    <row r="180" spans="1:16">
      <c r="A180" t="s">
        <v>1173</v>
      </c>
      <c r="B180" t="s">
        <v>1174</v>
      </c>
      <c r="C180" t="str">
        <f>VLOOKUP(A180,#REF!,3,FALSE)</f>
        <v>Bond</v>
      </c>
      <c r="D180" s="2">
        <v>2000</v>
      </c>
      <c r="E180">
        <v>11111114</v>
      </c>
      <c r="F180" t="s">
        <v>1249</v>
      </c>
      <c r="G180" t="s">
        <v>1249</v>
      </c>
      <c r="I180" s="1">
        <v>28.41</v>
      </c>
      <c r="J180" s="1">
        <v>56820</v>
      </c>
      <c r="M180" t="s">
        <v>22</v>
      </c>
      <c r="O180" s="3">
        <v>0</v>
      </c>
      <c r="P180" t="s">
        <v>23</v>
      </c>
    </row>
    <row r="181" spans="1:16">
      <c r="A181" t="s">
        <v>1175</v>
      </c>
      <c r="B181" t="s">
        <v>1176</v>
      </c>
      <c r="C181" t="str">
        <f>VLOOKUP(A181,#REF!,3,FALSE)</f>
        <v>Bond</v>
      </c>
      <c r="D181" s="2">
        <v>28000</v>
      </c>
      <c r="E181">
        <v>11111114</v>
      </c>
      <c r="F181" t="s">
        <v>1249</v>
      </c>
      <c r="G181" t="s">
        <v>1249</v>
      </c>
      <c r="I181" s="1">
        <v>96.935000000000002</v>
      </c>
      <c r="J181" s="1">
        <v>2714180</v>
      </c>
      <c r="M181" t="s">
        <v>22</v>
      </c>
      <c r="O181" s="3">
        <v>0</v>
      </c>
      <c r="P181" t="s">
        <v>23</v>
      </c>
    </row>
    <row r="182" spans="1:16">
      <c r="A182" t="s">
        <v>1177</v>
      </c>
      <c r="B182" t="s">
        <v>1178</v>
      </c>
      <c r="C182" t="str">
        <f>VLOOKUP(A182,#REF!,3,FALSE)</f>
        <v>Bond</v>
      </c>
      <c r="D182" s="2">
        <v>2000</v>
      </c>
      <c r="E182">
        <v>11111114</v>
      </c>
      <c r="F182" t="s">
        <v>1249</v>
      </c>
      <c r="G182" t="s">
        <v>1249</v>
      </c>
      <c r="I182" s="1">
        <v>98.955600000000004</v>
      </c>
      <c r="J182" s="1">
        <v>197911.2</v>
      </c>
      <c r="M182" t="s">
        <v>22</v>
      </c>
      <c r="O182" s="3">
        <v>0</v>
      </c>
      <c r="P182" t="s">
        <v>23</v>
      </c>
    </row>
    <row r="183" spans="1:16">
      <c r="A183" t="s">
        <v>82</v>
      </c>
      <c r="B183" t="s">
        <v>83</v>
      </c>
      <c r="C183" t="str">
        <f>VLOOKUP(A183,#REF!,3,FALSE)</f>
        <v>US ETF</v>
      </c>
      <c r="D183" s="2">
        <v>7000</v>
      </c>
      <c r="E183">
        <v>11111114</v>
      </c>
      <c r="F183" t="s">
        <v>1249</v>
      </c>
      <c r="G183" t="s">
        <v>1249</v>
      </c>
      <c r="I183" s="1">
        <v>28.4</v>
      </c>
      <c r="J183" s="1">
        <v>198800</v>
      </c>
      <c r="M183" t="s">
        <v>22</v>
      </c>
      <c r="O183" s="3">
        <v>0</v>
      </c>
      <c r="P183" t="s">
        <v>23</v>
      </c>
    </row>
    <row r="184" spans="1:16">
      <c r="A184" t="s">
        <v>1179</v>
      </c>
      <c r="B184" t="s">
        <v>1180</v>
      </c>
      <c r="C184" t="str">
        <f>VLOOKUP(A184,#REF!,3,FALSE)</f>
        <v>REIT</v>
      </c>
      <c r="D184" s="2">
        <v>5000</v>
      </c>
      <c r="E184">
        <v>11111114</v>
      </c>
      <c r="F184" t="s">
        <v>1249</v>
      </c>
      <c r="G184" t="s">
        <v>1249</v>
      </c>
      <c r="I184" s="1">
        <v>4.84</v>
      </c>
      <c r="J184" s="1">
        <v>24200</v>
      </c>
      <c r="M184" t="s">
        <v>22</v>
      </c>
      <c r="O184" s="3">
        <v>0</v>
      </c>
      <c r="P184" t="s">
        <v>23</v>
      </c>
    </row>
    <row r="185" spans="1:16">
      <c r="A185" t="s">
        <v>85</v>
      </c>
      <c r="B185" t="s">
        <v>1181</v>
      </c>
      <c r="C185" t="str">
        <f>VLOOKUP(A185,#REF!,3,FALSE)</f>
        <v>US MF</v>
      </c>
      <c r="D185" s="2">
        <v>4000</v>
      </c>
      <c r="E185">
        <v>11111114</v>
      </c>
      <c r="F185" t="s">
        <v>1249</v>
      </c>
      <c r="G185" t="s">
        <v>1249</v>
      </c>
      <c r="I185" s="1">
        <v>1</v>
      </c>
      <c r="J185" s="1">
        <v>4000</v>
      </c>
      <c r="M185" t="s">
        <v>22</v>
      </c>
      <c r="O185" s="3">
        <v>0</v>
      </c>
      <c r="P185" t="s">
        <v>23</v>
      </c>
    </row>
    <row r="186" spans="1:16">
      <c r="A186" t="s">
        <v>183</v>
      </c>
      <c r="B186" t="s">
        <v>207</v>
      </c>
      <c r="C186" t="str">
        <f>VLOOKUP(A186,#REF!,3,FALSE)</f>
        <v>US Equity</v>
      </c>
      <c r="D186">
        <v>46.378500000000003</v>
      </c>
      <c r="E186">
        <v>11111115</v>
      </c>
      <c r="F186" t="s">
        <v>1289</v>
      </c>
      <c r="G186" t="s">
        <v>1289</v>
      </c>
      <c r="I186" s="1">
        <v>273.65499999999997</v>
      </c>
      <c r="J186" s="1">
        <v>12691.7084175</v>
      </c>
      <c r="K186" t="s">
        <v>26</v>
      </c>
      <c r="M186" t="s">
        <v>22</v>
      </c>
      <c r="O186" s="3">
        <v>1E-4</v>
      </c>
      <c r="P186" t="s">
        <v>1290</v>
      </c>
    </row>
    <row r="187" spans="1:16">
      <c r="A187" t="s">
        <v>29</v>
      </c>
      <c r="B187" t="s">
        <v>208</v>
      </c>
      <c r="C187" t="str">
        <f>VLOOKUP(A187,#REF!,3,FALSE)</f>
        <v>US Equity</v>
      </c>
      <c r="D187">
        <v>49</v>
      </c>
      <c r="E187">
        <v>11111115</v>
      </c>
      <c r="F187" t="s">
        <v>1289</v>
      </c>
      <c r="G187" t="s">
        <v>1289</v>
      </c>
      <c r="I187" s="1">
        <v>67.87</v>
      </c>
      <c r="J187" s="1">
        <v>3325.63</v>
      </c>
      <c r="K187" t="s">
        <v>26</v>
      </c>
      <c r="M187" t="s">
        <v>22</v>
      </c>
      <c r="O187" s="3">
        <v>1E-4</v>
      </c>
      <c r="P187" t="s">
        <v>1291</v>
      </c>
    </row>
    <row r="188" spans="1:16">
      <c r="A188" t="s">
        <v>184</v>
      </c>
      <c r="B188" t="s">
        <v>209</v>
      </c>
      <c r="C188" t="str">
        <f>VLOOKUP(A188,#REF!,3,FALSE)</f>
        <v>US Equity</v>
      </c>
      <c r="D188">
        <v>21.519100000000002</v>
      </c>
      <c r="E188">
        <v>11111115</v>
      </c>
      <c r="F188" t="s">
        <v>1289</v>
      </c>
      <c r="G188" t="s">
        <v>1289</v>
      </c>
      <c r="I188" s="1">
        <v>32.72</v>
      </c>
      <c r="J188" s="1">
        <v>704.10495200000003</v>
      </c>
      <c r="K188" t="s">
        <v>26</v>
      </c>
      <c r="M188" t="s">
        <v>22</v>
      </c>
      <c r="O188" s="3">
        <v>0</v>
      </c>
      <c r="P188" t="s">
        <v>1292</v>
      </c>
    </row>
    <row r="189" spans="1:16">
      <c r="A189" t="s">
        <v>185</v>
      </c>
      <c r="B189" t="s">
        <v>210</v>
      </c>
      <c r="C189" t="str">
        <f>VLOOKUP(A189,#REF!,3,FALSE)</f>
        <v>US Equity</v>
      </c>
      <c r="D189">
        <v>28</v>
      </c>
      <c r="E189">
        <v>11111115</v>
      </c>
      <c r="F189" t="s">
        <v>1289</v>
      </c>
      <c r="G189" t="s">
        <v>1289</v>
      </c>
      <c r="I189" s="1">
        <v>29.2</v>
      </c>
      <c r="J189" s="1">
        <v>817.6</v>
      </c>
      <c r="K189" t="s">
        <v>24</v>
      </c>
      <c r="M189" t="s">
        <v>22</v>
      </c>
      <c r="O189" s="3">
        <v>0</v>
      </c>
      <c r="P189" t="s">
        <v>1293</v>
      </c>
    </row>
    <row r="190" spans="1:16">
      <c r="A190" t="s">
        <v>186</v>
      </c>
      <c r="B190" t="s">
        <v>211</v>
      </c>
      <c r="C190" t="str">
        <f>VLOOKUP(A190,#REF!,3,FALSE)</f>
        <v>US Equity</v>
      </c>
      <c r="D190">
        <v>2.0788000000000002</v>
      </c>
      <c r="E190">
        <v>11111115</v>
      </c>
      <c r="F190" t="s">
        <v>1289</v>
      </c>
      <c r="G190" t="s">
        <v>1289</v>
      </c>
      <c r="I190" s="1">
        <v>147.56</v>
      </c>
      <c r="J190" s="1">
        <v>306.74772800000005</v>
      </c>
      <c r="K190" t="s">
        <v>26</v>
      </c>
      <c r="M190" t="s">
        <v>22</v>
      </c>
      <c r="O190" s="3">
        <v>0</v>
      </c>
      <c r="P190" t="s">
        <v>1294</v>
      </c>
    </row>
    <row r="191" spans="1:16">
      <c r="A191" t="s">
        <v>187</v>
      </c>
      <c r="B191" t="s">
        <v>212</v>
      </c>
      <c r="C191" t="str">
        <f>VLOOKUP(A191,#REF!,3,FALSE)</f>
        <v>US Equity</v>
      </c>
      <c r="D191">
        <v>3.2623000000000002</v>
      </c>
      <c r="E191">
        <v>11111115</v>
      </c>
      <c r="F191" t="s">
        <v>1289</v>
      </c>
      <c r="G191" t="s">
        <v>1289</v>
      </c>
      <c r="I191" s="1">
        <v>32.414999999999999</v>
      </c>
      <c r="J191" s="1">
        <v>105.7474545</v>
      </c>
      <c r="K191" t="s">
        <v>26</v>
      </c>
      <c r="M191" t="s">
        <v>22</v>
      </c>
      <c r="O191" s="3">
        <v>0</v>
      </c>
      <c r="P191" t="s">
        <v>1295</v>
      </c>
    </row>
    <row r="192" spans="1:16">
      <c r="A192" t="s">
        <v>188</v>
      </c>
      <c r="B192" t="s">
        <v>213</v>
      </c>
      <c r="C192" t="str">
        <f>VLOOKUP(A192,#REF!,3,FALSE)</f>
        <v>US Equity</v>
      </c>
      <c r="D192">
        <v>8</v>
      </c>
      <c r="E192">
        <v>11111115</v>
      </c>
      <c r="F192" t="s">
        <v>1289</v>
      </c>
      <c r="G192" t="s">
        <v>1289</v>
      </c>
      <c r="I192" s="1">
        <v>97.79</v>
      </c>
      <c r="J192" s="1">
        <v>782.32</v>
      </c>
      <c r="K192" t="s">
        <v>24</v>
      </c>
      <c r="M192" t="s">
        <v>22</v>
      </c>
      <c r="O192" s="3">
        <v>0</v>
      </c>
      <c r="P192" t="s">
        <v>1296</v>
      </c>
    </row>
    <row r="193" spans="1:16">
      <c r="A193" t="s">
        <v>151</v>
      </c>
      <c r="B193" t="s">
        <v>214</v>
      </c>
      <c r="C193" t="str">
        <f>VLOOKUP(A193,#REF!,3,FALSE)</f>
        <v>US Equity</v>
      </c>
      <c r="D193">
        <v>22.7271</v>
      </c>
      <c r="E193">
        <v>11111115</v>
      </c>
      <c r="F193" t="s">
        <v>1289</v>
      </c>
      <c r="G193" t="s">
        <v>1289</v>
      </c>
      <c r="I193" s="1">
        <v>44.49</v>
      </c>
      <c r="J193" s="1">
        <v>1011.128679</v>
      </c>
      <c r="K193" t="s">
        <v>26</v>
      </c>
      <c r="M193" t="s">
        <v>22</v>
      </c>
      <c r="O193" s="3">
        <v>0</v>
      </c>
      <c r="P193" t="s">
        <v>1297</v>
      </c>
    </row>
    <row r="194" spans="1:16">
      <c r="A194" t="s">
        <v>189</v>
      </c>
      <c r="B194" t="s">
        <v>215</v>
      </c>
      <c r="C194" t="str">
        <f>VLOOKUP(A194,#REF!,3,FALSE)</f>
        <v>US Equity</v>
      </c>
      <c r="D194">
        <v>131.67590000000001</v>
      </c>
      <c r="E194">
        <v>11111115</v>
      </c>
      <c r="F194" t="s">
        <v>1289</v>
      </c>
      <c r="G194" t="s">
        <v>1289</v>
      </c>
      <c r="I194" s="1">
        <v>495.39</v>
      </c>
      <c r="J194" s="1">
        <v>65230.924101000004</v>
      </c>
      <c r="K194" t="s">
        <v>26</v>
      </c>
      <c r="M194" t="s">
        <v>22</v>
      </c>
      <c r="O194" s="3">
        <v>1E-4</v>
      </c>
      <c r="P194" t="s">
        <v>1298</v>
      </c>
    </row>
    <row r="195" spans="1:16">
      <c r="A195" t="s">
        <v>32</v>
      </c>
      <c r="B195" t="s">
        <v>216</v>
      </c>
      <c r="C195" t="str">
        <f>VLOOKUP(A195,#REF!,3,FALSE)</f>
        <v>US Equity</v>
      </c>
      <c r="D195">
        <v>347.53719999999998</v>
      </c>
      <c r="E195">
        <v>11111115</v>
      </c>
      <c r="F195" t="s">
        <v>1289</v>
      </c>
      <c r="G195" t="s">
        <v>1289</v>
      </c>
      <c r="I195" s="1">
        <v>51.395000000000003</v>
      </c>
      <c r="J195" s="1">
        <v>17861.674394000001</v>
      </c>
      <c r="K195" t="s">
        <v>26</v>
      </c>
      <c r="M195" t="s">
        <v>22</v>
      </c>
      <c r="O195" s="3">
        <v>1E-4</v>
      </c>
      <c r="P195" t="s">
        <v>1299</v>
      </c>
    </row>
    <row r="196" spans="1:16">
      <c r="A196" t="s">
        <v>190</v>
      </c>
      <c r="B196" t="s">
        <v>217</v>
      </c>
      <c r="C196" t="str">
        <f>VLOOKUP(A196,#REF!,3,FALSE)</f>
        <v>US Equity</v>
      </c>
      <c r="D196">
        <v>13.573499999999999</v>
      </c>
      <c r="E196">
        <v>11111115</v>
      </c>
      <c r="F196" t="s">
        <v>1289</v>
      </c>
      <c r="G196" t="s">
        <v>1289</v>
      </c>
      <c r="I196" s="1">
        <v>223.166</v>
      </c>
      <c r="J196" s="1">
        <v>3029.143701</v>
      </c>
      <c r="K196" t="s">
        <v>26</v>
      </c>
      <c r="M196" t="s">
        <v>22</v>
      </c>
      <c r="O196" s="3">
        <v>0</v>
      </c>
      <c r="P196" t="s">
        <v>1300</v>
      </c>
    </row>
    <row r="197" spans="1:16">
      <c r="A197" t="s">
        <v>191</v>
      </c>
      <c r="B197" t="s">
        <v>218</v>
      </c>
      <c r="C197" t="str">
        <f>VLOOKUP(A197,#REF!,3,FALSE)</f>
        <v>US Equity</v>
      </c>
      <c r="D197">
        <v>235.96629999999999</v>
      </c>
      <c r="E197">
        <v>11111115</v>
      </c>
      <c r="F197" t="s">
        <v>1289</v>
      </c>
      <c r="G197" t="s">
        <v>1289</v>
      </c>
      <c r="I197" s="1">
        <v>184.70500000000001</v>
      </c>
      <c r="J197" s="1">
        <v>43584.155441499999</v>
      </c>
      <c r="K197" t="s">
        <v>26</v>
      </c>
      <c r="M197" t="s">
        <v>22</v>
      </c>
      <c r="O197" s="3">
        <v>1E-4</v>
      </c>
      <c r="P197" t="s">
        <v>1301</v>
      </c>
    </row>
    <row r="198" spans="1:16">
      <c r="A198" t="s">
        <v>192</v>
      </c>
      <c r="B198" t="s">
        <v>219</v>
      </c>
      <c r="C198" t="str">
        <f>VLOOKUP(A198,#REF!,3,FALSE)</f>
        <v>US Equity</v>
      </c>
      <c r="D198">
        <v>37</v>
      </c>
      <c r="E198">
        <v>11111115</v>
      </c>
      <c r="F198" t="s">
        <v>1289</v>
      </c>
      <c r="G198" t="s">
        <v>1289</v>
      </c>
      <c r="I198" s="1">
        <v>55</v>
      </c>
      <c r="J198" s="1">
        <v>2035</v>
      </c>
      <c r="K198" t="s">
        <v>26</v>
      </c>
      <c r="M198" t="s">
        <v>22</v>
      </c>
      <c r="O198" s="3">
        <v>0</v>
      </c>
      <c r="P198" t="s">
        <v>1302</v>
      </c>
    </row>
    <row r="199" spans="1:16">
      <c r="A199" t="s">
        <v>193</v>
      </c>
      <c r="B199" t="s">
        <v>220</v>
      </c>
      <c r="C199" t="str">
        <f>VLOOKUP(A199,#REF!,3,FALSE)</f>
        <v>US Equity</v>
      </c>
      <c r="D199">
        <v>31</v>
      </c>
      <c r="E199">
        <v>11111115</v>
      </c>
      <c r="F199" t="s">
        <v>1289</v>
      </c>
      <c r="G199" t="s">
        <v>1289</v>
      </c>
      <c r="I199" s="1">
        <v>134.89500000000001</v>
      </c>
      <c r="J199" s="1">
        <v>4181.7449999999999</v>
      </c>
      <c r="K199" t="s">
        <v>24</v>
      </c>
      <c r="M199" t="s">
        <v>22</v>
      </c>
      <c r="O199" s="3">
        <v>0</v>
      </c>
      <c r="P199" t="s">
        <v>1303</v>
      </c>
    </row>
    <row r="200" spans="1:16">
      <c r="A200" t="s">
        <v>54</v>
      </c>
      <c r="B200" t="s">
        <v>221</v>
      </c>
      <c r="C200" t="str">
        <f>VLOOKUP(A200,#REF!,3,FALSE)</f>
        <v>US Equity</v>
      </c>
      <c r="D200">
        <v>3</v>
      </c>
      <c r="E200">
        <v>11111115</v>
      </c>
      <c r="F200" t="s">
        <v>1289</v>
      </c>
      <c r="G200" t="s">
        <v>1289</v>
      </c>
      <c r="I200" s="1">
        <v>327.96</v>
      </c>
      <c r="J200" s="1">
        <v>983.87999999999988</v>
      </c>
      <c r="K200" t="s">
        <v>24</v>
      </c>
      <c r="M200" t="s">
        <v>22</v>
      </c>
      <c r="O200" s="3">
        <v>0</v>
      </c>
      <c r="P200" t="s">
        <v>1304</v>
      </c>
    </row>
    <row r="201" spans="1:16">
      <c r="A201" t="s">
        <v>53</v>
      </c>
      <c r="B201" t="s">
        <v>222</v>
      </c>
      <c r="C201" t="str">
        <f>VLOOKUP(A201,#REF!,3,FALSE)</f>
        <v>US Equity</v>
      </c>
      <c r="D201">
        <v>132.78819999999999</v>
      </c>
      <c r="E201">
        <v>11111115</v>
      </c>
      <c r="F201" t="s">
        <v>1289</v>
      </c>
      <c r="G201" t="s">
        <v>1289</v>
      </c>
      <c r="I201" s="1">
        <v>442.5</v>
      </c>
      <c r="J201" s="1">
        <v>58758.778499999993</v>
      </c>
      <c r="K201" t="s">
        <v>26</v>
      </c>
      <c r="M201" t="s">
        <v>22</v>
      </c>
      <c r="O201" s="3">
        <v>1E-4</v>
      </c>
      <c r="P201" t="s">
        <v>1305</v>
      </c>
    </row>
    <row r="202" spans="1:16">
      <c r="A202" t="s">
        <v>155</v>
      </c>
      <c r="B202" t="s">
        <v>223</v>
      </c>
      <c r="C202" t="str">
        <f>VLOOKUP(A202,#REF!,3,FALSE)</f>
        <v>US Equity</v>
      </c>
      <c r="D202">
        <v>10</v>
      </c>
      <c r="E202">
        <v>11111115</v>
      </c>
      <c r="F202" t="s">
        <v>1289</v>
      </c>
      <c r="G202" t="s">
        <v>1289</v>
      </c>
      <c r="I202" s="1">
        <v>125.45</v>
      </c>
      <c r="J202" s="1">
        <v>1254.5</v>
      </c>
      <c r="K202" t="s">
        <v>26</v>
      </c>
      <c r="M202" t="s">
        <v>22</v>
      </c>
      <c r="O202" s="3">
        <v>0</v>
      </c>
      <c r="P202" t="s">
        <v>1306</v>
      </c>
    </row>
    <row r="203" spans="1:16">
      <c r="A203" t="s">
        <v>31</v>
      </c>
      <c r="B203" t="s">
        <v>224</v>
      </c>
      <c r="C203" t="str">
        <f>VLOOKUP(A203,#REF!,3,FALSE)</f>
        <v>US Equity</v>
      </c>
      <c r="D203">
        <v>9.0891000000000002</v>
      </c>
      <c r="E203">
        <v>11111115</v>
      </c>
      <c r="F203" t="s">
        <v>1289</v>
      </c>
      <c r="G203" t="s">
        <v>1289</v>
      </c>
      <c r="I203" s="1">
        <v>240.23</v>
      </c>
      <c r="J203" s="1">
        <v>2183.4744930000002</v>
      </c>
      <c r="K203" t="s">
        <v>26</v>
      </c>
      <c r="M203" t="s">
        <v>22</v>
      </c>
      <c r="O203" s="3">
        <v>0</v>
      </c>
      <c r="P203" t="s">
        <v>1307</v>
      </c>
    </row>
    <row r="204" spans="1:16">
      <c r="A204" t="s">
        <v>194</v>
      </c>
      <c r="B204" t="s">
        <v>225</v>
      </c>
      <c r="C204" t="str">
        <f>VLOOKUP(A204,#REF!,3,FALSE)</f>
        <v>US Equity</v>
      </c>
      <c r="D204">
        <v>14.1104</v>
      </c>
      <c r="E204">
        <v>11111115</v>
      </c>
      <c r="F204" t="s">
        <v>1289</v>
      </c>
      <c r="G204" t="s">
        <v>1289</v>
      </c>
      <c r="I204" s="1">
        <v>27.05</v>
      </c>
      <c r="J204" s="1">
        <v>381.68632000000002</v>
      </c>
      <c r="K204" t="s">
        <v>26</v>
      </c>
      <c r="M204" t="s">
        <v>22</v>
      </c>
      <c r="O204" s="3">
        <v>0</v>
      </c>
      <c r="P204" t="s">
        <v>1308</v>
      </c>
    </row>
    <row r="205" spans="1:16">
      <c r="A205" t="s">
        <v>195</v>
      </c>
      <c r="B205" t="s">
        <v>226</v>
      </c>
      <c r="C205" t="str">
        <f>VLOOKUP(A205,#REF!,3,FALSE)</f>
        <v>US Equity</v>
      </c>
      <c r="D205">
        <v>6</v>
      </c>
      <c r="E205">
        <v>11111115</v>
      </c>
      <c r="F205" t="s">
        <v>1289</v>
      </c>
      <c r="G205" t="s">
        <v>1289</v>
      </c>
      <c r="I205" s="1">
        <v>126.08499999999999</v>
      </c>
      <c r="J205" s="1">
        <v>756.51</v>
      </c>
      <c r="K205" t="s">
        <v>24</v>
      </c>
      <c r="M205" t="s">
        <v>22</v>
      </c>
      <c r="O205" s="3">
        <v>0</v>
      </c>
      <c r="P205" t="s">
        <v>1309</v>
      </c>
    </row>
    <row r="206" spans="1:16">
      <c r="A206" t="s">
        <v>196</v>
      </c>
      <c r="B206" t="s">
        <v>227</v>
      </c>
      <c r="C206" t="str">
        <f>VLOOKUP(A206,#REF!,3,FALSE)</f>
        <v>US Equity</v>
      </c>
      <c r="D206">
        <v>2.0261999999999998</v>
      </c>
      <c r="E206">
        <v>11111115</v>
      </c>
      <c r="F206" t="s">
        <v>1289</v>
      </c>
      <c r="G206" t="s">
        <v>1289</v>
      </c>
      <c r="I206" s="1">
        <v>145.91</v>
      </c>
      <c r="J206" s="1">
        <v>295.64284199999997</v>
      </c>
      <c r="K206" t="s">
        <v>26</v>
      </c>
      <c r="M206" t="s">
        <v>22</v>
      </c>
      <c r="O206" s="3">
        <v>0</v>
      </c>
      <c r="P206" t="s">
        <v>1201</v>
      </c>
    </row>
    <row r="207" spans="1:16">
      <c r="A207" t="s">
        <v>197</v>
      </c>
      <c r="B207" t="s">
        <v>228</v>
      </c>
      <c r="C207" t="str">
        <f>VLOOKUP(A207,#REF!,3,FALSE)</f>
        <v>US Equity</v>
      </c>
      <c r="D207">
        <v>17.3582</v>
      </c>
      <c r="E207">
        <v>11111115</v>
      </c>
      <c r="F207" t="s">
        <v>1289</v>
      </c>
      <c r="G207" t="s">
        <v>1289</v>
      </c>
      <c r="I207" s="1">
        <v>20.335000000000001</v>
      </c>
      <c r="J207" s="1">
        <v>352.97899699999999</v>
      </c>
      <c r="K207" t="s">
        <v>26</v>
      </c>
      <c r="M207" t="s">
        <v>22</v>
      </c>
      <c r="O207" s="3">
        <v>0</v>
      </c>
      <c r="P207" t="s">
        <v>1310</v>
      </c>
    </row>
    <row r="208" spans="1:16">
      <c r="A208" t="s">
        <v>34</v>
      </c>
      <c r="B208" t="s">
        <v>229</v>
      </c>
      <c r="C208" t="str">
        <f>VLOOKUP(A208,#REF!,3,FALSE)</f>
        <v>US Equity</v>
      </c>
      <c r="D208">
        <v>20.8201</v>
      </c>
      <c r="E208">
        <v>11111115</v>
      </c>
      <c r="F208" t="s">
        <v>1289</v>
      </c>
      <c r="G208" t="s">
        <v>1289</v>
      </c>
      <c r="I208" s="1">
        <v>40.42</v>
      </c>
      <c r="J208" s="1">
        <v>841.54844200000002</v>
      </c>
      <c r="K208" t="s">
        <v>26</v>
      </c>
      <c r="M208" t="s">
        <v>22</v>
      </c>
      <c r="O208" s="3">
        <v>1E-4</v>
      </c>
      <c r="P208" t="s">
        <v>1311</v>
      </c>
    </row>
    <row r="209" spans="1:16">
      <c r="A209" t="s">
        <v>198</v>
      </c>
      <c r="B209" t="s">
        <v>230</v>
      </c>
      <c r="C209" t="str">
        <f>VLOOKUP(A209,#REF!,3,FALSE)</f>
        <v>US Equity</v>
      </c>
      <c r="D209">
        <v>52</v>
      </c>
      <c r="E209">
        <v>11111115</v>
      </c>
      <c r="F209" t="s">
        <v>1289</v>
      </c>
      <c r="G209" t="s">
        <v>1289</v>
      </c>
      <c r="I209" s="1">
        <v>12.414999999999999</v>
      </c>
      <c r="J209" s="1">
        <v>645.57999999999993</v>
      </c>
      <c r="K209" t="s">
        <v>24</v>
      </c>
      <c r="M209" t="s">
        <v>22</v>
      </c>
      <c r="O209" s="3">
        <v>0</v>
      </c>
      <c r="P209" t="s">
        <v>1312</v>
      </c>
    </row>
    <row r="210" spans="1:16">
      <c r="A210" t="s">
        <v>199</v>
      </c>
      <c r="B210" t="s">
        <v>231</v>
      </c>
      <c r="C210" t="str">
        <f>VLOOKUP(A210,#REF!,3,FALSE)</f>
        <v>US Equity</v>
      </c>
      <c r="D210">
        <v>14.089499999999999</v>
      </c>
      <c r="E210">
        <v>11111115</v>
      </c>
      <c r="F210" t="s">
        <v>1289</v>
      </c>
      <c r="G210" t="s">
        <v>1289</v>
      </c>
      <c r="I210" s="1">
        <v>288.79000000000002</v>
      </c>
      <c r="J210" s="1">
        <v>4068.9067049999999</v>
      </c>
      <c r="K210" t="s">
        <v>26</v>
      </c>
      <c r="M210" t="s">
        <v>22</v>
      </c>
      <c r="O210" s="3">
        <v>0</v>
      </c>
      <c r="P210" t="s">
        <v>1313</v>
      </c>
    </row>
    <row r="211" spans="1:16">
      <c r="A211" t="s">
        <v>1148</v>
      </c>
      <c r="B211" t="s">
        <v>1149</v>
      </c>
      <c r="C211" t="str">
        <f>VLOOKUP(A211,#REF!,3,FALSE)</f>
        <v>Emerging</v>
      </c>
      <c r="D211">
        <v>15</v>
      </c>
      <c r="E211">
        <v>11111115</v>
      </c>
      <c r="F211" t="s">
        <v>1289</v>
      </c>
      <c r="G211" t="s">
        <v>1289</v>
      </c>
      <c r="I211" s="1">
        <v>78.644999999999996</v>
      </c>
      <c r="J211" s="1">
        <v>1179.675</v>
      </c>
      <c r="K211" t="s">
        <v>26</v>
      </c>
      <c r="M211" t="s">
        <v>22</v>
      </c>
      <c r="O211" s="3">
        <v>0</v>
      </c>
      <c r="P211" t="s">
        <v>1314</v>
      </c>
    </row>
    <row r="212" spans="1:16">
      <c r="A212" t="s">
        <v>1151</v>
      </c>
      <c r="B212" t="s">
        <v>1152</v>
      </c>
      <c r="C212" t="str">
        <f>VLOOKUP(A212,#REF!,3,FALSE)</f>
        <v>Emerging</v>
      </c>
      <c r="D212">
        <v>132.80410000000001</v>
      </c>
      <c r="E212">
        <v>11111115</v>
      </c>
      <c r="F212" t="s">
        <v>1289</v>
      </c>
      <c r="G212" t="s">
        <v>1289</v>
      </c>
      <c r="I212" s="1">
        <v>282.38</v>
      </c>
      <c r="J212" s="1">
        <v>37501.221758</v>
      </c>
      <c r="K212" t="s">
        <v>26</v>
      </c>
      <c r="M212" t="s">
        <v>22</v>
      </c>
      <c r="O212" s="3">
        <v>0</v>
      </c>
      <c r="P212" t="s">
        <v>1315</v>
      </c>
    </row>
    <row r="213" spans="1:16">
      <c r="A213" t="s">
        <v>1154</v>
      </c>
      <c r="B213" t="s">
        <v>1155</v>
      </c>
      <c r="C213" t="str">
        <f>VLOOKUP(A213,#REF!,3,FALSE)</f>
        <v>Emerging</v>
      </c>
      <c r="D213">
        <v>61.062600000000003</v>
      </c>
      <c r="E213">
        <v>11111115</v>
      </c>
      <c r="F213" t="s">
        <v>1289</v>
      </c>
      <c r="G213" t="s">
        <v>1289</v>
      </c>
      <c r="I213" s="1">
        <v>94.265000000000001</v>
      </c>
      <c r="J213" s="1">
        <v>5756.0659890000006</v>
      </c>
      <c r="K213" t="s">
        <v>26</v>
      </c>
      <c r="M213" t="s">
        <v>22</v>
      </c>
      <c r="O213" s="3">
        <v>0</v>
      </c>
      <c r="P213" t="s">
        <v>1316</v>
      </c>
    </row>
    <row r="214" spans="1:16">
      <c r="A214" t="s">
        <v>1157</v>
      </c>
      <c r="B214" t="s">
        <v>1158</v>
      </c>
      <c r="C214" t="str">
        <f>VLOOKUP(A214,#REF!,3,FALSE)</f>
        <v>Intl</v>
      </c>
      <c r="D214">
        <v>5</v>
      </c>
      <c r="E214">
        <v>11111115</v>
      </c>
      <c r="F214" t="s">
        <v>1289</v>
      </c>
      <c r="G214" t="s">
        <v>1289</v>
      </c>
      <c r="I214" s="1">
        <v>126.29</v>
      </c>
      <c r="J214" s="1">
        <v>631.45000000000005</v>
      </c>
      <c r="K214" t="s">
        <v>24</v>
      </c>
      <c r="M214" t="s">
        <v>22</v>
      </c>
      <c r="O214" s="3">
        <v>0</v>
      </c>
      <c r="P214" t="s">
        <v>1317</v>
      </c>
    </row>
    <row r="215" spans="1:16">
      <c r="A215" t="s">
        <v>1160</v>
      </c>
      <c r="B215" t="s">
        <v>1161</v>
      </c>
      <c r="C215" t="str">
        <f>VLOOKUP(A215,#REF!,3,FALSE)</f>
        <v>Intl</v>
      </c>
      <c r="D215">
        <v>16</v>
      </c>
      <c r="E215">
        <v>11111115</v>
      </c>
      <c r="F215" t="s">
        <v>1289</v>
      </c>
      <c r="G215" t="s">
        <v>1289</v>
      </c>
      <c r="I215" s="1">
        <v>44.564999999999998</v>
      </c>
      <c r="J215" s="1">
        <v>713.04</v>
      </c>
      <c r="K215" t="s">
        <v>26</v>
      </c>
      <c r="M215" t="s">
        <v>22</v>
      </c>
      <c r="O215" s="3">
        <v>0</v>
      </c>
      <c r="P215" t="s">
        <v>1318</v>
      </c>
    </row>
    <row r="216" spans="1:16">
      <c r="A216" t="s">
        <v>1163</v>
      </c>
      <c r="B216" t="s">
        <v>1164</v>
      </c>
      <c r="C216" t="str">
        <f>VLOOKUP(A216,#REF!,3,FALSE)</f>
        <v>Intl</v>
      </c>
      <c r="D216">
        <v>3.0129999999999999</v>
      </c>
      <c r="E216">
        <v>11111115</v>
      </c>
      <c r="F216" t="s">
        <v>1289</v>
      </c>
      <c r="G216" t="s">
        <v>1289</v>
      </c>
      <c r="I216" s="1">
        <v>395.25</v>
      </c>
      <c r="J216" s="1">
        <v>1190.88825</v>
      </c>
      <c r="K216" t="s">
        <v>26</v>
      </c>
      <c r="M216" t="s">
        <v>22</v>
      </c>
      <c r="O216" s="3">
        <v>0</v>
      </c>
      <c r="P216" t="s">
        <v>1319</v>
      </c>
    </row>
    <row r="217" spans="1:16">
      <c r="A217" t="s">
        <v>80</v>
      </c>
      <c r="B217" t="s">
        <v>1166</v>
      </c>
      <c r="C217" t="str">
        <f>VLOOKUP(A217,#REF!,3,FALSE)</f>
        <v>Intl</v>
      </c>
      <c r="D217">
        <v>20.2591</v>
      </c>
      <c r="E217">
        <v>11111115</v>
      </c>
      <c r="F217" t="s">
        <v>1289</v>
      </c>
      <c r="G217" t="s">
        <v>1289</v>
      </c>
      <c r="I217" s="1">
        <v>50.354999999999997</v>
      </c>
      <c r="J217" s="1">
        <v>1020.1469804999999</v>
      </c>
      <c r="K217" t="s">
        <v>26</v>
      </c>
      <c r="M217" t="s">
        <v>22</v>
      </c>
      <c r="O217" s="3">
        <v>0</v>
      </c>
      <c r="P217" t="s">
        <v>1320</v>
      </c>
    </row>
    <row r="218" spans="1:16">
      <c r="A218" t="s">
        <v>156</v>
      </c>
      <c r="B218" t="s">
        <v>1168</v>
      </c>
      <c r="C218" t="str">
        <f>VLOOKUP(A218,#REF!,3,FALSE)</f>
        <v>MMF</v>
      </c>
      <c r="D218">
        <v>18.0745</v>
      </c>
      <c r="E218">
        <v>11111115</v>
      </c>
      <c r="F218" t="s">
        <v>1289</v>
      </c>
      <c r="G218" t="s">
        <v>1289</v>
      </c>
      <c r="I218" s="1">
        <v>1</v>
      </c>
      <c r="J218" s="1">
        <v>18.0745</v>
      </c>
      <c r="K218" t="s">
        <v>26</v>
      </c>
      <c r="M218" t="s">
        <v>22</v>
      </c>
      <c r="O218" s="3">
        <v>1E-4</v>
      </c>
      <c r="P218" t="s">
        <v>1321</v>
      </c>
    </row>
    <row r="219" spans="1:16">
      <c r="A219" t="s">
        <v>1170</v>
      </c>
      <c r="B219" t="s">
        <v>1171</v>
      </c>
      <c r="C219" t="str">
        <f>VLOOKUP(A219,#REF!,3,FALSE)</f>
        <v>Bond</v>
      </c>
      <c r="D219">
        <v>40</v>
      </c>
      <c r="E219">
        <v>11111115</v>
      </c>
      <c r="F219" t="s">
        <v>1289</v>
      </c>
      <c r="G219" t="s">
        <v>1289</v>
      </c>
      <c r="I219" s="1">
        <v>80.459999999999994</v>
      </c>
      <c r="J219" s="1">
        <v>3218.3999999999996</v>
      </c>
      <c r="K219" t="s">
        <v>24</v>
      </c>
      <c r="M219" t="s">
        <v>22</v>
      </c>
      <c r="O219" s="3">
        <v>0</v>
      </c>
      <c r="P219" t="s">
        <v>1322</v>
      </c>
    </row>
    <row r="220" spans="1:16">
      <c r="A220" t="s">
        <v>1173</v>
      </c>
      <c r="B220" t="s">
        <v>1174</v>
      </c>
      <c r="C220" t="str">
        <f>VLOOKUP(A220,#REF!,3,FALSE)</f>
        <v>Bond</v>
      </c>
      <c r="D220">
        <v>8.0892999999999997</v>
      </c>
      <c r="E220">
        <v>11111115</v>
      </c>
      <c r="F220" t="s">
        <v>1289</v>
      </c>
      <c r="G220" t="s">
        <v>1289</v>
      </c>
      <c r="I220" s="1">
        <v>28.41</v>
      </c>
      <c r="J220" s="1">
        <v>229.817013</v>
      </c>
      <c r="K220" t="s">
        <v>26</v>
      </c>
      <c r="M220" t="s">
        <v>22</v>
      </c>
      <c r="O220" s="3">
        <v>0</v>
      </c>
      <c r="P220" t="s">
        <v>1323</v>
      </c>
    </row>
    <row r="221" spans="1:16">
      <c r="A221" t="s">
        <v>1175</v>
      </c>
      <c r="B221" t="s">
        <v>1176</v>
      </c>
      <c r="C221" t="str">
        <f>VLOOKUP(A221,#REF!,3,FALSE)</f>
        <v>Bond</v>
      </c>
      <c r="D221">
        <v>84.159800000000004</v>
      </c>
      <c r="E221">
        <v>11111115</v>
      </c>
      <c r="F221" t="s">
        <v>1289</v>
      </c>
      <c r="G221" t="s">
        <v>1289</v>
      </c>
      <c r="I221" s="1">
        <v>96.935000000000002</v>
      </c>
      <c r="J221" s="1">
        <v>8158.0302130000009</v>
      </c>
      <c r="K221" t="s">
        <v>26</v>
      </c>
      <c r="M221" t="s">
        <v>22</v>
      </c>
      <c r="O221" s="3">
        <v>1E-4</v>
      </c>
      <c r="P221" t="s">
        <v>1324</v>
      </c>
    </row>
    <row r="222" spans="1:16">
      <c r="A222" t="s">
        <v>1177</v>
      </c>
      <c r="B222" t="s">
        <v>1178</v>
      </c>
      <c r="C222" t="str">
        <f>VLOOKUP(A222,#REF!,3,FALSE)</f>
        <v>Bond</v>
      </c>
      <c r="D222" s="2">
        <v>3000</v>
      </c>
      <c r="E222">
        <v>11111115</v>
      </c>
      <c r="F222" t="s">
        <v>1289</v>
      </c>
      <c r="G222" t="s">
        <v>1289</v>
      </c>
      <c r="I222" s="1">
        <v>98.955600000000004</v>
      </c>
      <c r="J222" s="1">
        <v>296866.8</v>
      </c>
      <c r="M222" t="s">
        <v>22</v>
      </c>
      <c r="O222" s="3">
        <v>0</v>
      </c>
      <c r="P222" t="s">
        <v>23</v>
      </c>
    </row>
    <row r="223" spans="1:16">
      <c r="A223" t="s">
        <v>82</v>
      </c>
      <c r="B223" t="s">
        <v>83</v>
      </c>
      <c r="C223" t="str">
        <f>VLOOKUP(A223,#REF!,3,FALSE)</f>
        <v>US ETF</v>
      </c>
      <c r="D223" s="2">
        <v>3000</v>
      </c>
      <c r="E223">
        <v>11111115</v>
      </c>
      <c r="F223" t="s">
        <v>1289</v>
      </c>
      <c r="G223" t="s">
        <v>1289</v>
      </c>
      <c r="I223" s="1">
        <v>28.4</v>
      </c>
      <c r="J223" s="1">
        <v>85200</v>
      </c>
      <c r="M223" t="s">
        <v>22</v>
      </c>
      <c r="O223" s="3">
        <v>0</v>
      </c>
      <c r="P223" t="s">
        <v>23</v>
      </c>
    </row>
    <row r="224" spans="1:16">
      <c r="A224" t="s">
        <v>1179</v>
      </c>
      <c r="B224" t="s">
        <v>1180</v>
      </c>
      <c r="C224" t="str">
        <f>VLOOKUP(A224,#REF!,3,FALSE)</f>
        <v>REIT</v>
      </c>
      <c r="D224" s="2">
        <v>1000</v>
      </c>
      <c r="E224">
        <v>11111115</v>
      </c>
      <c r="F224" t="s">
        <v>1289</v>
      </c>
      <c r="G224" t="s">
        <v>1289</v>
      </c>
      <c r="I224" s="1">
        <v>4.84</v>
      </c>
      <c r="J224" s="1">
        <v>4840</v>
      </c>
      <c r="M224" t="s">
        <v>22</v>
      </c>
      <c r="O224" s="3">
        <v>0</v>
      </c>
      <c r="P224" t="s">
        <v>23</v>
      </c>
    </row>
    <row r="225" spans="1:16">
      <c r="A225" t="s">
        <v>85</v>
      </c>
      <c r="B225" t="s">
        <v>1181</v>
      </c>
      <c r="C225" t="str">
        <f>VLOOKUP(A225,#REF!,3,FALSE)</f>
        <v>US MF</v>
      </c>
      <c r="D225" s="2">
        <v>14456.8</v>
      </c>
      <c r="E225">
        <v>11111115</v>
      </c>
      <c r="F225" t="s">
        <v>1289</v>
      </c>
      <c r="G225" t="s">
        <v>1289</v>
      </c>
      <c r="I225" s="1">
        <v>1</v>
      </c>
      <c r="J225" s="1">
        <v>14456.8</v>
      </c>
      <c r="K225" t="s">
        <v>26</v>
      </c>
      <c r="L225" t="s">
        <v>26</v>
      </c>
      <c r="M225" t="s">
        <v>22</v>
      </c>
      <c r="O225" s="3">
        <v>2.0000000000000001E-4</v>
      </c>
      <c r="P225" t="s">
        <v>23</v>
      </c>
    </row>
    <row r="226" spans="1:16">
      <c r="A226" t="s">
        <v>183</v>
      </c>
      <c r="B226" t="s">
        <v>207</v>
      </c>
      <c r="C226" t="str">
        <f>VLOOKUP(A226,#REF!,3,FALSE)</f>
        <v>US Equity</v>
      </c>
      <c r="D226">
        <v>51.952300000000001</v>
      </c>
      <c r="E226">
        <v>11111116</v>
      </c>
      <c r="F226" t="s">
        <v>1325</v>
      </c>
      <c r="G226" t="s">
        <v>1325</v>
      </c>
      <c r="I226" s="1">
        <v>273.65499999999997</v>
      </c>
      <c r="J226" s="1">
        <v>14217.0066565</v>
      </c>
      <c r="K226" t="s">
        <v>26</v>
      </c>
      <c r="M226" t="s">
        <v>22</v>
      </c>
      <c r="O226" s="3">
        <v>1E-4</v>
      </c>
      <c r="P226" t="s">
        <v>1326</v>
      </c>
    </row>
    <row r="227" spans="1:16">
      <c r="A227" t="s">
        <v>29</v>
      </c>
      <c r="B227" t="s">
        <v>208</v>
      </c>
      <c r="C227" t="str">
        <f>VLOOKUP(A227,#REF!,3,FALSE)</f>
        <v>US Equity</v>
      </c>
      <c r="D227">
        <v>40</v>
      </c>
      <c r="E227">
        <v>11111116</v>
      </c>
      <c r="F227" t="s">
        <v>1325</v>
      </c>
      <c r="G227" t="s">
        <v>1325</v>
      </c>
      <c r="I227" s="1">
        <v>67.87</v>
      </c>
      <c r="J227" s="1">
        <v>2714.8</v>
      </c>
      <c r="K227" t="s">
        <v>26</v>
      </c>
      <c r="M227" t="s">
        <v>22</v>
      </c>
      <c r="O227" s="3">
        <v>0</v>
      </c>
      <c r="P227" t="s">
        <v>1327</v>
      </c>
    </row>
    <row r="228" spans="1:16">
      <c r="A228" t="s">
        <v>184</v>
      </c>
      <c r="B228" t="s">
        <v>209</v>
      </c>
      <c r="C228" t="str">
        <f>VLOOKUP(A228,#REF!,3,FALSE)</f>
        <v>US Equity</v>
      </c>
      <c r="D228">
        <v>20.494399999999999</v>
      </c>
      <c r="E228">
        <v>11111116</v>
      </c>
      <c r="F228" t="s">
        <v>1325</v>
      </c>
      <c r="G228" t="s">
        <v>1325</v>
      </c>
      <c r="I228" s="1">
        <v>32.72</v>
      </c>
      <c r="J228" s="1">
        <v>670.5767679999999</v>
      </c>
      <c r="K228" t="s">
        <v>26</v>
      </c>
      <c r="M228" t="s">
        <v>22</v>
      </c>
      <c r="O228" s="3">
        <v>0</v>
      </c>
      <c r="P228" t="s">
        <v>1328</v>
      </c>
    </row>
    <row r="229" spans="1:16">
      <c r="A229" t="s">
        <v>185</v>
      </c>
      <c r="B229" t="s">
        <v>210</v>
      </c>
      <c r="C229" t="str">
        <f>VLOOKUP(A229,#REF!,3,FALSE)</f>
        <v>US Equity</v>
      </c>
      <c r="D229">
        <v>21</v>
      </c>
      <c r="E229">
        <v>11111116</v>
      </c>
      <c r="F229" t="s">
        <v>1325</v>
      </c>
      <c r="G229" t="s">
        <v>1325</v>
      </c>
      <c r="I229" s="1">
        <v>29.2</v>
      </c>
      <c r="J229" s="1">
        <v>613.19999999999993</v>
      </c>
      <c r="K229" t="s">
        <v>24</v>
      </c>
      <c r="M229" t="s">
        <v>22</v>
      </c>
      <c r="O229" s="3">
        <v>0</v>
      </c>
      <c r="P229" t="s">
        <v>1329</v>
      </c>
    </row>
    <row r="230" spans="1:16">
      <c r="A230" t="s">
        <v>186</v>
      </c>
      <c r="B230" t="s">
        <v>211</v>
      </c>
      <c r="C230" t="str">
        <f>VLOOKUP(A230,#REF!,3,FALSE)</f>
        <v>US Equity</v>
      </c>
      <c r="D230">
        <v>2.0788000000000002</v>
      </c>
      <c r="E230">
        <v>11111116</v>
      </c>
      <c r="F230" t="s">
        <v>1325</v>
      </c>
      <c r="G230" t="s">
        <v>1325</v>
      </c>
      <c r="I230" s="1">
        <v>147.56</v>
      </c>
      <c r="J230" s="1">
        <v>306.74772800000005</v>
      </c>
      <c r="K230" t="s">
        <v>26</v>
      </c>
      <c r="M230" t="s">
        <v>22</v>
      </c>
      <c r="O230" s="3">
        <v>0</v>
      </c>
      <c r="P230" t="s">
        <v>1294</v>
      </c>
    </row>
    <row r="231" spans="1:16">
      <c r="A231" t="s">
        <v>187</v>
      </c>
      <c r="B231" t="s">
        <v>212</v>
      </c>
      <c r="C231" t="str">
        <f>VLOOKUP(A231,#REF!,3,FALSE)</f>
        <v>US Equity</v>
      </c>
      <c r="D231">
        <v>13.8345</v>
      </c>
      <c r="E231">
        <v>11111116</v>
      </c>
      <c r="F231" t="s">
        <v>1325</v>
      </c>
      <c r="G231" t="s">
        <v>1325</v>
      </c>
      <c r="I231" s="1">
        <v>32.414999999999999</v>
      </c>
      <c r="J231" s="1">
        <v>448.44531749999999</v>
      </c>
      <c r="K231" t="s">
        <v>26</v>
      </c>
      <c r="M231" t="s">
        <v>22</v>
      </c>
      <c r="O231" s="3">
        <v>1E-4</v>
      </c>
      <c r="P231" t="s">
        <v>1330</v>
      </c>
    </row>
    <row r="232" spans="1:16">
      <c r="A232" t="s">
        <v>188</v>
      </c>
      <c r="B232" t="s">
        <v>213</v>
      </c>
      <c r="C232" t="str">
        <f>VLOOKUP(A232,#REF!,3,FALSE)</f>
        <v>US Equity</v>
      </c>
      <c r="D232">
        <v>18</v>
      </c>
      <c r="E232">
        <v>11111116</v>
      </c>
      <c r="F232" t="s">
        <v>1325</v>
      </c>
      <c r="G232" t="s">
        <v>1325</v>
      </c>
      <c r="I232" s="1">
        <v>97.79</v>
      </c>
      <c r="J232" s="1">
        <v>1760.22</v>
      </c>
      <c r="K232" t="s">
        <v>24</v>
      </c>
      <c r="M232" t="s">
        <v>22</v>
      </c>
      <c r="O232" s="3">
        <v>1E-4</v>
      </c>
      <c r="P232" t="s">
        <v>1331</v>
      </c>
    </row>
    <row r="233" spans="1:16">
      <c r="A233" t="s">
        <v>151</v>
      </c>
      <c r="B233" t="s">
        <v>214</v>
      </c>
      <c r="C233" t="str">
        <f>VLOOKUP(A233,#REF!,3,FALSE)</f>
        <v>US Equity</v>
      </c>
      <c r="D233">
        <v>23.577500000000001</v>
      </c>
      <c r="E233">
        <v>11111116</v>
      </c>
      <c r="F233" t="s">
        <v>1325</v>
      </c>
      <c r="G233" t="s">
        <v>1325</v>
      </c>
      <c r="I233" s="1">
        <v>44.49</v>
      </c>
      <c r="J233" s="1">
        <v>1048.9629750000001</v>
      </c>
      <c r="K233" t="s">
        <v>26</v>
      </c>
      <c r="M233" t="s">
        <v>22</v>
      </c>
      <c r="O233" s="3">
        <v>0</v>
      </c>
      <c r="P233" t="s">
        <v>1332</v>
      </c>
    </row>
    <row r="234" spans="1:16">
      <c r="A234" t="s">
        <v>189</v>
      </c>
      <c r="B234" t="s">
        <v>215</v>
      </c>
      <c r="C234" t="str">
        <f>VLOOKUP(A234,#REF!,3,FALSE)</f>
        <v>US Equity</v>
      </c>
      <c r="D234">
        <v>142.29230000000001</v>
      </c>
      <c r="E234">
        <v>11111116</v>
      </c>
      <c r="F234" t="s">
        <v>1325</v>
      </c>
      <c r="G234" t="s">
        <v>1325</v>
      </c>
      <c r="I234" s="1">
        <v>495.39</v>
      </c>
      <c r="J234" s="1">
        <v>70490.182497000002</v>
      </c>
      <c r="K234" t="s">
        <v>26</v>
      </c>
      <c r="M234" t="s">
        <v>22</v>
      </c>
      <c r="O234" s="3">
        <v>1E-4</v>
      </c>
      <c r="P234" t="s">
        <v>1333</v>
      </c>
    </row>
    <row r="235" spans="1:16">
      <c r="A235" t="s">
        <v>32</v>
      </c>
      <c r="B235" t="s">
        <v>216</v>
      </c>
      <c r="C235" t="str">
        <f>VLOOKUP(A235,#REF!,3,FALSE)</f>
        <v>US Equity</v>
      </c>
      <c r="D235">
        <v>302.48579999999998</v>
      </c>
      <c r="E235">
        <v>11111116</v>
      </c>
      <c r="F235" t="s">
        <v>1325</v>
      </c>
      <c r="G235" t="s">
        <v>1325</v>
      </c>
      <c r="I235" s="1">
        <v>51.395000000000003</v>
      </c>
      <c r="J235" s="1">
        <v>15546.257691000001</v>
      </c>
      <c r="K235" t="s">
        <v>26</v>
      </c>
      <c r="M235" t="s">
        <v>22</v>
      </c>
      <c r="O235" s="3">
        <v>1E-4</v>
      </c>
      <c r="P235" t="s">
        <v>1334</v>
      </c>
    </row>
    <row r="236" spans="1:16">
      <c r="A236" t="s">
        <v>190</v>
      </c>
      <c r="B236" t="s">
        <v>217</v>
      </c>
      <c r="C236" t="str">
        <f>VLOOKUP(A236,#REF!,3,FALSE)</f>
        <v>US Equity</v>
      </c>
      <c r="D236">
        <v>20.531199999999998</v>
      </c>
      <c r="E236">
        <v>11111116</v>
      </c>
      <c r="F236" t="s">
        <v>1325</v>
      </c>
      <c r="G236" t="s">
        <v>1325</v>
      </c>
      <c r="I236" s="1">
        <v>223.166</v>
      </c>
      <c r="J236" s="1">
        <v>4581.8657791999995</v>
      </c>
      <c r="K236" t="s">
        <v>26</v>
      </c>
      <c r="M236" t="s">
        <v>22</v>
      </c>
      <c r="O236" s="3">
        <v>0</v>
      </c>
      <c r="P236" t="s">
        <v>1335</v>
      </c>
    </row>
    <row r="237" spans="1:16">
      <c r="A237" t="s">
        <v>191</v>
      </c>
      <c r="B237" t="s">
        <v>218</v>
      </c>
      <c r="C237" t="str">
        <f>VLOOKUP(A237,#REF!,3,FALSE)</f>
        <v>US Equity</v>
      </c>
      <c r="D237">
        <v>152.20330000000001</v>
      </c>
      <c r="E237">
        <v>11111116</v>
      </c>
      <c r="F237" t="s">
        <v>1325</v>
      </c>
      <c r="G237" t="s">
        <v>1325</v>
      </c>
      <c r="I237" s="1">
        <v>184.70500000000001</v>
      </c>
      <c r="J237" s="1">
        <v>28112.710526500003</v>
      </c>
      <c r="K237" t="s">
        <v>26</v>
      </c>
      <c r="M237" t="s">
        <v>22</v>
      </c>
      <c r="O237" s="3">
        <v>1E-4</v>
      </c>
      <c r="P237" t="s">
        <v>1336</v>
      </c>
    </row>
    <row r="238" spans="1:16">
      <c r="A238" t="s">
        <v>192</v>
      </c>
      <c r="B238" t="s">
        <v>219</v>
      </c>
      <c r="C238" t="str">
        <f>VLOOKUP(A238,#REF!,3,FALSE)</f>
        <v>US Equity</v>
      </c>
      <c r="D238">
        <v>20</v>
      </c>
      <c r="E238">
        <v>11111116</v>
      </c>
      <c r="F238" t="s">
        <v>1325</v>
      </c>
      <c r="G238" t="s">
        <v>1325</v>
      </c>
      <c r="I238" s="1">
        <v>55</v>
      </c>
      <c r="J238" s="1">
        <v>1100</v>
      </c>
      <c r="K238" t="s">
        <v>26</v>
      </c>
      <c r="M238" t="s">
        <v>22</v>
      </c>
      <c r="O238" s="3">
        <v>0</v>
      </c>
      <c r="P238" t="s">
        <v>1195</v>
      </c>
    </row>
    <row r="239" spans="1:16">
      <c r="A239" t="s">
        <v>193</v>
      </c>
      <c r="B239" t="s">
        <v>220</v>
      </c>
      <c r="C239" t="str">
        <f>VLOOKUP(A239,#REF!,3,FALSE)</f>
        <v>US Equity</v>
      </c>
      <c r="D239">
        <v>31</v>
      </c>
      <c r="E239">
        <v>11111116</v>
      </c>
      <c r="F239" t="s">
        <v>1325</v>
      </c>
      <c r="G239" t="s">
        <v>1325</v>
      </c>
      <c r="I239" s="1">
        <v>134.89500000000001</v>
      </c>
      <c r="J239" s="1">
        <v>4181.7449999999999</v>
      </c>
      <c r="K239" t="s">
        <v>24</v>
      </c>
      <c r="M239" t="s">
        <v>22</v>
      </c>
      <c r="O239" s="3">
        <v>0</v>
      </c>
      <c r="P239" t="s">
        <v>1303</v>
      </c>
    </row>
    <row r="240" spans="1:16">
      <c r="A240" t="s">
        <v>54</v>
      </c>
      <c r="B240" t="s">
        <v>221</v>
      </c>
      <c r="C240" t="str">
        <f>VLOOKUP(A240,#REF!,3,FALSE)</f>
        <v>US Equity</v>
      </c>
      <c r="D240">
        <v>3</v>
      </c>
      <c r="E240">
        <v>11111116</v>
      </c>
      <c r="F240" t="s">
        <v>1325</v>
      </c>
      <c r="G240" t="s">
        <v>1325</v>
      </c>
      <c r="I240" s="1">
        <v>327.96</v>
      </c>
      <c r="J240" s="1">
        <v>983.87999999999988</v>
      </c>
      <c r="K240" t="s">
        <v>24</v>
      </c>
      <c r="M240" t="s">
        <v>22</v>
      </c>
      <c r="O240" s="3">
        <v>0</v>
      </c>
      <c r="P240" t="s">
        <v>1304</v>
      </c>
    </row>
    <row r="241" spans="1:16">
      <c r="A241" t="s">
        <v>53</v>
      </c>
      <c r="B241" t="s">
        <v>222</v>
      </c>
      <c r="C241" t="str">
        <f>VLOOKUP(A241,#REF!,3,FALSE)</f>
        <v>US Equity</v>
      </c>
      <c r="D241">
        <v>305.1087</v>
      </c>
      <c r="E241">
        <v>11111116</v>
      </c>
      <c r="F241" t="s">
        <v>1325</v>
      </c>
      <c r="G241" t="s">
        <v>1325</v>
      </c>
      <c r="I241" s="1">
        <v>442.5</v>
      </c>
      <c r="J241" s="1">
        <v>135010.59974999999</v>
      </c>
      <c r="K241" t="s">
        <v>26</v>
      </c>
      <c r="M241" t="s">
        <v>22</v>
      </c>
      <c r="O241" s="3">
        <v>2.0000000000000001E-4</v>
      </c>
      <c r="P241" t="s">
        <v>1337</v>
      </c>
    </row>
    <row r="242" spans="1:16">
      <c r="A242" t="s">
        <v>155</v>
      </c>
      <c r="B242" t="s">
        <v>223</v>
      </c>
      <c r="C242" t="str">
        <f>VLOOKUP(A242,#REF!,3,FALSE)</f>
        <v>US Equity</v>
      </c>
      <c r="D242">
        <v>8</v>
      </c>
      <c r="E242">
        <v>11111116</v>
      </c>
      <c r="F242" t="s">
        <v>1325</v>
      </c>
      <c r="G242" t="s">
        <v>1325</v>
      </c>
      <c r="I242" s="1">
        <v>125.45</v>
      </c>
      <c r="J242" s="1">
        <v>1003.6</v>
      </c>
      <c r="K242" t="s">
        <v>26</v>
      </c>
      <c r="M242" t="s">
        <v>22</v>
      </c>
      <c r="O242" s="3">
        <v>0</v>
      </c>
      <c r="P242" t="s">
        <v>1338</v>
      </c>
    </row>
    <row r="243" spans="1:16">
      <c r="A243" t="s">
        <v>31</v>
      </c>
      <c r="B243" t="s">
        <v>224</v>
      </c>
      <c r="C243" t="str">
        <f>VLOOKUP(A243,#REF!,3,FALSE)</f>
        <v>US Equity</v>
      </c>
      <c r="D243">
        <v>8.0792000000000002</v>
      </c>
      <c r="E243">
        <v>11111116</v>
      </c>
      <c r="F243" t="s">
        <v>1325</v>
      </c>
      <c r="G243" t="s">
        <v>1325</v>
      </c>
      <c r="I243" s="1">
        <v>240.23</v>
      </c>
      <c r="J243" s="1">
        <v>1940.8662159999999</v>
      </c>
      <c r="K243" t="s">
        <v>26</v>
      </c>
      <c r="M243" t="s">
        <v>22</v>
      </c>
      <c r="O243" s="3">
        <v>0</v>
      </c>
      <c r="P243" t="s">
        <v>1339</v>
      </c>
    </row>
    <row r="244" spans="1:16">
      <c r="A244" t="s">
        <v>194</v>
      </c>
      <c r="B244" t="s">
        <v>225</v>
      </c>
      <c r="C244" t="str">
        <f>VLOOKUP(A244,#REF!,3,FALSE)</f>
        <v>US Equity</v>
      </c>
      <c r="D244">
        <v>10.078900000000001</v>
      </c>
      <c r="E244">
        <v>11111116</v>
      </c>
      <c r="F244" t="s">
        <v>1325</v>
      </c>
      <c r="G244" t="s">
        <v>1325</v>
      </c>
      <c r="I244" s="1">
        <v>27.05</v>
      </c>
      <c r="J244" s="1">
        <v>272.63424500000002</v>
      </c>
      <c r="K244" t="s">
        <v>26</v>
      </c>
      <c r="M244" t="s">
        <v>22</v>
      </c>
      <c r="O244" s="3">
        <v>0</v>
      </c>
      <c r="P244" t="s">
        <v>1340</v>
      </c>
    </row>
    <row r="245" spans="1:16">
      <c r="A245" t="s">
        <v>195</v>
      </c>
      <c r="B245" t="s">
        <v>226</v>
      </c>
      <c r="C245" t="str">
        <f>VLOOKUP(A245,#REF!,3,FALSE)</f>
        <v>US Equity</v>
      </c>
      <c r="D245">
        <v>5</v>
      </c>
      <c r="E245">
        <v>11111116</v>
      </c>
      <c r="F245" t="s">
        <v>1325</v>
      </c>
      <c r="G245" t="s">
        <v>1325</v>
      </c>
      <c r="I245" s="1">
        <v>126.08499999999999</v>
      </c>
      <c r="J245" s="1">
        <v>630.42499999999995</v>
      </c>
      <c r="K245" t="s">
        <v>24</v>
      </c>
      <c r="M245" t="s">
        <v>22</v>
      </c>
      <c r="O245" s="3">
        <v>0</v>
      </c>
      <c r="P245" t="s">
        <v>1341</v>
      </c>
    </row>
    <row r="246" spans="1:16">
      <c r="A246" t="s">
        <v>196</v>
      </c>
      <c r="B246" t="s">
        <v>227</v>
      </c>
      <c r="C246" t="str">
        <f>VLOOKUP(A246,#REF!,3,FALSE)</f>
        <v>US Equity</v>
      </c>
      <c r="D246">
        <v>2.0261999999999998</v>
      </c>
      <c r="E246">
        <v>11111116</v>
      </c>
      <c r="F246" t="s">
        <v>1325</v>
      </c>
      <c r="G246" t="s">
        <v>1325</v>
      </c>
      <c r="I246" s="1">
        <v>145.91</v>
      </c>
      <c r="J246" s="1">
        <v>295.64284199999997</v>
      </c>
      <c r="K246" t="s">
        <v>26</v>
      </c>
      <c r="M246" t="s">
        <v>22</v>
      </c>
      <c r="O246" s="3">
        <v>0</v>
      </c>
      <c r="P246" t="s">
        <v>1201</v>
      </c>
    </row>
    <row r="247" spans="1:16">
      <c r="A247" t="s">
        <v>197</v>
      </c>
      <c r="B247" t="s">
        <v>228</v>
      </c>
      <c r="C247" t="str">
        <f>VLOOKUP(A247,#REF!,3,FALSE)</f>
        <v>US Equity</v>
      </c>
      <c r="D247">
        <v>38.622399999999999</v>
      </c>
      <c r="E247">
        <v>11111116</v>
      </c>
      <c r="F247" t="s">
        <v>1325</v>
      </c>
      <c r="G247" t="s">
        <v>1325</v>
      </c>
      <c r="I247" s="1">
        <v>20.335000000000001</v>
      </c>
      <c r="J247" s="1">
        <v>785.38650400000006</v>
      </c>
      <c r="K247" t="s">
        <v>26</v>
      </c>
      <c r="M247" t="s">
        <v>22</v>
      </c>
      <c r="O247" s="3">
        <v>1E-4</v>
      </c>
      <c r="P247" t="s">
        <v>1342</v>
      </c>
    </row>
    <row r="248" spans="1:16">
      <c r="A248" t="s">
        <v>34</v>
      </c>
      <c r="B248" t="s">
        <v>229</v>
      </c>
      <c r="C248" t="str">
        <f>VLOOKUP(A248,#REF!,3,FALSE)</f>
        <v>US Equity</v>
      </c>
      <c r="D248">
        <v>20.6419</v>
      </c>
      <c r="E248">
        <v>11111116</v>
      </c>
      <c r="F248" t="s">
        <v>1325</v>
      </c>
      <c r="G248" t="s">
        <v>1325</v>
      </c>
      <c r="I248" s="1">
        <v>40.42</v>
      </c>
      <c r="J248" s="1">
        <v>834.345598</v>
      </c>
      <c r="K248" t="s">
        <v>26</v>
      </c>
      <c r="M248" t="s">
        <v>22</v>
      </c>
      <c r="O248" s="3">
        <v>1E-4</v>
      </c>
      <c r="P248" t="s">
        <v>1343</v>
      </c>
    </row>
    <row r="249" spans="1:16">
      <c r="A249" t="s">
        <v>198</v>
      </c>
      <c r="B249" t="s">
        <v>230</v>
      </c>
      <c r="C249" t="str">
        <f>VLOOKUP(A249,#REF!,3,FALSE)</f>
        <v>US Equity</v>
      </c>
      <c r="D249">
        <v>52</v>
      </c>
      <c r="E249">
        <v>11111116</v>
      </c>
      <c r="F249" t="s">
        <v>1325</v>
      </c>
      <c r="G249" t="s">
        <v>1325</v>
      </c>
      <c r="I249" s="1">
        <v>12.414999999999999</v>
      </c>
      <c r="J249" s="1">
        <v>645.57999999999993</v>
      </c>
      <c r="K249" t="s">
        <v>24</v>
      </c>
      <c r="M249" t="s">
        <v>22</v>
      </c>
      <c r="O249" s="3">
        <v>0</v>
      </c>
      <c r="P249" t="s">
        <v>1312</v>
      </c>
    </row>
    <row r="250" spans="1:16">
      <c r="A250" t="s">
        <v>199</v>
      </c>
      <c r="B250" t="s">
        <v>231</v>
      </c>
      <c r="C250" t="str">
        <f>VLOOKUP(A250,#REF!,3,FALSE)</f>
        <v>US Equity</v>
      </c>
      <c r="D250">
        <v>11.103300000000001</v>
      </c>
      <c r="E250">
        <v>11111116</v>
      </c>
      <c r="F250" t="s">
        <v>1325</v>
      </c>
      <c r="G250" t="s">
        <v>1325</v>
      </c>
      <c r="I250" s="1">
        <v>288.79000000000002</v>
      </c>
      <c r="J250" s="1">
        <v>3206.5220070000005</v>
      </c>
      <c r="K250" t="s">
        <v>26</v>
      </c>
      <c r="M250" t="s">
        <v>22</v>
      </c>
      <c r="O250" s="3">
        <v>0</v>
      </c>
      <c r="P250" t="s">
        <v>1344</v>
      </c>
    </row>
    <row r="251" spans="1:16">
      <c r="A251" t="s">
        <v>1148</v>
      </c>
      <c r="B251" t="s">
        <v>1149</v>
      </c>
      <c r="C251" t="str">
        <f>VLOOKUP(A251,#REF!,3,FALSE)</f>
        <v>Emerging</v>
      </c>
      <c r="D251">
        <v>15</v>
      </c>
      <c r="E251">
        <v>11111116</v>
      </c>
      <c r="F251" t="s">
        <v>1325</v>
      </c>
      <c r="G251" t="s">
        <v>1325</v>
      </c>
      <c r="I251" s="1">
        <v>78.644999999999996</v>
      </c>
      <c r="J251" s="1">
        <v>1179.675</v>
      </c>
      <c r="K251" t="s">
        <v>26</v>
      </c>
      <c r="M251" t="s">
        <v>22</v>
      </c>
      <c r="O251" s="3">
        <v>0</v>
      </c>
      <c r="P251" t="s">
        <v>1314</v>
      </c>
    </row>
    <row r="252" spans="1:16">
      <c r="A252" t="s">
        <v>1151</v>
      </c>
      <c r="B252" t="s">
        <v>1152</v>
      </c>
      <c r="C252" t="str">
        <f>VLOOKUP(A252,#REF!,3,FALSE)</f>
        <v>Emerging</v>
      </c>
      <c r="D252">
        <v>83.118399999999994</v>
      </c>
      <c r="E252">
        <v>11111116</v>
      </c>
      <c r="F252" t="s">
        <v>1325</v>
      </c>
      <c r="G252" t="s">
        <v>1325</v>
      </c>
      <c r="I252" s="1">
        <v>282.38</v>
      </c>
      <c r="J252" s="1">
        <v>23470.973791999997</v>
      </c>
      <c r="K252" t="s">
        <v>26</v>
      </c>
      <c r="M252" t="s">
        <v>22</v>
      </c>
      <c r="O252" s="3">
        <v>0</v>
      </c>
      <c r="P252" t="s">
        <v>1345</v>
      </c>
    </row>
    <row r="253" spans="1:16">
      <c r="A253" t="s">
        <v>1154</v>
      </c>
      <c r="B253" t="s">
        <v>1155</v>
      </c>
      <c r="C253" t="str">
        <f>VLOOKUP(A253,#REF!,3,FALSE)</f>
        <v>Emerging</v>
      </c>
      <c r="D253">
        <v>50.051099999999998</v>
      </c>
      <c r="E253">
        <v>11111116</v>
      </c>
      <c r="F253" t="s">
        <v>1325</v>
      </c>
      <c r="G253" t="s">
        <v>1325</v>
      </c>
      <c r="I253" s="1">
        <v>94.265000000000001</v>
      </c>
      <c r="J253" s="1">
        <v>4718.0669415000002</v>
      </c>
      <c r="K253" t="s">
        <v>26</v>
      </c>
      <c r="M253" t="s">
        <v>22</v>
      </c>
      <c r="O253" s="3">
        <v>0</v>
      </c>
      <c r="P253" t="s">
        <v>1346</v>
      </c>
    </row>
    <row r="254" spans="1:16">
      <c r="A254" t="s">
        <v>1157</v>
      </c>
      <c r="B254" t="s">
        <v>1158</v>
      </c>
      <c r="C254" t="str">
        <f>VLOOKUP(A254,#REF!,3,FALSE)</f>
        <v>Intl</v>
      </c>
      <c r="D254">
        <v>5</v>
      </c>
      <c r="E254">
        <v>11111116</v>
      </c>
      <c r="F254" t="s">
        <v>1325</v>
      </c>
      <c r="G254" t="s">
        <v>1325</v>
      </c>
      <c r="I254" s="1">
        <v>126.29</v>
      </c>
      <c r="J254" s="1">
        <v>631.45000000000005</v>
      </c>
      <c r="K254" t="s">
        <v>24</v>
      </c>
      <c r="M254" t="s">
        <v>22</v>
      </c>
      <c r="O254" s="3">
        <v>0</v>
      </c>
      <c r="P254" t="s">
        <v>1317</v>
      </c>
    </row>
    <row r="255" spans="1:16">
      <c r="A255" t="s">
        <v>1160</v>
      </c>
      <c r="B255" t="s">
        <v>1161</v>
      </c>
      <c r="C255" t="str">
        <f>VLOOKUP(A255,#REF!,3,FALSE)</f>
        <v>Intl</v>
      </c>
      <c r="D255">
        <v>13</v>
      </c>
      <c r="E255">
        <v>11111116</v>
      </c>
      <c r="F255" t="s">
        <v>1325</v>
      </c>
      <c r="G255" t="s">
        <v>1325</v>
      </c>
      <c r="I255" s="1">
        <v>44.564999999999998</v>
      </c>
      <c r="J255" s="1">
        <v>579.34500000000003</v>
      </c>
      <c r="K255" t="s">
        <v>26</v>
      </c>
      <c r="M255" t="s">
        <v>22</v>
      </c>
      <c r="O255" s="3">
        <v>0</v>
      </c>
      <c r="P255" t="s">
        <v>1347</v>
      </c>
    </row>
    <row r="256" spans="1:16">
      <c r="A256" t="s">
        <v>1163</v>
      </c>
      <c r="B256" t="s">
        <v>1164</v>
      </c>
      <c r="C256" t="str">
        <f>VLOOKUP(A256,#REF!,3,FALSE)</f>
        <v>Intl</v>
      </c>
      <c r="D256">
        <v>2.0087999999999999</v>
      </c>
      <c r="E256">
        <v>11111116</v>
      </c>
      <c r="F256" t="s">
        <v>1325</v>
      </c>
      <c r="G256" t="s">
        <v>1325</v>
      </c>
      <c r="I256" s="1">
        <v>395.25</v>
      </c>
      <c r="J256" s="1">
        <v>793.97820000000002</v>
      </c>
      <c r="K256" t="s">
        <v>26</v>
      </c>
      <c r="M256" t="s">
        <v>22</v>
      </c>
      <c r="O256" s="3">
        <v>0</v>
      </c>
      <c r="P256" t="s">
        <v>1348</v>
      </c>
    </row>
    <row r="257" spans="1:16">
      <c r="A257" t="s">
        <v>80</v>
      </c>
      <c r="B257" t="s">
        <v>1166</v>
      </c>
      <c r="C257" t="str">
        <f>VLOOKUP(A257,#REF!,3,FALSE)</f>
        <v>Intl</v>
      </c>
      <c r="D257">
        <v>17.2041</v>
      </c>
      <c r="E257">
        <v>11111116</v>
      </c>
      <c r="F257" t="s">
        <v>1325</v>
      </c>
      <c r="G257" t="s">
        <v>1325</v>
      </c>
      <c r="I257" s="1">
        <v>50.354999999999997</v>
      </c>
      <c r="J257" s="1">
        <v>866.31245549999994</v>
      </c>
      <c r="K257" t="s">
        <v>26</v>
      </c>
      <c r="M257" t="s">
        <v>22</v>
      </c>
      <c r="O257" s="3">
        <v>0</v>
      </c>
      <c r="P257" t="s">
        <v>1349</v>
      </c>
    </row>
    <row r="258" spans="1:16">
      <c r="A258" t="s">
        <v>156</v>
      </c>
      <c r="B258" t="s">
        <v>1168</v>
      </c>
      <c r="C258" t="str">
        <f>VLOOKUP(A258,#REF!,3,FALSE)</f>
        <v>MMF</v>
      </c>
      <c r="D258">
        <v>126</v>
      </c>
      <c r="E258">
        <v>11111116</v>
      </c>
      <c r="F258" t="s">
        <v>1325</v>
      </c>
      <c r="G258" t="s">
        <v>1325</v>
      </c>
      <c r="I258" s="1">
        <v>1</v>
      </c>
      <c r="J258" s="1">
        <v>126</v>
      </c>
      <c r="K258" t="s">
        <v>24</v>
      </c>
      <c r="M258" t="s">
        <v>22</v>
      </c>
      <c r="O258" s="3">
        <v>0</v>
      </c>
      <c r="P258" t="s">
        <v>1350</v>
      </c>
    </row>
    <row r="259" spans="1:16">
      <c r="A259" t="s">
        <v>1170</v>
      </c>
      <c r="B259" t="s">
        <v>1171</v>
      </c>
      <c r="C259" t="str">
        <f>VLOOKUP(A259,#REF!,3,FALSE)</f>
        <v>Bond</v>
      </c>
      <c r="D259">
        <v>19.078700000000001</v>
      </c>
      <c r="E259">
        <v>11111116</v>
      </c>
      <c r="F259" t="s">
        <v>1325</v>
      </c>
      <c r="G259" t="s">
        <v>1325</v>
      </c>
      <c r="I259" s="1">
        <v>80.459999999999994</v>
      </c>
      <c r="J259" s="1">
        <v>1535.0722020000001</v>
      </c>
      <c r="K259" t="s">
        <v>26</v>
      </c>
      <c r="M259" t="s">
        <v>22</v>
      </c>
      <c r="O259" s="3">
        <v>1E-4</v>
      </c>
      <c r="P259" t="s">
        <v>1351</v>
      </c>
    </row>
    <row r="260" spans="1:16">
      <c r="A260" t="s">
        <v>1173</v>
      </c>
      <c r="B260" t="s">
        <v>1174</v>
      </c>
      <c r="C260" t="str">
        <f>VLOOKUP(A260,#REF!,3,FALSE)</f>
        <v>Bond</v>
      </c>
      <c r="D260">
        <v>32</v>
      </c>
      <c r="E260">
        <v>11111116</v>
      </c>
      <c r="F260" t="s">
        <v>1325</v>
      </c>
      <c r="G260" t="s">
        <v>1325</v>
      </c>
      <c r="I260" s="1">
        <v>28.41</v>
      </c>
      <c r="J260" s="1">
        <v>909.12</v>
      </c>
      <c r="K260" t="s">
        <v>24</v>
      </c>
      <c r="M260" t="s">
        <v>22</v>
      </c>
      <c r="O260" s="3">
        <v>0</v>
      </c>
      <c r="P260" t="s">
        <v>1352</v>
      </c>
    </row>
    <row r="261" spans="1:16">
      <c r="A261" t="s">
        <v>1175</v>
      </c>
      <c r="B261" t="s">
        <v>1176</v>
      </c>
      <c r="C261" t="str">
        <f>VLOOKUP(A261,#REF!,3,FALSE)</f>
        <v>Bond</v>
      </c>
      <c r="D261">
        <v>7.0654000000000003</v>
      </c>
      <c r="E261">
        <v>11111116</v>
      </c>
      <c r="F261" t="s">
        <v>1325</v>
      </c>
      <c r="G261" t="s">
        <v>1325</v>
      </c>
      <c r="I261" s="1">
        <v>96.935000000000002</v>
      </c>
      <c r="J261" s="1">
        <v>684.88454900000011</v>
      </c>
      <c r="K261" t="s">
        <v>26</v>
      </c>
      <c r="M261" t="s">
        <v>22</v>
      </c>
      <c r="O261" s="3">
        <v>0</v>
      </c>
      <c r="P261" t="s">
        <v>1353</v>
      </c>
    </row>
    <row r="262" spans="1:16">
      <c r="A262" t="s">
        <v>1177</v>
      </c>
      <c r="B262" t="s">
        <v>1178</v>
      </c>
      <c r="C262" t="str">
        <f>VLOOKUP(A262,#REF!,3,FALSE)</f>
        <v>Bond</v>
      </c>
      <c r="D262">
        <v>193.6688</v>
      </c>
      <c r="E262">
        <v>11111116</v>
      </c>
      <c r="F262" t="s">
        <v>1325</v>
      </c>
      <c r="G262" t="s">
        <v>1325</v>
      </c>
      <c r="I262" s="1">
        <v>98.955600000000004</v>
      </c>
      <c r="J262" s="1">
        <v>19164.612305279999</v>
      </c>
      <c r="K262" t="s">
        <v>26</v>
      </c>
      <c r="M262" t="s">
        <v>22</v>
      </c>
      <c r="O262" s="3">
        <v>2.0000000000000001E-4</v>
      </c>
      <c r="P262" t="s">
        <v>1354</v>
      </c>
    </row>
    <row r="263" spans="1:16">
      <c r="A263" t="s">
        <v>82</v>
      </c>
      <c r="B263" t="s">
        <v>83</v>
      </c>
      <c r="C263" t="str">
        <f>VLOOKUP(A263,#REF!,3,FALSE)</f>
        <v>US ETF</v>
      </c>
      <c r="D263" s="2">
        <v>3000</v>
      </c>
      <c r="E263">
        <v>11111116</v>
      </c>
      <c r="F263" t="s">
        <v>1325</v>
      </c>
      <c r="G263" t="s">
        <v>1325</v>
      </c>
      <c r="I263" s="1">
        <v>28.4</v>
      </c>
      <c r="J263" s="1">
        <v>85200</v>
      </c>
      <c r="M263" t="s">
        <v>22</v>
      </c>
      <c r="O263" s="3">
        <v>0</v>
      </c>
      <c r="P263" t="s">
        <v>23</v>
      </c>
    </row>
    <row r="264" spans="1:16">
      <c r="A264" t="s">
        <v>1179</v>
      </c>
      <c r="B264" t="s">
        <v>1180</v>
      </c>
      <c r="C264" t="str">
        <f>VLOOKUP(A264,#REF!,3,FALSE)</f>
        <v>REIT</v>
      </c>
      <c r="D264" s="2">
        <v>3000</v>
      </c>
      <c r="E264">
        <v>11111116</v>
      </c>
      <c r="F264" t="s">
        <v>1325</v>
      </c>
      <c r="G264" t="s">
        <v>1325</v>
      </c>
      <c r="I264" s="1">
        <v>4.84</v>
      </c>
      <c r="J264" s="1">
        <v>14520</v>
      </c>
      <c r="M264" t="s">
        <v>22</v>
      </c>
      <c r="O264" s="3">
        <v>0</v>
      </c>
      <c r="P264" t="s">
        <v>23</v>
      </c>
    </row>
    <row r="265" spans="1:16">
      <c r="A265" t="s">
        <v>85</v>
      </c>
      <c r="B265" t="s">
        <v>1181</v>
      </c>
      <c r="C265" t="str">
        <f>VLOOKUP(A265,#REF!,3,FALSE)</f>
        <v>US MF</v>
      </c>
      <c r="D265" s="2">
        <v>2000</v>
      </c>
      <c r="E265">
        <v>11111116</v>
      </c>
      <c r="F265" t="s">
        <v>1325</v>
      </c>
      <c r="G265" t="s">
        <v>1325</v>
      </c>
      <c r="I265" s="1">
        <v>1</v>
      </c>
      <c r="J265" s="1">
        <v>2000</v>
      </c>
      <c r="M265" t="s">
        <v>22</v>
      </c>
      <c r="O265" s="3">
        <v>0</v>
      </c>
      <c r="P265" t="s">
        <v>23</v>
      </c>
    </row>
    <row r="266" spans="1:16">
      <c r="A266" t="s">
        <v>156</v>
      </c>
      <c r="B266" t="s">
        <v>157</v>
      </c>
      <c r="C266" t="str">
        <f>VLOOKUP(A266,#REF!,3,FALSE)</f>
        <v>MMF</v>
      </c>
      <c r="D266" s="2">
        <v>16321.35</v>
      </c>
      <c r="E266">
        <v>11111116</v>
      </c>
      <c r="F266" t="s">
        <v>1325</v>
      </c>
      <c r="G266" t="s">
        <v>1325</v>
      </c>
      <c r="I266" s="1">
        <v>1</v>
      </c>
      <c r="J266" s="1">
        <v>16321.35</v>
      </c>
      <c r="K266" t="s">
        <v>26</v>
      </c>
      <c r="L266" t="s">
        <v>26</v>
      </c>
      <c r="M266" t="s">
        <v>22</v>
      </c>
      <c r="O266" s="3">
        <v>2.0000000000000001E-4</v>
      </c>
      <c r="P266" t="s">
        <v>23</v>
      </c>
    </row>
    <row r="267" spans="1:16">
      <c r="A267" t="s">
        <v>198</v>
      </c>
      <c r="B267" t="s">
        <v>230</v>
      </c>
      <c r="C267" t="str">
        <f>VLOOKUP(A267,#REF!,3,FALSE)</f>
        <v>US Equity</v>
      </c>
      <c r="D267">
        <v>40.409100000000002</v>
      </c>
      <c r="E267">
        <v>11111117</v>
      </c>
      <c r="F267" t="s">
        <v>1355</v>
      </c>
      <c r="G267" t="s">
        <v>1355</v>
      </c>
      <c r="I267" s="1">
        <v>12.414999999999999</v>
      </c>
      <c r="J267" s="1">
        <v>501.67897649999998</v>
      </c>
      <c r="K267" t="s">
        <v>26</v>
      </c>
      <c r="M267" t="s">
        <v>22</v>
      </c>
      <c r="O267" s="3">
        <v>1E-4</v>
      </c>
      <c r="P267" t="s">
        <v>1356</v>
      </c>
    </row>
    <row r="268" spans="1:16">
      <c r="A268" t="s">
        <v>199</v>
      </c>
      <c r="B268" t="s">
        <v>231</v>
      </c>
      <c r="C268" t="str">
        <f>VLOOKUP(A268,#REF!,3,FALSE)</f>
        <v>US Equity</v>
      </c>
      <c r="D268">
        <v>40</v>
      </c>
      <c r="E268">
        <v>11111117</v>
      </c>
      <c r="F268" t="s">
        <v>1355</v>
      </c>
      <c r="G268" t="s">
        <v>1355</v>
      </c>
      <c r="I268" s="1">
        <v>288.79000000000002</v>
      </c>
      <c r="J268" s="1">
        <v>11551.6</v>
      </c>
      <c r="K268" t="s">
        <v>26</v>
      </c>
      <c r="M268" t="s">
        <v>22</v>
      </c>
      <c r="O268" s="3">
        <v>0</v>
      </c>
      <c r="P268" t="s">
        <v>1327</v>
      </c>
    </row>
    <row r="269" spans="1:16">
      <c r="A269" t="s">
        <v>1148</v>
      </c>
      <c r="B269" t="s">
        <v>1149</v>
      </c>
      <c r="C269" t="str">
        <f>VLOOKUP(A269,#REF!,3,FALSE)</f>
        <v>Emerging</v>
      </c>
      <c r="D269">
        <v>1</v>
      </c>
      <c r="E269">
        <v>11111117</v>
      </c>
      <c r="F269" t="s">
        <v>1355</v>
      </c>
      <c r="G269" t="s">
        <v>1355</v>
      </c>
      <c r="I269" s="1">
        <v>78.644999999999996</v>
      </c>
      <c r="J269" s="1">
        <v>78.644999999999996</v>
      </c>
      <c r="K269" t="s">
        <v>24</v>
      </c>
      <c r="M269" t="s">
        <v>22</v>
      </c>
      <c r="O269" s="3">
        <v>0</v>
      </c>
      <c r="P269" t="s">
        <v>1357</v>
      </c>
    </row>
    <row r="270" spans="1:16">
      <c r="A270" t="s">
        <v>1151</v>
      </c>
      <c r="B270" t="s">
        <v>1152</v>
      </c>
      <c r="C270" t="str">
        <f>VLOOKUP(A270,#REF!,3,FALSE)</f>
        <v>Emerging</v>
      </c>
      <c r="D270">
        <v>19.567</v>
      </c>
      <c r="E270">
        <v>11111117</v>
      </c>
      <c r="F270" t="s">
        <v>1355</v>
      </c>
      <c r="G270" t="s">
        <v>1355</v>
      </c>
      <c r="I270" s="1">
        <v>282.38</v>
      </c>
      <c r="J270" s="1">
        <v>5525.3294599999999</v>
      </c>
      <c r="K270" t="s">
        <v>26</v>
      </c>
      <c r="M270" t="s">
        <v>22</v>
      </c>
      <c r="O270" s="3">
        <v>0</v>
      </c>
      <c r="P270" t="s">
        <v>1358</v>
      </c>
    </row>
    <row r="271" spans="1:16">
      <c r="A271" t="s">
        <v>1154</v>
      </c>
      <c r="B271" t="s">
        <v>1155</v>
      </c>
      <c r="C271" t="str">
        <f>VLOOKUP(A271,#REF!,3,FALSE)</f>
        <v>Emerging</v>
      </c>
      <c r="D271">
        <v>21</v>
      </c>
      <c r="E271">
        <v>11111117</v>
      </c>
      <c r="F271" t="s">
        <v>1355</v>
      </c>
      <c r="G271" t="s">
        <v>1355</v>
      </c>
      <c r="I271" s="1">
        <v>94.265000000000001</v>
      </c>
      <c r="J271" s="1">
        <v>1979.5650000000001</v>
      </c>
      <c r="K271" t="s">
        <v>24</v>
      </c>
      <c r="M271" t="s">
        <v>22</v>
      </c>
      <c r="O271" s="3">
        <v>0</v>
      </c>
      <c r="P271" t="s">
        <v>1329</v>
      </c>
    </row>
    <row r="272" spans="1:16">
      <c r="A272" t="s">
        <v>1157</v>
      </c>
      <c r="B272" t="s">
        <v>1158</v>
      </c>
      <c r="C272" t="str">
        <f>VLOOKUP(A272,#REF!,3,FALSE)</f>
        <v>Intl</v>
      </c>
      <c r="D272">
        <v>3.1179999999999999</v>
      </c>
      <c r="E272">
        <v>11111117</v>
      </c>
      <c r="F272" t="s">
        <v>1355</v>
      </c>
      <c r="G272" t="s">
        <v>1355</v>
      </c>
      <c r="I272" s="1">
        <v>126.29</v>
      </c>
      <c r="J272" s="1">
        <v>393.77222</v>
      </c>
      <c r="K272" t="s">
        <v>26</v>
      </c>
      <c r="M272" t="s">
        <v>22</v>
      </c>
      <c r="O272" s="3">
        <v>0</v>
      </c>
      <c r="P272" t="s">
        <v>1359</v>
      </c>
    </row>
    <row r="273" spans="1:16">
      <c r="A273" t="s">
        <v>1160</v>
      </c>
      <c r="B273" t="s">
        <v>1161</v>
      </c>
      <c r="C273" t="str">
        <f>VLOOKUP(A273,#REF!,3,FALSE)</f>
        <v>Intl</v>
      </c>
      <c r="D273">
        <v>13.308299999999999</v>
      </c>
      <c r="E273">
        <v>11111117</v>
      </c>
      <c r="F273" t="s">
        <v>1355</v>
      </c>
      <c r="G273" t="s">
        <v>1355</v>
      </c>
      <c r="I273" s="1">
        <v>44.564999999999998</v>
      </c>
      <c r="J273" s="1">
        <v>593.08438949999993</v>
      </c>
      <c r="K273" t="s">
        <v>26</v>
      </c>
      <c r="M273" t="s">
        <v>22</v>
      </c>
      <c r="O273" s="3">
        <v>1E-4</v>
      </c>
      <c r="P273" t="s">
        <v>1360</v>
      </c>
    </row>
    <row r="274" spans="1:16">
      <c r="A274" t="s">
        <v>1163</v>
      </c>
      <c r="B274" t="s">
        <v>1164</v>
      </c>
      <c r="C274" t="str">
        <f>VLOOKUP(A274,#REF!,3,FALSE)</f>
        <v>Intl</v>
      </c>
      <c r="D274">
        <v>18</v>
      </c>
      <c r="E274">
        <v>11111117</v>
      </c>
      <c r="F274" t="s">
        <v>1355</v>
      </c>
      <c r="G274" t="s">
        <v>1355</v>
      </c>
      <c r="I274" s="1">
        <v>395.25</v>
      </c>
      <c r="J274" s="1">
        <v>7114.5</v>
      </c>
      <c r="K274" t="s">
        <v>24</v>
      </c>
      <c r="M274" t="s">
        <v>22</v>
      </c>
      <c r="O274" s="3">
        <v>1E-4</v>
      </c>
      <c r="P274" t="s">
        <v>1331</v>
      </c>
    </row>
    <row r="275" spans="1:16">
      <c r="A275" t="s">
        <v>80</v>
      </c>
      <c r="B275" t="s">
        <v>1166</v>
      </c>
      <c r="C275" t="str">
        <f>VLOOKUP(A275,#REF!,3,FALSE)</f>
        <v>Intl</v>
      </c>
      <c r="D275">
        <v>18.7044</v>
      </c>
      <c r="E275">
        <v>11111117</v>
      </c>
      <c r="F275" t="s">
        <v>1355</v>
      </c>
      <c r="G275" t="s">
        <v>1355</v>
      </c>
      <c r="I275" s="1">
        <v>50.354999999999997</v>
      </c>
      <c r="J275" s="1">
        <v>941.86006199999997</v>
      </c>
      <c r="K275" t="s">
        <v>26</v>
      </c>
      <c r="M275" t="s">
        <v>22</v>
      </c>
      <c r="O275" s="3">
        <v>0</v>
      </c>
      <c r="P275" t="s">
        <v>1361</v>
      </c>
    </row>
    <row r="276" spans="1:16">
      <c r="A276" t="s">
        <v>156</v>
      </c>
      <c r="B276" t="s">
        <v>1168</v>
      </c>
      <c r="C276" t="str">
        <f>VLOOKUP(A276,#REF!,3,FALSE)</f>
        <v>MMF</v>
      </c>
      <c r="D276">
        <v>112.6096</v>
      </c>
      <c r="E276">
        <v>11111117</v>
      </c>
      <c r="F276" t="s">
        <v>1355</v>
      </c>
      <c r="G276" t="s">
        <v>1355</v>
      </c>
      <c r="I276" s="1">
        <v>1</v>
      </c>
      <c r="J276" s="1">
        <v>112.6096</v>
      </c>
      <c r="K276" t="s">
        <v>26</v>
      </c>
      <c r="M276" t="s">
        <v>22</v>
      </c>
      <c r="O276" s="3">
        <v>0</v>
      </c>
      <c r="P276" t="s">
        <v>1362</v>
      </c>
    </row>
    <row r="277" spans="1:16">
      <c r="A277" t="s">
        <v>183</v>
      </c>
      <c r="B277" t="s">
        <v>207</v>
      </c>
      <c r="C277" t="str">
        <f>VLOOKUP(A277,#REF!,3,FALSE)</f>
        <v>US Equity</v>
      </c>
      <c r="D277">
        <v>34</v>
      </c>
      <c r="E277">
        <v>11111118</v>
      </c>
      <c r="F277" t="s">
        <v>1363</v>
      </c>
      <c r="G277" t="s">
        <v>1363</v>
      </c>
      <c r="I277" s="1">
        <v>273.65499999999997</v>
      </c>
      <c r="J277" s="1">
        <v>9304.2699999999986</v>
      </c>
      <c r="K277" t="s">
        <v>24</v>
      </c>
      <c r="M277" t="s">
        <v>22</v>
      </c>
      <c r="O277" s="3">
        <v>1E-4</v>
      </c>
      <c r="P277" t="s">
        <v>1364</v>
      </c>
    </row>
    <row r="278" spans="1:16">
      <c r="A278" t="s">
        <v>29</v>
      </c>
      <c r="B278" t="s">
        <v>208</v>
      </c>
      <c r="C278" t="str">
        <f>VLOOKUP(A278,#REF!,3,FALSE)</f>
        <v>US Equity</v>
      </c>
      <c r="D278">
        <v>93.284499999999994</v>
      </c>
      <c r="E278">
        <v>11111118</v>
      </c>
      <c r="F278" t="s">
        <v>1363</v>
      </c>
      <c r="G278" t="s">
        <v>1363</v>
      </c>
      <c r="I278" s="1">
        <v>67.87</v>
      </c>
      <c r="J278" s="1">
        <v>6331.2190149999997</v>
      </c>
      <c r="K278" t="s">
        <v>26</v>
      </c>
      <c r="M278" t="s">
        <v>22</v>
      </c>
      <c r="O278" s="3">
        <v>1E-4</v>
      </c>
      <c r="P278" t="s">
        <v>1365</v>
      </c>
    </row>
    <row r="279" spans="1:16">
      <c r="A279" t="s">
        <v>184</v>
      </c>
      <c r="B279" t="s">
        <v>209</v>
      </c>
      <c r="C279" t="str">
        <f>VLOOKUP(A279,#REF!,3,FALSE)</f>
        <v>US Equity</v>
      </c>
      <c r="D279">
        <v>688.82770000000005</v>
      </c>
      <c r="E279">
        <v>11111118</v>
      </c>
      <c r="F279" t="s">
        <v>1363</v>
      </c>
      <c r="G279" t="s">
        <v>1363</v>
      </c>
      <c r="I279" s="1">
        <v>32.72</v>
      </c>
      <c r="J279" s="1">
        <v>22538.442343999999</v>
      </c>
      <c r="K279" t="s">
        <v>26</v>
      </c>
      <c r="M279" t="s">
        <v>22</v>
      </c>
      <c r="O279" s="3">
        <v>2.9999999999999997E-4</v>
      </c>
      <c r="P279" t="s">
        <v>1366</v>
      </c>
    </row>
    <row r="280" spans="1:16">
      <c r="A280" t="s">
        <v>185</v>
      </c>
      <c r="B280" t="s">
        <v>210</v>
      </c>
      <c r="C280" t="str">
        <f>VLOOKUP(A280,#REF!,3,FALSE)</f>
        <v>US Equity</v>
      </c>
      <c r="D280" s="2">
        <v>1493.1222</v>
      </c>
      <c r="E280">
        <v>11111118</v>
      </c>
      <c r="F280" t="s">
        <v>1363</v>
      </c>
      <c r="G280" t="s">
        <v>1363</v>
      </c>
      <c r="I280" s="1">
        <v>29.2</v>
      </c>
      <c r="J280" s="1">
        <v>43599.168239999999</v>
      </c>
      <c r="K280" t="s">
        <v>26</v>
      </c>
      <c r="M280" t="s">
        <v>22</v>
      </c>
      <c r="O280" s="3">
        <v>5.0000000000000001E-4</v>
      </c>
      <c r="P280" t="s">
        <v>1367</v>
      </c>
    </row>
    <row r="281" spans="1:16">
      <c r="A281" t="s">
        <v>186</v>
      </c>
      <c r="B281" t="s">
        <v>211</v>
      </c>
      <c r="C281" t="str">
        <f>VLOOKUP(A281,#REF!,3,FALSE)</f>
        <v>US Equity</v>
      </c>
      <c r="D281">
        <v>58.641199999999998</v>
      </c>
      <c r="E281">
        <v>11111118</v>
      </c>
      <c r="F281" t="s">
        <v>1363</v>
      </c>
      <c r="G281" t="s">
        <v>1363</v>
      </c>
      <c r="I281" s="1">
        <v>147.56</v>
      </c>
      <c r="J281" s="1">
        <v>8653.0954719999991</v>
      </c>
      <c r="K281" t="s">
        <v>26</v>
      </c>
      <c r="M281" t="s">
        <v>22</v>
      </c>
      <c r="O281" s="3">
        <v>1E-4</v>
      </c>
      <c r="P281" t="s">
        <v>1368</v>
      </c>
    </row>
    <row r="282" spans="1:16">
      <c r="A282" t="s">
        <v>187</v>
      </c>
      <c r="B282" t="s">
        <v>212</v>
      </c>
      <c r="C282" t="str">
        <f>VLOOKUP(A282,#REF!,3,FALSE)</f>
        <v>US Equity</v>
      </c>
      <c r="D282">
        <v>742.62959999999998</v>
      </c>
      <c r="E282">
        <v>11111118</v>
      </c>
      <c r="F282" t="s">
        <v>1363</v>
      </c>
      <c r="G282" t="s">
        <v>1363</v>
      </c>
      <c r="I282" s="1">
        <v>32.414999999999999</v>
      </c>
      <c r="J282" s="1">
        <v>24072.338484</v>
      </c>
      <c r="K282" t="s">
        <v>26</v>
      </c>
      <c r="M282" t="s">
        <v>22</v>
      </c>
      <c r="O282" s="3">
        <v>2.9999999999999997E-4</v>
      </c>
      <c r="P282" t="s">
        <v>1369</v>
      </c>
    </row>
    <row r="283" spans="1:16">
      <c r="A283" t="s">
        <v>188</v>
      </c>
      <c r="B283" t="s">
        <v>213</v>
      </c>
      <c r="C283" t="str">
        <f>VLOOKUP(A283,#REF!,3,FALSE)</f>
        <v>US Equity</v>
      </c>
      <c r="D283">
        <v>120</v>
      </c>
      <c r="E283">
        <v>11111118</v>
      </c>
      <c r="F283" t="s">
        <v>1363</v>
      </c>
      <c r="G283" t="s">
        <v>1363</v>
      </c>
      <c r="I283" s="1">
        <v>97.79</v>
      </c>
      <c r="J283" s="1">
        <v>11734.800000000001</v>
      </c>
      <c r="K283" t="s">
        <v>26</v>
      </c>
      <c r="M283" t="s">
        <v>22</v>
      </c>
      <c r="O283" s="3">
        <v>1E-4</v>
      </c>
      <c r="P283" t="s">
        <v>1370</v>
      </c>
    </row>
    <row r="284" spans="1:16">
      <c r="A284" t="s">
        <v>151</v>
      </c>
      <c r="B284" t="s">
        <v>214</v>
      </c>
      <c r="C284" t="str">
        <f>VLOOKUP(A284,#REF!,3,FALSE)</f>
        <v>US Equity</v>
      </c>
      <c r="D284">
        <v>101</v>
      </c>
      <c r="E284">
        <v>11111118</v>
      </c>
      <c r="F284" t="s">
        <v>1363</v>
      </c>
      <c r="G284" t="s">
        <v>1363</v>
      </c>
      <c r="I284" s="1">
        <v>44.49</v>
      </c>
      <c r="J284" s="1">
        <v>4493.49</v>
      </c>
      <c r="K284" t="s">
        <v>24</v>
      </c>
      <c r="M284" t="s">
        <v>22</v>
      </c>
      <c r="O284" s="3">
        <v>1E-4</v>
      </c>
      <c r="P284" t="s">
        <v>1371</v>
      </c>
    </row>
    <row r="285" spans="1:16">
      <c r="A285" t="s">
        <v>189</v>
      </c>
      <c r="B285" t="s">
        <v>215</v>
      </c>
      <c r="C285" t="str">
        <f>VLOOKUP(A285,#REF!,3,FALSE)</f>
        <v>US Equity</v>
      </c>
      <c r="D285">
        <v>10</v>
      </c>
      <c r="E285">
        <v>11111118</v>
      </c>
      <c r="F285" t="s">
        <v>1363</v>
      </c>
      <c r="G285" t="s">
        <v>1363</v>
      </c>
      <c r="I285" s="1">
        <v>495.39</v>
      </c>
      <c r="J285" s="1">
        <v>4953.8999999999996</v>
      </c>
      <c r="K285" t="s">
        <v>24</v>
      </c>
      <c r="M285" t="s">
        <v>22</v>
      </c>
      <c r="O285" s="3">
        <v>1E-4</v>
      </c>
      <c r="P285" t="s">
        <v>1372</v>
      </c>
    </row>
    <row r="286" spans="1:16">
      <c r="A286" t="s">
        <v>32</v>
      </c>
      <c r="B286" t="s">
        <v>216</v>
      </c>
      <c r="C286" t="str">
        <f>VLOOKUP(A286,#REF!,3,FALSE)</f>
        <v>US Equity</v>
      </c>
      <c r="D286">
        <v>116.56959999999999</v>
      </c>
      <c r="E286">
        <v>11111118</v>
      </c>
      <c r="F286" t="s">
        <v>1363</v>
      </c>
      <c r="G286" t="s">
        <v>1363</v>
      </c>
      <c r="I286" s="1">
        <v>51.395000000000003</v>
      </c>
      <c r="J286" s="1">
        <v>5991.0945920000004</v>
      </c>
      <c r="K286" t="s">
        <v>26</v>
      </c>
      <c r="M286" t="s">
        <v>22</v>
      </c>
      <c r="O286" s="3">
        <v>1E-4</v>
      </c>
      <c r="P286" t="s">
        <v>1373</v>
      </c>
    </row>
    <row r="287" spans="1:16">
      <c r="A287" t="s">
        <v>190</v>
      </c>
      <c r="B287" t="s">
        <v>217</v>
      </c>
      <c r="C287" t="str">
        <f>VLOOKUP(A287,#REF!,3,FALSE)</f>
        <v>US Equity</v>
      </c>
      <c r="D287">
        <v>37</v>
      </c>
      <c r="E287">
        <v>11111118</v>
      </c>
      <c r="F287" t="s">
        <v>1363</v>
      </c>
      <c r="G287" t="s">
        <v>1363</v>
      </c>
      <c r="I287" s="1">
        <v>223.166</v>
      </c>
      <c r="J287" s="1">
        <v>8257.1419999999998</v>
      </c>
      <c r="K287" t="s">
        <v>26</v>
      </c>
      <c r="M287" t="s">
        <v>22</v>
      </c>
      <c r="O287" s="3">
        <v>1E-4</v>
      </c>
      <c r="P287" t="s">
        <v>1374</v>
      </c>
    </row>
    <row r="288" spans="1:16">
      <c r="A288" t="s">
        <v>191</v>
      </c>
      <c r="B288" t="s">
        <v>218</v>
      </c>
      <c r="C288" t="str">
        <f>VLOOKUP(A288,#REF!,3,FALSE)</f>
        <v>US Equity</v>
      </c>
      <c r="D288">
        <v>22.2178</v>
      </c>
      <c r="E288">
        <v>11111118</v>
      </c>
      <c r="F288" t="s">
        <v>1363</v>
      </c>
      <c r="G288" t="s">
        <v>1363</v>
      </c>
      <c r="I288" s="1">
        <v>184.70500000000001</v>
      </c>
      <c r="J288" s="1">
        <v>4103.7387490000001</v>
      </c>
      <c r="K288" t="s">
        <v>26</v>
      </c>
      <c r="M288" t="s">
        <v>22</v>
      </c>
      <c r="O288" s="3">
        <v>1E-4</v>
      </c>
      <c r="P288" t="s">
        <v>1375</v>
      </c>
    </row>
    <row r="289" spans="1:16">
      <c r="A289" t="s">
        <v>192</v>
      </c>
      <c r="B289" t="s">
        <v>219</v>
      </c>
      <c r="C289" t="str">
        <f>VLOOKUP(A289,#REF!,3,FALSE)</f>
        <v>US Equity</v>
      </c>
      <c r="D289">
        <v>30.236599999999999</v>
      </c>
      <c r="E289">
        <v>11111118</v>
      </c>
      <c r="F289" t="s">
        <v>1363</v>
      </c>
      <c r="G289" t="s">
        <v>1363</v>
      </c>
      <c r="I289" s="1">
        <v>55</v>
      </c>
      <c r="J289" s="1">
        <v>1663.0129999999999</v>
      </c>
      <c r="K289" t="s">
        <v>26</v>
      </c>
      <c r="M289" t="s">
        <v>22</v>
      </c>
      <c r="O289" s="3">
        <v>1E-4</v>
      </c>
      <c r="P289" t="s">
        <v>1376</v>
      </c>
    </row>
    <row r="290" spans="1:16">
      <c r="A290" t="s">
        <v>193</v>
      </c>
      <c r="B290" t="s">
        <v>220</v>
      </c>
      <c r="C290" t="str">
        <f>VLOOKUP(A290,#REF!,3,FALSE)</f>
        <v>US Equity</v>
      </c>
      <c r="D290">
        <v>21</v>
      </c>
      <c r="E290">
        <v>11111118</v>
      </c>
      <c r="F290" t="s">
        <v>1363</v>
      </c>
      <c r="G290" t="s">
        <v>1363</v>
      </c>
      <c r="I290" s="1">
        <v>134.89500000000001</v>
      </c>
      <c r="J290" s="1">
        <v>2832.7950000000001</v>
      </c>
      <c r="K290" t="s">
        <v>24</v>
      </c>
      <c r="M290" t="s">
        <v>22</v>
      </c>
      <c r="O290" s="3">
        <v>1E-4</v>
      </c>
      <c r="P290" t="s">
        <v>1377</v>
      </c>
    </row>
    <row r="291" spans="1:16">
      <c r="A291" t="s">
        <v>54</v>
      </c>
      <c r="B291" t="s">
        <v>221</v>
      </c>
      <c r="C291" t="str">
        <f>VLOOKUP(A291,#REF!,3,FALSE)</f>
        <v>US Equity</v>
      </c>
      <c r="D291">
        <v>6.0787000000000004</v>
      </c>
      <c r="E291">
        <v>11111118</v>
      </c>
      <c r="F291" t="s">
        <v>1363</v>
      </c>
      <c r="G291" t="s">
        <v>1363</v>
      </c>
      <c r="I291" s="1">
        <v>327.96</v>
      </c>
      <c r="J291" s="1">
        <v>1993.5704519999999</v>
      </c>
      <c r="K291" t="s">
        <v>26</v>
      </c>
      <c r="M291" t="s">
        <v>22</v>
      </c>
      <c r="O291" s="3">
        <v>0</v>
      </c>
      <c r="P291" t="s">
        <v>1378</v>
      </c>
    </row>
    <row r="292" spans="1:16">
      <c r="A292" t="s">
        <v>53</v>
      </c>
      <c r="B292" t="s">
        <v>222</v>
      </c>
      <c r="C292" t="str">
        <f>VLOOKUP(A292,#REF!,3,FALSE)</f>
        <v>US Equity</v>
      </c>
      <c r="D292">
        <v>114.3886</v>
      </c>
      <c r="E292">
        <v>11111118</v>
      </c>
      <c r="F292" t="s">
        <v>1363</v>
      </c>
      <c r="G292" t="s">
        <v>1363</v>
      </c>
      <c r="I292" s="1">
        <v>442.5</v>
      </c>
      <c r="J292" s="1">
        <v>50616.955499999996</v>
      </c>
      <c r="K292" t="s">
        <v>26</v>
      </c>
      <c r="M292" t="s">
        <v>22</v>
      </c>
      <c r="O292" s="3">
        <v>2.0000000000000001E-4</v>
      </c>
      <c r="P292" t="s">
        <v>1379</v>
      </c>
    </row>
    <row r="293" spans="1:16">
      <c r="A293" t="s">
        <v>155</v>
      </c>
      <c r="B293" t="s">
        <v>223</v>
      </c>
      <c r="C293" t="str">
        <f>VLOOKUP(A293,#REF!,3,FALSE)</f>
        <v>US Equity</v>
      </c>
      <c r="D293">
        <v>84.146500000000003</v>
      </c>
      <c r="E293">
        <v>11111118</v>
      </c>
      <c r="F293" t="s">
        <v>1363</v>
      </c>
      <c r="G293" t="s">
        <v>1363</v>
      </c>
      <c r="I293" s="1">
        <v>125.45</v>
      </c>
      <c r="J293" s="1">
        <v>10556.178425</v>
      </c>
      <c r="K293" t="s">
        <v>26</v>
      </c>
      <c r="M293" t="s">
        <v>22</v>
      </c>
      <c r="O293" s="3">
        <v>2.9999999999999997E-4</v>
      </c>
      <c r="P293" t="s">
        <v>1380</v>
      </c>
    </row>
    <row r="294" spans="1:16">
      <c r="A294" t="s">
        <v>31</v>
      </c>
      <c r="B294" t="s">
        <v>224</v>
      </c>
      <c r="C294" t="str">
        <f>VLOOKUP(A294,#REF!,3,FALSE)</f>
        <v>US Equity</v>
      </c>
      <c r="D294">
        <v>166</v>
      </c>
      <c r="E294">
        <v>11111118</v>
      </c>
      <c r="F294" t="s">
        <v>1363</v>
      </c>
      <c r="G294" t="s">
        <v>1363</v>
      </c>
      <c r="I294" s="1">
        <v>240.23</v>
      </c>
      <c r="J294" s="1">
        <v>39878.18</v>
      </c>
      <c r="K294" t="s">
        <v>24</v>
      </c>
      <c r="M294" t="s">
        <v>22</v>
      </c>
      <c r="O294" s="3">
        <v>1E-4</v>
      </c>
      <c r="P294" t="s">
        <v>1381</v>
      </c>
    </row>
    <row r="295" spans="1:16">
      <c r="A295" t="s">
        <v>194</v>
      </c>
      <c r="B295" t="s">
        <v>225</v>
      </c>
      <c r="C295" t="str">
        <f>VLOOKUP(A295,#REF!,3,FALSE)</f>
        <v>US Equity</v>
      </c>
      <c r="D295">
        <v>34.217100000000002</v>
      </c>
      <c r="E295">
        <v>11111118</v>
      </c>
      <c r="F295" t="s">
        <v>1363</v>
      </c>
      <c r="G295" t="s">
        <v>1363</v>
      </c>
      <c r="I295" s="1">
        <v>27.05</v>
      </c>
      <c r="J295" s="1">
        <v>925.57255500000008</v>
      </c>
      <c r="K295" t="s">
        <v>26</v>
      </c>
      <c r="M295" t="s">
        <v>22</v>
      </c>
      <c r="O295" s="3">
        <v>1E-4</v>
      </c>
      <c r="P295" t="s">
        <v>1382</v>
      </c>
    </row>
    <row r="296" spans="1:16">
      <c r="A296" t="s">
        <v>195</v>
      </c>
      <c r="B296" t="s">
        <v>226</v>
      </c>
      <c r="C296" t="str">
        <f>VLOOKUP(A296,#REF!,3,FALSE)</f>
        <v>US Equity</v>
      </c>
      <c r="D296">
        <v>66</v>
      </c>
      <c r="E296">
        <v>11111118</v>
      </c>
      <c r="F296" t="s">
        <v>1363</v>
      </c>
      <c r="G296" t="s">
        <v>1363</v>
      </c>
      <c r="I296" s="1">
        <v>126.08499999999999</v>
      </c>
      <c r="J296" s="1">
        <v>8321.6099999999988</v>
      </c>
      <c r="K296" t="s">
        <v>26</v>
      </c>
      <c r="M296" t="s">
        <v>22</v>
      </c>
      <c r="O296" s="3">
        <v>1E-4</v>
      </c>
      <c r="P296" t="s">
        <v>1383</v>
      </c>
    </row>
    <row r="297" spans="1:16">
      <c r="A297" t="s">
        <v>196</v>
      </c>
      <c r="B297" t="s">
        <v>227</v>
      </c>
      <c r="C297" t="str">
        <f>VLOOKUP(A297,#REF!,3,FALSE)</f>
        <v>US Equity</v>
      </c>
      <c r="D297">
        <v>391.29689999999999</v>
      </c>
      <c r="E297">
        <v>11111118</v>
      </c>
      <c r="F297" t="s">
        <v>1363</v>
      </c>
      <c r="G297" t="s">
        <v>1363</v>
      </c>
      <c r="I297" s="1">
        <v>145.91</v>
      </c>
      <c r="J297" s="1">
        <v>57094.130678999994</v>
      </c>
      <c r="K297" t="s">
        <v>26</v>
      </c>
      <c r="M297" t="s">
        <v>22</v>
      </c>
      <c r="O297" s="3">
        <v>1E-4</v>
      </c>
      <c r="P297" t="s">
        <v>1384</v>
      </c>
    </row>
    <row r="298" spans="1:16">
      <c r="A298" t="s">
        <v>197</v>
      </c>
      <c r="B298" t="s">
        <v>228</v>
      </c>
      <c r="C298" t="str">
        <f>VLOOKUP(A298,#REF!,3,FALSE)</f>
        <v>US Equity</v>
      </c>
      <c r="D298">
        <v>149.1523</v>
      </c>
      <c r="E298">
        <v>11111118</v>
      </c>
      <c r="F298" t="s">
        <v>1363</v>
      </c>
      <c r="G298" t="s">
        <v>1363</v>
      </c>
      <c r="I298" s="1">
        <v>20.335000000000001</v>
      </c>
      <c r="J298" s="1">
        <v>3033.0120204999998</v>
      </c>
      <c r="K298" t="s">
        <v>26</v>
      </c>
      <c r="M298" t="s">
        <v>22</v>
      </c>
      <c r="O298" s="3">
        <v>1E-4</v>
      </c>
      <c r="P298" t="s">
        <v>1385</v>
      </c>
    </row>
    <row r="299" spans="1:16">
      <c r="A299" t="s">
        <v>34</v>
      </c>
      <c r="B299" t="s">
        <v>229</v>
      </c>
      <c r="C299" t="str">
        <f>VLOOKUP(A299,#REF!,3,FALSE)</f>
        <v>US Equity</v>
      </c>
      <c r="D299">
        <v>16</v>
      </c>
      <c r="E299">
        <v>11111118</v>
      </c>
      <c r="F299" t="s">
        <v>1363</v>
      </c>
      <c r="G299" t="s">
        <v>1363</v>
      </c>
      <c r="I299" s="1">
        <v>40.42</v>
      </c>
      <c r="J299" s="1">
        <v>646.72</v>
      </c>
      <c r="K299" t="s">
        <v>24</v>
      </c>
      <c r="M299" t="s">
        <v>22</v>
      </c>
      <c r="O299" s="3">
        <v>1E-4</v>
      </c>
      <c r="P299" t="s">
        <v>1386</v>
      </c>
    </row>
    <row r="300" spans="1:16">
      <c r="A300" t="s">
        <v>198</v>
      </c>
      <c r="B300" t="s">
        <v>230</v>
      </c>
      <c r="C300" t="str">
        <f>VLOOKUP(A300,#REF!,3,FALSE)</f>
        <v>US Equity</v>
      </c>
      <c r="D300">
        <v>45</v>
      </c>
      <c r="E300">
        <v>11111118</v>
      </c>
      <c r="F300" t="s">
        <v>1363</v>
      </c>
      <c r="G300" t="s">
        <v>1363</v>
      </c>
      <c r="I300" s="1">
        <v>12.414999999999999</v>
      </c>
      <c r="J300" s="1">
        <v>558.67499999999995</v>
      </c>
      <c r="K300" t="s">
        <v>26</v>
      </c>
      <c r="M300" t="s">
        <v>22</v>
      </c>
      <c r="O300" s="3">
        <v>0</v>
      </c>
      <c r="P300" t="s">
        <v>1387</v>
      </c>
    </row>
    <row r="301" spans="1:16">
      <c r="A301" t="s">
        <v>199</v>
      </c>
      <c r="B301" t="s">
        <v>231</v>
      </c>
      <c r="C301" t="str">
        <f>VLOOKUP(A301,#REF!,3,FALSE)</f>
        <v>US Equity</v>
      </c>
      <c r="D301">
        <v>6.0260999999999996</v>
      </c>
      <c r="E301">
        <v>11111118</v>
      </c>
      <c r="F301" t="s">
        <v>1363</v>
      </c>
      <c r="G301" t="s">
        <v>1363</v>
      </c>
      <c r="I301" s="1">
        <v>288.79000000000002</v>
      </c>
      <c r="J301" s="1">
        <v>1740.277419</v>
      </c>
      <c r="K301" t="s">
        <v>26</v>
      </c>
      <c r="M301" t="s">
        <v>22</v>
      </c>
      <c r="O301" s="3">
        <v>0</v>
      </c>
      <c r="P301" t="s">
        <v>1388</v>
      </c>
    </row>
    <row r="302" spans="1:16">
      <c r="A302" t="s">
        <v>1148</v>
      </c>
      <c r="B302" t="s">
        <v>1149</v>
      </c>
      <c r="C302" t="str">
        <f>VLOOKUP(A302,#REF!,3,FALSE)</f>
        <v>Emerging</v>
      </c>
      <c r="D302">
        <v>53.636299999999999</v>
      </c>
      <c r="E302">
        <v>11111118</v>
      </c>
      <c r="F302" t="s">
        <v>1363</v>
      </c>
      <c r="G302" t="s">
        <v>1363</v>
      </c>
      <c r="I302" s="1">
        <v>78.644999999999996</v>
      </c>
      <c r="J302" s="1">
        <v>4218.2268134999995</v>
      </c>
      <c r="K302" t="s">
        <v>26</v>
      </c>
      <c r="M302" t="s">
        <v>22</v>
      </c>
      <c r="O302" s="3">
        <v>1E-4</v>
      </c>
      <c r="P302" t="s">
        <v>1389</v>
      </c>
    </row>
    <row r="303" spans="1:16">
      <c r="A303" t="s">
        <v>1151</v>
      </c>
      <c r="B303" t="s">
        <v>1152</v>
      </c>
      <c r="C303" t="str">
        <f>VLOOKUP(A303,#REF!,3,FALSE)</f>
        <v>Emerging</v>
      </c>
      <c r="D303">
        <v>59.256700000000002</v>
      </c>
      <c r="E303">
        <v>11111118</v>
      </c>
      <c r="F303" t="s">
        <v>1363</v>
      </c>
      <c r="G303" t="s">
        <v>1363</v>
      </c>
      <c r="I303" s="1">
        <v>282.38</v>
      </c>
      <c r="J303" s="1">
        <v>16732.906945999999</v>
      </c>
      <c r="K303" t="s">
        <v>26</v>
      </c>
      <c r="M303" t="s">
        <v>22</v>
      </c>
      <c r="O303" s="3">
        <v>2.9999999999999997E-4</v>
      </c>
      <c r="P303" t="s">
        <v>1390</v>
      </c>
    </row>
    <row r="304" spans="1:16">
      <c r="A304" t="s">
        <v>1154</v>
      </c>
      <c r="B304" t="s">
        <v>1155</v>
      </c>
      <c r="C304" t="str">
        <f>VLOOKUP(A304,#REF!,3,FALSE)</f>
        <v>Emerging</v>
      </c>
      <c r="D304">
        <v>159</v>
      </c>
      <c r="E304">
        <v>11111118</v>
      </c>
      <c r="F304" t="s">
        <v>1363</v>
      </c>
      <c r="G304" t="s">
        <v>1363</v>
      </c>
      <c r="I304" s="1">
        <v>94.265000000000001</v>
      </c>
      <c r="J304" s="1">
        <v>14988.135</v>
      </c>
      <c r="K304" t="s">
        <v>24</v>
      </c>
      <c r="M304" t="s">
        <v>22</v>
      </c>
      <c r="O304" s="3">
        <v>1E-4</v>
      </c>
      <c r="P304" t="s">
        <v>1391</v>
      </c>
    </row>
    <row r="305" spans="1:16">
      <c r="A305" t="s">
        <v>1157</v>
      </c>
      <c r="B305" t="s">
        <v>1158</v>
      </c>
      <c r="C305" t="str">
        <f>VLOOKUP(A305,#REF!,3,FALSE)</f>
        <v>Intl</v>
      </c>
      <c r="D305">
        <v>28.2621</v>
      </c>
      <c r="E305">
        <v>11111118</v>
      </c>
      <c r="F305" t="s">
        <v>1363</v>
      </c>
      <c r="G305" t="s">
        <v>1363</v>
      </c>
      <c r="I305" s="1">
        <v>126.29</v>
      </c>
      <c r="J305" s="1">
        <v>3569.2206090000004</v>
      </c>
      <c r="K305" t="s">
        <v>26</v>
      </c>
      <c r="M305" t="s">
        <v>22</v>
      </c>
      <c r="O305" s="3">
        <v>1E-4</v>
      </c>
      <c r="P305" t="s">
        <v>1392</v>
      </c>
    </row>
    <row r="306" spans="1:16">
      <c r="A306" t="s">
        <v>1160</v>
      </c>
      <c r="B306" t="s">
        <v>1161</v>
      </c>
      <c r="C306" t="str">
        <f>VLOOKUP(A306,#REF!,3,FALSE)</f>
        <v>Intl</v>
      </c>
      <c r="D306">
        <v>74.020200000000003</v>
      </c>
      <c r="E306">
        <v>11111118</v>
      </c>
      <c r="F306" t="s">
        <v>1363</v>
      </c>
      <c r="G306" t="s">
        <v>1363</v>
      </c>
      <c r="I306" s="1">
        <v>44.564999999999998</v>
      </c>
      <c r="J306" s="1">
        <v>3298.7102129999998</v>
      </c>
      <c r="K306" t="s">
        <v>26</v>
      </c>
      <c r="M306" t="s">
        <v>22</v>
      </c>
      <c r="O306" s="3">
        <v>1E-4</v>
      </c>
      <c r="P306" t="s">
        <v>1393</v>
      </c>
    </row>
    <row r="307" spans="1:16">
      <c r="A307" t="s">
        <v>1163</v>
      </c>
      <c r="B307" t="s">
        <v>1164</v>
      </c>
      <c r="C307" t="str">
        <f>VLOOKUP(A307,#REF!,3,FALSE)</f>
        <v>Intl</v>
      </c>
      <c r="D307" s="2">
        <v>11000</v>
      </c>
      <c r="E307">
        <v>11111118</v>
      </c>
      <c r="F307" t="s">
        <v>1363</v>
      </c>
      <c r="G307" t="s">
        <v>1363</v>
      </c>
      <c r="I307" s="1">
        <v>395.25</v>
      </c>
      <c r="J307" s="1">
        <v>4347750</v>
      </c>
      <c r="M307" t="s">
        <v>22</v>
      </c>
      <c r="O307" s="3">
        <v>0</v>
      </c>
      <c r="P307" t="s">
        <v>23</v>
      </c>
    </row>
    <row r="308" spans="1:16">
      <c r="A308" t="s">
        <v>80</v>
      </c>
      <c r="B308" t="s">
        <v>1166</v>
      </c>
      <c r="C308" t="str">
        <f>VLOOKUP(A308,#REF!,3,FALSE)</f>
        <v>Intl</v>
      </c>
      <c r="D308" s="2">
        <v>10000</v>
      </c>
      <c r="E308">
        <v>11111118</v>
      </c>
      <c r="F308" t="s">
        <v>1363</v>
      </c>
      <c r="G308" t="s">
        <v>1363</v>
      </c>
      <c r="I308" s="1">
        <v>50.354999999999997</v>
      </c>
      <c r="J308" s="1">
        <v>503549.99999999994</v>
      </c>
      <c r="M308" t="s">
        <v>22</v>
      </c>
      <c r="O308" s="3">
        <v>1E-4</v>
      </c>
      <c r="P308" t="s">
        <v>23</v>
      </c>
    </row>
    <row r="309" spans="1:16">
      <c r="A309" t="s">
        <v>156</v>
      </c>
      <c r="B309" t="s">
        <v>1168</v>
      </c>
      <c r="C309" t="str">
        <f>VLOOKUP(A309,#REF!,3,FALSE)</f>
        <v>MMF</v>
      </c>
      <c r="D309" s="2">
        <v>32135.32</v>
      </c>
      <c r="E309">
        <v>11111118</v>
      </c>
      <c r="F309" t="s">
        <v>1363</v>
      </c>
      <c r="G309" t="s">
        <v>1363</v>
      </c>
      <c r="I309" s="1">
        <v>1</v>
      </c>
      <c r="J309" s="1">
        <v>32135.32</v>
      </c>
      <c r="K309" t="s">
        <v>26</v>
      </c>
      <c r="L309" t="s">
        <v>26</v>
      </c>
      <c r="M309" t="s">
        <v>22</v>
      </c>
      <c r="O309" s="3">
        <v>4.0000000000000002E-4</v>
      </c>
      <c r="P309" t="s">
        <v>23</v>
      </c>
    </row>
    <row r="310" spans="1:16">
      <c r="A310" t="s">
        <v>29</v>
      </c>
      <c r="B310" t="s">
        <v>208</v>
      </c>
      <c r="C310" t="str">
        <f>VLOOKUP(A310,#REF!,3,FALSE)</f>
        <v>US Equity</v>
      </c>
      <c r="D310" s="2">
        <v>1010.1181</v>
      </c>
      <c r="E310">
        <v>11111119</v>
      </c>
      <c r="F310" t="s">
        <v>1394</v>
      </c>
      <c r="G310" t="s">
        <v>1394</v>
      </c>
      <c r="I310" s="1">
        <v>67.87</v>
      </c>
      <c r="J310" s="1">
        <v>68556.71544700001</v>
      </c>
      <c r="K310" t="s">
        <v>26</v>
      </c>
      <c r="M310" t="s">
        <v>22</v>
      </c>
      <c r="O310" s="3">
        <v>1.6999999999999999E-3</v>
      </c>
      <c r="P310" t="s">
        <v>1395</v>
      </c>
    </row>
    <row r="311" spans="1:16">
      <c r="A311" t="s">
        <v>184</v>
      </c>
      <c r="B311" t="s">
        <v>209</v>
      </c>
      <c r="C311" t="str">
        <f>VLOOKUP(A311,#REF!,3,FALSE)</f>
        <v>US Equity</v>
      </c>
      <c r="D311">
        <v>900</v>
      </c>
      <c r="E311">
        <v>11111119</v>
      </c>
      <c r="F311" t="s">
        <v>1394</v>
      </c>
      <c r="G311" t="s">
        <v>1394</v>
      </c>
      <c r="I311" s="1">
        <v>32.72</v>
      </c>
      <c r="J311" s="1">
        <v>29448</v>
      </c>
      <c r="K311" t="s">
        <v>26</v>
      </c>
      <c r="M311" t="s">
        <v>22</v>
      </c>
      <c r="O311" s="3">
        <v>1.1000000000000001E-3</v>
      </c>
      <c r="P311" t="s">
        <v>1396</v>
      </c>
    </row>
    <row r="312" spans="1:16">
      <c r="A312" t="s">
        <v>185</v>
      </c>
      <c r="B312" t="s">
        <v>210</v>
      </c>
      <c r="C312" t="str">
        <f>VLOOKUP(A312,#REF!,3,FALSE)</f>
        <v>US Equity</v>
      </c>
      <c r="D312">
        <v>148</v>
      </c>
      <c r="E312">
        <v>11111119</v>
      </c>
      <c r="F312" t="s">
        <v>1394</v>
      </c>
      <c r="G312" t="s">
        <v>1394</v>
      </c>
      <c r="I312" s="1">
        <v>29.2</v>
      </c>
      <c r="J312" s="1">
        <v>4321.5999999999995</v>
      </c>
      <c r="K312" t="s">
        <v>24</v>
      </c>
      <c r="M312" t="s">
        <v>22</v>
      </c>
      <c r="O312" s="3">
        <v>2.0000000000000001E-4</v>
      </c>
      <c r="P312" t="s">
        <v>1397</v>
      </c>
    </row>
    <row r="313" spans="1:16">
      <c r="A313" t="s">
        <v>186</v>
      </c>
      <c r="B313" t="s">
        <v>211</v>
      </c>
      <c r="C313" t="str">
        <f>VLOOKUP(A313,#REF!,3,FALSE)</f>
        <v>US Equity</v>
      </c>
      <c r="D313">
        <v>356.60340000000002</v>
      </c>
      <c r="E313">
        <v>11111119</v>
      </c>
      <c r="F313" t="s">
        <v>1394</v>
      </c>
      <c r="G313" t="s">
        <v>1394</v>
      </c>
      <c r="I313" s="1">
        <v>147.56</v>
      </c>
      <c r="J313" s="1">
        <v>52620.397704000003</v>
      </c>
      <c r="K313" t="s">
        <v>26</v>
      </c>
      <c r="M313" t="s">
        <v>22</v>
      </c>
      <c r="O313" s="3">
        <v>4.0000000000000002E-4</v>
      </c>
      <c r="P313" t="s">
        <v>1398</v>
      </c>
    </row>
    <row r="314" spans="1:16">
      <c r="A314" t="s">
        <v>187</v>
      </c>
      <c r="B314" t="s">
        <v>212</v>
      </c>
      <c r="C314" t="str">
        <f>VLOOKUP(A314,#REF!,3,FALSE)</f>
        <v>US Equity</v>
      </c>
      <c r="D314">
        <v>303</v>
      </c>
      <c r="E314">
        <v>11111119</v>
      </c>
      <c r="F314" t="s">
        <v>1394</v>
      </c>
      <c r="G314" t="s">
        <v>1394</v>
      </c>
      <c r="I314" s="1">
        <v>32.414999999999999</v>
      </c>
      <c r="J314" s="1">
        <v>9821.744999999999</v>
      </c>
      <c r="K314" t="s">
        <v>24</v>
      </c>
      <c r="M314" t="s">
        <v>22</v>
      </c>
      <c r="O314" s="3">
        <v>5.0000000000000001E-4</v>
      </c>
      <c r="P314" t="s">
        <v>1399</v>
      </c>
    </row>
    <row r="315" spans="1:16">
      <c r="A315" t="s">
        <v>188</v>
      </c>
      <c r="B315" t="s">
        <v>213</v>
      </c>
      <c r="C315" t="str">
        <f>VLOOKUP(A315,#REF!,3,FALSE)</f>
        <v>US Equity</v>
      </c>
      <c r="D315">
        <v>12</v>
      </c>
      <c r="E315">
        <v>11111119</v>
      </c>
      <c r="F315" t="s">
        <v>1394</v>
      </c>
      <c r="G315" t="s">
        <v>1394</v>
      </c>
      <c r="I315" s="1">
        <v>97.79</v>
      </c>
      <c r="J315" s="1">
        <v>1173.48</v>
      </c>
      <c r="K315" t="s">
        <v>26</v>
      </c>
      <c r="M315" t="s">
        <v>22</v>
      </c>
      <c r="O315" s="3">
        <v>2.9999999999999997E-4</v>
      </c>
      <c r="P315" t="s">
        <v>1400</v>
      </c>
    </row>
    <row r="316" spans="1:16">
      <c r="A316" t="s">
        <v>151</v>
      </c>
      <c r="B316" t="s">
        <v>214</v>
      </c>
      <c r="C316" t="str">
        <f>VLOOKUP(A316,#REF!,3,FALSE)</f>
        <v>US Equity</v>
      </c>
      <c r="D316">
        <v>34.297800000000002</v>
      </c>
      <c r="E316">
        <v>11111119</v>
      </c>
      <c r="F316" t="s">
        <v>1394</v>
      </c>
      <c r="G316" t="s">
        <v>1394</v>
      </c>
      <c r="I316" s="1">
        <v>44.49</v>
      </c>
      <c r="J316" s="1">
        <v>1525.9091220000003</v>
      </c>
      <c r="K316" t="s">
        <v>26</v>
      </c>
      <c r="M316" t="s">
        <v>22</v>
      </c>
      <c r="O316" s="3">
        <v>2.9999999999999997E-4</v>
      </c>
      <c r="P316" t="s">
        <v>1401</v>
      </c>
    </row>
    <row r="317" spans="1:16">
      <c r="A317" t="s">
        <v>189</v>
      </c>
      <c r="B317" t="s">
        <v>215</v>
      </c>
      <c r="C317" t="str">
        <f>VLOOKUP(A317,#REF!,3,FALSE)</f>
        <v>US Equity</v>
      </c>
      <c r="D317">
        <v>72.652699999999996</v>
      </c>
      <c r="E317">
        <v>11111119</v>
      </c>
      <c r="F317" t="s">
        <v>1394</v>
      </c>
      <c r="G317" t="s">
        <v>1394</v>
      </c>
      <c r="I317" s="1">
        <v>495.39</v>
      </c>
      <c r="J317" s="1">
        <v>35991.421052999998</v>
      </c>
      <c r="K317" t="s">
        <v>26</v>
      </c>
      <c r="M317" t="s">
        <v>22</v>
      </c>
      <c r="O317" s="3">
        <v>2.9999999999999997E-4</v>
      </c>
      <c r="P317" t="s">
        <v>1402</v>
      </c>
    </row>
    <row r="318" spans="1:16">
      <c r="A318" t="s">
        <v>32</v>
      </c>
      <c r="B318" t="s">
        <v>216</v>
      </c>
      <c r="C318" t="str">
        <f>VLOOKUP(A318,#REF!,3,FALSE)</f>
        <v>US Equity</v>
      </c>
      <c r="D318">
        <v>174</v>
      </c>
      <c r="E318">
        <v>11111119</v>
      </c>
      <c r="F318" t="s">
        <v>1394</v>
      </c>
      <c r="G318" t="s">
        <v>1394</v>
      </c>
      <c r="I318" s="1">
        <v>51.395000000000003</v>
      </c>
      <c r="J318" s="1">
        <v>8942.7300000000014</v>
      </c>
      <c r="K318" t="s">
        <v>24</v>
      </c>
      <c r="M318" t="s">
        <v>22</v>
      </c>
      <c r="O318" s="3">
        <v>5.9999999999999995E-4</v>
      </c>
      <c r="P318" t="s">
        <v>1403</v>
      </c>
    </row>
    <row r="319" spans="1:16">
      <c r="A319" t="s">
        <v>190</v>
      </c>
      <c r="B319" t="s">
        <v>217</v>
      </c>
      <c r="C319" t="str">
        <f>VLOOKUP(A319,#REF!,3,FALSE)</f>
        <v>US Equity</v>
      </c>
      <c r="D319">
        <v>411.06709999999998</v>
      </c>
      <c r="E319">
        <v>11111119</v>
      </c>
      <c r="F319" t="s">
        <v>1394</v>
      </c>
      <c r="G319" t="s">
        <v>1394</v>
      </c>
      <c r="I319" s="1">
        <v>223.166</v>
      </c>
      <c r="J319" s="1">
        <v>91736.20043859999</v>
      </c>
      <c r="K319" t="s">
        <v>26</v>
      </c>
      <c r="M319" t="s">
        <v>22</v>
      </c>
      <c r="O319" s="3">
        <v>2.9999999999999997E-4</v>
      </c>
      <c r="P319" t="s">
        <v>1404</v>
      </c>
    </row>
    <row r="320" spans="1:16">
      <c r="A320" t="s">
        <v>191</v>
      </c>
      <c r="B320" t="s">
        <v>218</v>
      </c>
      <c r="C320" t="str">
        <f>VLOOKUP(A320,#REF!,3,FALSE)</f>
        <v>US Equity</v>
      </c>
      <c r="D320" s="2">
        <v>2421.6680999999999</v>
      </c>
      <c r="E320">
        <v>11111119</v>
      </c>
      <c r="F320" t="s">
        <v>1394</v>
      </c>
      <c r="G320" t="s">
        <v>1394</v>
      </c>
      <c r="I320" s="1">
        <v>184.70500000000001</v>
      </c>
      <c r="J320" s="1">
        <v>447294.20641049999</v>
      </c>
      <c r="K320" t="s">
        <v>26</v>
      </c>
      <c r="M320" t="s">
        <v>22</v>
      </c>
      <c r="O320" s="3">
        <v>1E-3</v>
      </c>
      <c r="P320" t="s">
        <v>1405</v>
      </c>
    </row>
    <row r="321" spans="1:16">
      <c r="A321" t="s">
        <v>192</v>
      </c>
      <c r="B321" t="s">
        <v>219</v>
      </c>
      <c r="C321" t="str">
        <f>VLOOKUP(A321,#REF!,3,FALSE)</f>
        <v>US Equity</v>
      </c>
      <c r="D321" s="2">
        <v>5248.4530999999997</v>
      </c>
      <c r="E321">
        <v>11111119</v>
      </c>
      <c r="F321" t="s">
        <v>1394</v>
      </c>
      <c r="G321" t="s">
        <v>1394</v>
      </c>
      <c r="I321" s="1">
        <v>55</v>
      </c>
      <c r="J321" s="1">
        <v>288664.92050000001</v>
      </c>
      <c r="K321" t="s">
        <v>26</v>
      </c>
      <c r="M321" t="s">
        <v>22</v>
      </c>
      <c r="O321" s="3">
        <v>1.9E-3</v>
      </c>
      <c r="P321" t="s">
        <v>1406</v>
      </c>
    </row>
    <row r="322" spans="1:16">
      <c r="A322" t="s">
        <v>193</v>
      </c>
      <c r="B322" t="s">
        <v>220</v>
      </c>
      <c r="C322" t="str">
        <f>VLOOKUP(A322,#REF!,3,FALSE)</f>
        <v>US Equity</v>
      </c>
      <c r="D322">
        <v>348.09649999999999</v>
      </c>
      <c r="E322">
        <v>11111119</v>
      </c>
      <c r="F322" t="s">
        <v>1394</v>
      </c>
      <c r="G322" t="s">
        <v>1394</v>
      </c>
      <c r="I322" s="1">
        <v>134.89500000000001</v>
      </c>
      <c r="J322" s="1">
        <v>46956.477367500003</v>
      </c>
      <c r="K322" t="s">
        <v>26</v>
      </c>
      <c r="M322" t="s">
        <v>22</v>
      </c>
      <c r="O322" s="3">
        <v>5.9999999999999995E-4</v>
      </c>
      <c r="P322" t="s">
        <v>1407</v>
      </c>
    </row>
    <row r="323" spans="1:16">
      <c r="A323" t="s">
        <v>54</v>
      </c>
      <c r="B323" t="s">
        <v>221</v>
      </c>
      <c r="C323" t="str">
        <f>VLOOKUP(A323,#REF!,3,FALSE)</f>
        <v>US Equity</v>
      </c>
      <c r="D323" s="2">
        <v>2605.8431999999998</v>
      </c>
      <c r="E323">
        <v>11111119</v>
      </c>
      <c r="F323" t="s">
        <v>1394</v>
      </c>
      <c r="G323" t="s">
        <v>1394</v>
      </c>
      <c r="I323" s="1">
        <v>327.96</v>
      </c>
      <c r="J323" s="1">
        <v>854612.33587199985</v>
      </c>
      <c r="K323" t="s">
        <v>26</v>
      </c>
      <c r="M323" t="s">
        <v>22</v>
      </c>
      <c r="O323" s="3">
        <v>1.1000000000000001E-3</v>
      </c>
      <c r="P323" t="s">
        <v>1408</v>
      </c>
    </row>
    <row r="324" spans="1:16">
      <c r="A324" t="s">
        <v>53</v>
      </c>
      <c r="B324" t="s">
        <v>222</v>
      </c>
      <c r="C324" t="str">
        <f>VLOOKUP(A324,#REF!,3,FALSE)</f>
        <v>US Equity</v>
      </c>
      <c r="D324">
        <v>580</v>
      </c>
      <c r="E324">
        <v>11111119</v>
      </c>
      <c r="F324" t="s">
        <v>1394</v>
      </c>
      <c r="G324" t="s">
        <v>1394</v>
      </c>
      <c r="I324" s="1">
        <v>442.5</v>
      </c>
      <c r="J324" s="1">
        <v>256650</v>
      </c>
      <c r="K324" t="s">
        <v>26</v>
      </c>
      <c r="M324" t="s">
        <v>22</v>
      </c>
      <c r="O324" s="3">
        <v>6.9999999999999999E-4</v>
      </c>
      <c r="P324" t="s">
        <v>1409</v>
      </c>
    </row>
    <row r="325" spans="1:16">
      <c r="A325" t="s">
        <v>155</v>
      </c>
      <c r="B325" t="s">
        <v>223</v>
      </c>
      <c r="C325" t="str">
        <f>VLOOKUP(A325,#REF!,3,FALSE)</f>
        <v>US Equity</v>
      </c>
      <c r="D325">
        <v>512</v>
      </c>
      <c r="E325">
        <v>11111119</v>
      </c>
      <c r="F325" t="s">
        <v>1394</v>
      </c>
      <c r="G325" t="s">
        <v>1394</v>
      </c>
      <c r="I325" s="1">
        <v>125.45</v>
      </c>
      <c r="J325" s="1">
        <v>64230.400000000001</v>
      </c>
      <c r="K325" t="s">
        <v>24</v>
      </c>
      <c r="M325" t="s">
        <v>22</v>
      </c>
      <c r="O325" s="3">
        <v>2.9999999999999997E-4</v>
      </c>
      <c r="P325" t="s">
        <v>1410</v>
      </c>
    </row>
    <row r="326" spans="1:16">
      <c r="A326" t="s">
        <v>31</v>
      </c>
      <c r="B326" t="s">
        <v>224</v>
      </c>
      <c r="C326" t="str">
        <f>VLOOKUP(A326,#REF!,3,FALSE)</f>
        <v>US Equity</v>
      </c>
      <c r="D326">
        <v>49</v>
      </c>
      <c r="E326">
        <v>11111119</v>
      </c>
      <c r="F326" t="s">
        <v>1394</v>
      </c>
      <c r="G326" t="s">
        <v>1394</v>
      </c>
      <c r="I326" s="1">
        <v>240.23</v>
      </c>
      <c r="J326" s="1">
        <v>11771.269999999999</v>
      </c>
      <c r="K326" t="s">
        <v>24</v>
      </c>
      <c r="M326" t="s">
        <v>22</v>
      </c>
      <c r="O326" s="3">
        <v>2.9999999999999997E-4</v>
      </c>
      <c r="P326" t="s">
        <v>1411</v>
      </c>
    </row>
    <row r="327" spans="1:16">
      <c r="A327" t="s">
        <v>194</v>
      </c>
      <c r="B327" t="s">
        <v>225</v>
      </c>
      <c r="C327" t="str">
        <f>VLOOKUP(A327,#REF!,3,FALSE)</f>
        <v>US Equity</v>
      </c>
      <c r="D327" s="2">
        <v>12409.1</v>
      </c>
      <c r="E327">
        <v>11111119</v>
      </c>
      <c r="F327" t="s">
        <v>1394</v>
      </c>
      <c r="G327" t="s">
        <v>1394</v>
      </c>
      <c r="I327" s="1">
        <v>27.05</v>
      </c>
      <c r="J327" s="1">
        <v>335666.15500000003</v>
      </c>
      <c r="K327" t="s">
        <v>26</v>
      </c>
      <c r="M327" t="s">
        <v>22</v>
      </c>
      <c r="O327" s="3">
        <v>7.9000000000000008E-3</v>
      </c>
      <c r="P327" t="s">
        <v>1412</v>
      </c>
    </row>
    <row r="328" spans="1:16">
      <c r="A328" t="s">
        <v>195</v>
      </c>
      <c r="B328" t="s">
        <v>226</v>
      </c>
      <c r="C328" t="str">
        <f>VLOOKUP(A328,#REF!,3,FALSE)</f>
        <v>US Equity</v>
      </c>
      <c r="D328">
        <v>164</v>
      </c>
      <c r="E328">
        <v>11111119</v>
      </c>
      <c r="F328" t="s">
        <v>1394</v>
      </c>
      <c r="G328" t="s">
        <v>1394</v>
      </c>
      <c r="I328" s="1">
        <v>126.08499999999999</v>
      </c>
      <c r="J328" s="1">
        <v>20677.939999999999</v>
      </c>
      <c r="K328" t="s">
        <v>26</v>
      </c>
      <c r="M328" t="s">
        <v>22</v>
      </c>
      <c r="O328" s="3">
        <v>5.0000000000000001E-4</v>
      </c>
      <c r="P328" t="s">
        <v>1413</v>
      </c>
    </row>
    <row r="329" spans="1:16">
      <c r="A329" t="s">
        <v>196</v>
      </c>
      <c r="B329" t="s">
        <v>227</v>
      </c>
      <c r="C329" t="str">
        <f>VLOOKUP(A329,#REF!,3,FALSE)</f>
        <v>US Equity</v>
      </c>
      <c r="D329">
        <v>144.4162</v>
      </c>
      <c r="E329">
        <v>11111119</v>
      </c>
      <c r="F329" t="s">
        <v>1394</v>
      </c>
      <c r="G329" t="s">
        <v>1394</v>
      </c>
      <c r="I329" s="1">
        <v>145.91</v>
      </c>
      <c r="J329" s="1">
        <v>21071.767742</v>
      </c>
      <c r="K329" t="s">
        <v>26</v>
      </c>
      <c r="M329" t="s">
        <v>22</v>
      </c>
      <c r="O329" s="3">
        <v>2.9999999999999997E-4</v>
      </c>
      <c r="P329" t="s">
        <v>1414</v>
      </c>
    </row>
    <row r="330" spans="1:16">
      <c r="A330" t="s">
        <v>197</v>
      </c>
      <c r="B330" t="s">
        <v>228</v>
      </c>
      <c r="C330" t="str">
        <f>VLOOKUP(A330,#REF!,3,FALSE)</f>
        <v>US Equity</v>
      </c>
      <c r="D330">
        <v>194.52199999999999</v>
      </c>
      <c r="E330">
        <v>11111119</v>
      </c>
      <c r="F330" t="s">
        <v>1394</v>
      </c>
      <c r="G330" t="s">
        <v>1394</v>
      </c>
      <c r="I330" s="1">
        <v>20.335000000000001</v>
      </c>
      <c r="J330" s="1">
        <v>3955.6048700000001</v>
      </c>
      <c r="K330" t="s">
        <v>26</v>
      </c>
      <c r="M330" t="s">
        <v>22</v>
      </c>
      <c r="O330" s="3">
        <v>2.9999999999999997E-4</v>
      </c>
      <c r="P330" t="s">
        <v>1415</v>
      </c>
    </row>
    <row r="331" spans="1:16">
      <c r="A331" t="s">
        <v>34</v>
      </c>
      <c r="B331" t="s">
        <v>229</v>
      </c>
      <c r="C331" t="str">
        <f>VLOOKUP(A331,#REF!,3,FALSE)</f>
        <v>US Equity</v>
      </c>
      <c r="D331">
        <v>96</v>
      </c>
      <c r="E331">
        <v>11111119</v>
      </c>
      <c r="F331" t="s">
        <v>1394</v>
      </c>
      <c r="G331" t="s">
        <v>1394</v>
      </c>
      <c r="I331" s="1">
        <v>40.42</v>
      </c>
      <c r="J331" s="1">
        <v>3880.32</v>
      </c>
      <c r="K331" t="s">
        <v>24</v>
      </c>
      <c r="M331" t="s">
        <v>22</v>
      </c>
      <c r="O331" s="3">
        <v>4.0000000000000002E-4</v>
      </c>
      <c r="P331" t="s">
        <v>1416</v>
      </c>
    </row>
    <row r="332" spans="1:16">
      <c r="A332" t="s">
        <v>198</v>
      </c>
      <c r="B332" t="s">
        <v>230</v>
      </c>
      <c r="C332" t="str">
        <f>VLOOKUP(A332,#REF!,3,FALSE)</f>
        <v>US Equity</v>
      </c>
      <c r="D332">
        <v>39.511400000000002</v>
      </c>
      <c r="E332">
        <v>11111119</v>
      </c>
      <c r="F332" t="s">
        <v>1394</v>
      </c>
      <c r="G332" t="s">
        <v>1394</v>
      </c>
      <c r="I332" s="1">
        <v>12.414999999999999</v>
      </c>
      <c r="J332" s="1">
        <v>490.53403099999997</v>
      </c>
      <c r="K332" t="s">
        <v>26</v>
      </c>
      <c r="M332" t="s">
        <v>22</v>
      </c>
      <c r="O332" s="3">
        <v>2.0000000000000001E-4</v>
      </c>
      <c r="P332" t="s">
        <v>1417</v>
      </c>
    </row>
    <row r="333" spans="1:16">
      <c r="A333" t="s">
        <v>199</v>
      </c>
      <c r="B333" t="s">
        <v>231</v>
      </c>
      <c r="C333" t="str">
        <f>VLOOKUP(A333,#REF!,3,FALSE)</f>
        <v>US Equity</v>
      </c>
      <c r="D333">
        <v>675.91359999999997</v>
      </c>
      <c r="E333">
        <v>11111119</v>
      </c>
      <c r="F333" t="s">
        <v>1394</v>
      </c>
      <c r="G333" t="s">
        <v>1394</v>
      </c>
      <c r="I333" s="1">
        <v>288.79000000000002</v>
      </c>
      <c r="J333" s="1">
        <v>195197.088544</v>
      </c>
      <c r="K333" t="s">
        <v>26</v>
      </c>
      <c r="M333" t="s">
        <v>22</v>
      </c>
      <c r="O333" s="3">
        <v>1.1000000000000001E-3</v>
      </c>
      <c r="P333" t="s">
        <v>1418</v>
      </c>
    </row>
    <row r="334" spans="1:16">
      <c r="A334" t="s">
        <v>1148</v>
      </c>
      <c r="B334" t="s">
        <v>1149</v>
      </c>
      <c r="C334" t="str">
        <f>VLOOKUP(A334,#REF!,3,FALSE)</f>
        <v>Emerging</v>
      </c>
      <c r="D334">
        <v>366.37560000000002</v>
      </c>
      <c r="E334">
        <v>11111119</v>
      </c>
      <c r="F334" t="s">
        <v>1394</v>
      </c>
      <c r="G334" t="s">
        <v>1394</v>
      </c>
      <c r="I334" s="1">
        <v>78.644999999999996</v>
      </c>
      <c r="J334" s="1">
        <v>28813.609062</v>
      </c>
      <c r="K334" t="s">
        <v>26</v>
      </c>
      <c r="M334" t="s">
        <v>22</v>
      </c>
      <c r="O334" s="3">
        <v>1.1000000000000001E-3</v>
      </c>
      <c r="P334" t="s">
        <v>1419</v>
      </c>
    </row>
    <row r="335" spans="1:16">
      <c r="A335" t="s">
        <v>1151</v>
      </c>
      <c r="B335" t="s">
        <v>1152</v>
      </c>
      <c r="C335" t="str">
        <f>VLOOKUP(A335,#REF!,3,FALSE)</f>
        <v>Emerging</v>
      </c>
      <c r="D335">
        <v>842</v>
      </c>
      <c r="E335">
        <v>11111119</v>
      </c>
      <c r="F335" t="s">
        <v>1394</v>
      </c>
      <c r="G335" t="s">
        <v>1394</v>
      </c>
      <c r="I335" s="1">
        <v>282.38</v>
      </c>
      <c r="J335" s="1">
        <v>237763.96</v>
      </c>
      <c r="K335" t="s">
        <v>24</v>
      </c>
      <c r="M335" t="s">
        <v>22</v>
      </c>
      <c r="O335" s="3">
        <v>2.9999999999999997E-4</v>
      </c>
      <c r="P335" t="s">
        <v>1420</v>
      </c>
    </row>
    <row r="336" spans="1:16">
      <c r="A336" t="s">
        <v>1154</v>
      </c>
      <c r="B336" t="s">
        <v>1155</v>
      </c>
      <c r="C336" t="str">
        <f>VLOOKUP(A336,#REF!,3,FALSE)</f>
        <v>Emerging</v>
      </c>
      <c r="D336">
        <v>203.29</v>
      </c>
      <c r="E336">
        <v>11111119</v>
      </c>
      <c r="F336" t="s">
        <v>1394</v>
      </c>
      <c r="G336" t="s">
        <v>1394</v>
      </c>
      <c r="I336" s="1">
        <v>94.265000000000001</v>
      </c>
      <c r="J336" s="1">
        <v>19163.131849999998</v>
      </c>
      <c r="K336" t="s">
        <v>26</v>
      </c>
      <c r="M336" t="s">
        <v>22</v>
      </c>
      <c r="O336" s="3">
        <v>2.9999999999999997E-4</v>
      </c>
      <c r="P336" t="s">
        <v>1421</v>
      </c>
    </row>
    <row r="337" spans="1:16">
      <c r="A337" t="s">
        <v>1157</v>
      </c>
      <c r="B337" t="s">
        <v>1158</v>
      </c>
      <c r="C337" t="str">
        <f>VLOOKUP(A337,#REF!,3,FALSE)</f>
        <v>Intl</v>
      </c>
      <c r="D337">
        <v>288</v>
      </c>
      <c r="E337">
        <v>11111119</v>
      </c>
      <c r="F337" t="s">
        <v>1394</v>
      </c>
      <c r="G337" t="s">
        <v>1394</v>
      </c>
      <c r="I337" s="1">
        <v>126.29</v>
      </c>
      <c r="J337" s="1">
        <v>36371.520000000004</v>
      </c>
      <c r="K337" t="s">
        <v>26</v>
      </c>
      <c r="M337" t="s">
        <v>22</v>
      </c>
      <c r="O337" s="3">
        <v>5.0000000000000001E-4</v>
      </c>
      <c r="P337" t="s">
        <v>1422</v>
      </c>
    </row>
    <row r="338" spans="1:16">
      <c r="A338" t="s">
        <v>1160</v>
      </c>
      <c r="B338" t="s">
        <v>1161</v>
      </c>
      <c r="C338" t="str">
        <f>VLOOKUP(A338,#REF!,3,FALSE)</f>
        <v>Intl</v>
      </c>
      <c r="D338" s="2">
        <v>1284.9195999999999</v>
      </c>
      <c r="E338">
        <v>11111119</v>
      </c>
      <c r="F338" t="s">
        <v>1394</v>
      </c>
      <c r="G338" t="s">
        <v>1394</v>
      </c>
      <c r="I338" s="1">
        <v>44.564999999999998</v>
      </c>
      <c r="J338" s="1">
        <v>57262.441973999994</v>
      </c>
      <c r="K338" t="s">
        <v>26</v>
      </c>
      <c r="M338" t="s">
        <v>22</v>
      </c>
      <c r="O338" s="3">
        <v>2.9999999999999997E-4</v>
      </c>
      <c r="P338" t="s">
        <v>1423</v>
      </c>
    </row>
    <row r="339" spans="1:16">
      <c r="A339" t="s">
        <v>1163</v>
      </c>
      <c r="B339" t="s">
        <v>1164</v>
      </c>
      <c r="C339" t="str">
        <f>VLOOKUP(A339,#REF!,3,FALSE)</f>
        <v>Intl</v>
      </c>
      <c r="D339">
        <v>879.89779999999996</v>
      </c>
      <c r="E339">
        <v>11111119</v>
      </c>
      <c r="F339" t="s">
        <v>1394</v>
      </c>
      <c r="G339" t="s">
        <v>1394</v>
      </c>
      <c r="I339" s="1">
        <v>395.25</v>
      </c>
      <c r="J339" s="1">
        <v>347779.60544999997</v>
      </c>
      <c r="K339" t="s">
        <v>26</v>
      </c>
      <c r="M339" t="s">
        <v>22</v>
      </c>
      <c r="O339" s="3">
        <v>4.0000000000000002E-4</v>
      </c>
      <c r="P339" t="s">
        <v>1424</v>
      </c>
    </row>
    <row r="340" spans="1:16">
      <c r="A340" t="s">
        <v>80</v>
      </c>
      <c r="B340" t="s">
        <v>1166</v>
      </c>
      <c r="C340" t="str">
        <f>VLOOKUP(A340,#REF!,3,FALSE)</f>
        <v>Intl</v>
      </c>
      <c r="D340">
        <v>83</v>
      </c>
      <c r="E340">
        <v>11111119</v>
      </c>
      <c r="F340" t="s">
        <v>1394</v>
      </c>
      <c r="G340" t="s">
        <v>1394</v>
      </c>
      <c r="I340" s="1">
        <v>50.354999999999997</v>
      </c>
      <c r="J340" s="1">
        <v>4179.4650000000001</v>
      </c>
      <c r="K340" t="s">
        <v>24</v>
      </c>
      <c r="M340" t="s">
        <v>22</v>
      </c>
      <c r="O340" s="3">
        <v>2.9999999999999997E-4</v>
      </c>
      <c r="P340" t="s">
        <v>1425</v>
      </c>
    </row>
    <row r="341" spans="1:16">
      <c r="A341" t="s">
        <v>156</v>
      </c>
      <c r="B341" t="s">
        <v>1168</v>
      </c>
      <c r="C341" t="str">
        <f>VLOOKUP(A341,#REF!,3,FALSE)</f>
        <v>MMF</v>
      </c>
      <c r="D341">
        <v>217</v>
      </c>
      <c r="E341">
        <v>11111119</v>
      </c>
      <c r="F341" t="s">
        <v>1394</v>
      </c>
      <c r="G341" t="s">
        <v>1394</v>
      </c>
      <c r="I341" s="1">
        <v>1</v>
      </c>
      <c r="J341" s="1">
        <v>217</v>
      </c>
      <c r="K341" t="s">
        <v>26</v>
      </c>
      <c r="M341" t="s">
        <v>22</v>
      </c>
      <c r="O341" s="3">
        <v>2.0000000000000001E-4</v>
      </c>
      <c r="P341" t="s">
        <v>1426</v>
      </c>
    </row>
    <row r="342" spans="1:16">
      <c r="A342" t="s">
        <v>1170</v>
      </c>
      <c r="B342" t="s">
        <v>1171</v>
      </c>
      <c r="C342" t="str">
        <f>VLOOKUP(A342,#REF!,3,FALSE)</f>
        <v>Bond</v>
      </c>
      <c r="D342">
        <v>41.178600000000003</v>
      </c>
      <c r="E342">
        <v>11111119</v>
      </c>
      <c r="F342" t="s">
        <v>1394</v>
      </c>
      <c r="G342" t="s">
        <v>1394</v>
      </c>
      <c r="I342" s="1">
        <v>80.459999999999994</v>
      </c>
      <c r="J342" s="1">
        <v>3313.2301560000001</v>
      </c>
      <c r="K342" t="s">
        <v>26</v>
      </c>
      <c r="M342" t="s">
        <v>22</v>
      </c>
      <c r="O342" s="3">
        <v>1E-4</v>
      </c>
      <c r="P342" t="s">
        <v>1427</v>
      </c>
    </row>
    <row r="343" spans="1:16">
      <c r="A343" t="s">
        <v>1173</v>
      </c>
      <c r="B343" t="s">
        <v>1174</v>
      </c>
      <c r="C343" t="str">
        <f>VLOOKUP(A343,#REF!,3,FALSE)</f>
        <v>Bond</v>
      </c>
      <c r="D343">
        <v>340.03390000000002</v>
      </c>
      <c r="E343">
        <v>11111119</v>
      </c>
      <c r="F343" t="s">
        <v>1394</v>
      </c>
      <c r="G343" t="s">
        <v>1394</v>
      </c>
      <c r="I343" s="1">
        <v>28.41</v>
      </c>
      <c r="J343" s="1">
        <v>9660.3630990000001</v>
      </c>
      <c r="K343" t="s">
        <v>26</v>
      </c>
      <c r="M343" t="s">
        <v>22</v>
      </c>
      <c r="O343" s="3">
        <v>4.0000000000000002E-4</v>
      </c>
      <c r="P343" t="s">
        <v>1428</v>
      </c>
    </row>
    <row r="344" spans="1:16">
      <c r="A344" t="s">
        <v>1175</v>
      </c>
      <c r="B344" t="s">
        <v>1176</v>
      </c>
      <c r="C344" t="str">
        <f>VLOOKUP(A344,#REF!,3,FALSE)</f>
        <v>Bond</v>
      </c>
      <c r="D344" s="2">
        <v>5283</v>
      </c>
      <c r="E344">
        <v>11111119</v>
      </c>
      <c r="F344" t="s">
        <v>1394</v>
      </c>
      <c r="G344" t="s">
        <v>1394</v>
      </c>
      <c r="I344" s="1">
        <v>96.935000000000002</v>
      </c>
      <c r="J344" s="1">
        <v>512107.60500000004</v>
      </c>
      <c r="K344" t="s">
        <v>24</v>
      </c>
      <c r="M344" t="s">
        <v>22</v>
      </c>
      <c r="O344" s="3">
        <v>1.6000000000000001E-3</v>
      </c>
      <c r="P344" t="s">
        <v>1429</v>
      </c>
    </row>
    <row r="345" spans="1:16">
      <c r="A345" t="s">
        <v>1177</v>
      </c>
      <c r="B345" t="s">
        <v>1178</v>
      </c>
      <c r="C345" t="str">
        <f>VLOOKUP(A345,#REF!,3,FALSE)</f>
        <v>Bond</v>
      </c>
      <c r="D345">
        <v>545.2482</v>
      </c>
      <c r="E345">
        <v>11111119</v>
      </c>
      <c r="F345" t="s">
        <v>1394</v>
      </c>
      <c r="G345" t="s">
        <v>1394</v>
      </c>
      <c r="I345" s="1">
        <v>98.955600000000004</v>
      </c>
      <c r="J345" s="1">
        <v>53955.362779920004</v>
      </c>
      <c r="K345" t="s">
        <v>26</v>
      </c>
      <c r="M345" t="s">
        <v>22</v>
      </c>
      <c r="O345" s="3">
        <v>2.7000000000000001E-3</v>
      </c>
      <c r="P345" t="s">
        <v>1430</v>
      </c>
    </row>
    <row r="346" spans="1:16">
      <c r="A346" t="s">
        <v>82</v>
      </c>
      <c r="B346" t="s">
        <v>83</v>
      </c>
      <c r="C346" t="str">
        <f>VLOOKUP(A346,#REF!,3,FALSE)</f>
        <v>US ETF</v>
      </c>
      <c r="D346">
        <v>534</v>
      </c>
      <c r="E346">
        <v>11111119</v>
      </c>
      <c r="F346" t="s">
        <v>1394</v>
      </c>
      <c r="G346" t="s">
        <v>1394</v>
      </c>
      <c r="I346" s="1">
        <v>28.4</v>
      </c>
      <c r="J346" s="1">
        <v>15165.599999999999</v>
      </c>
      <c r="K346" t="s">
        <v>24</v>
      </c>
      <c r="M346" t="s">
        <v>22</v>
      </c>
      <c r="O346" s="3">
        <v>2.9999999999999997E-4</v>
      </c>
      <c r="P346" t="s">
        <v>1431</v>
      </c>
    </row>
    <row r="347" spans="1:16">
      <c r="A347" t="s">
        <v>1179</v>
      </c>
      <c r="B347" t="s">
        <v>1180</v>
      </c>
      <c r="C347" t="str">
        <f>VLOOKUP(A347,#REF!,3,FALSE)</f>
        <v>REIT</v>
      </c>
      <c r="D347">
        <v>127.1789</v>
      </c>
      <c r="E347">
        <v>11111119</v>
      </c>
      <c r="F347" t="s">
        <v>1394</v>
      </c>
      <c r="G347" t="s">
        <v>1394</v>
      </c>
      <c r="I347" s="1">
        <v>4.84</v>
      </c>
      <c r="J347" s="1">
        <v>615.54587600000002</v>
      </c>
      <c r="K347" t="s">
        <v>26</v>
      </c>
      <c r="M347" t="s">
        <v>22</v>
      </c>
      <c r="O347" s="3">
        <v>4.0000000000000002E-4</v>
      </c>
      <c r="P347" t="s">
        <v>1432</v>
      </c>
    </row>
    <row r="348" spans="1:16">
      <c r="A348" t="s">
        <v>85</v>
      </c>
      <c r="B348" t="s">
        <v>1181</v>
      </c>
      <c r="C348" t="str">
        <f>VLOOKUP(A348,#REF!,3,FALSE)</f>
        <v>US MF</v>
      </c>
      <c r="D348" s="2">
        <v>7914.0519000000004</v>
      </c>
      <c r="E348">
        <v>11111119</v>
      </c>
      <c r="F348" t="s">
        <v>1394</v>
      </c>
      <c r="G348" t="s">
        <v>1394</v>
      </c>
      <c r="I348" s="1">
        <v>1</v>
      </c>
      <c r="J348" s="1">
        <v>7914.0519000000004</v>
      </c>
      <c r="K348" t="s">
        <v>26</v>
      </c>
      <c r="M348" t="s">
        <v>22</v>
      </c>
      <c r="O348" s="3">
        <v>7.9000000000000008E-3</v>
      </c>
      <c r="P348" t="s">
        <v>1433</v>
      </c>
    </row>
  </sheetData>
  <autoFilter ref="A8:P8" xr:uid="{00000000-0001-0000-0000-000000000000}">
    <sortState xmlns:xlrd2="http://schemas.microsoft.com/office/spreadsheetml/2017/richdata2" ref="A9:P4769">
      <sortCondition descending="1" ref="C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Normal="100" workbookViewId="0">
      <selection activeCell="C13" sqref="C13"/>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1434</v>
      </c>
    </row>
    <row r="2" spans="1:12">
      <c r="A2" t="s">
        <v>1435</v>
      </c>
    </row>
    <row r="4" spans="1:12">
      <c r="A4" t="s">
        <v>1</v>
      </c>
      <c r="B4" t="s">
        <v>2</v>
      </c>
      <c r="C4" t="s">
        <v>3</v>
      </c>
      <c r="D4" t="s">
        <v>4</v>
      </c>
      <c r="E4" t="s">
        <v>141</v>
      </c>
      <c r="F4" t="s">
        <v>142</v>
      </c>
      <c r="G4" t="s">
        <v>5</v>
      </c>
    </row>
    <row r="5" spans="1:12">
      <c r="A5" s="1"/>
      <c r="B5" s="1"/>
      <c r="C5" s="1"/>
      <c r="D5" s="1"/>
      <c r="E5" s="1"/>
      <c r="F5" s="1"/>
    </row>
    <row r="7" spans="1:12">
      <c r="A7" t="s">
        <v>143</v>
      </c>
      <c r="B7" t="s">
        <v>11</v>
      </c>
      <c r="C7" t="s">
        <v>12</v>
      </c>
      <c r="D7" t="s">
        <v>13</v>
      </c>
      <c r="E7" t="s">
        <v>144</v>
      </c>
      <c r="F7" t="s">
        <v>145</v>
      </c>
      <c r="G7" t="s">
        <v>146</v>
      </c>
      <c r="H7" t="s">
        <v>147</v>
      </c>
      <c r="I7" t="s">
        <v>148</v>
      </c>
      <c r="J7" t="s">
        <v>149</v>
      </c>
      <c r="K7" t="s">
        <v>150</v>
      </c>
      <c r="L7" t="s">
        <v>21</v>
      </c>
    </row>
    <row r="8" spans="1:12">
      <c r="A8">
        <v>11111111</v>
      </c>
      <c r="B8" t="s">
        <v>1113</v>
      </c>
      <c r="C8" t="s">
        <v>1113</v>
      </c>
      <c r="D8" t="s">
        <v>1113</v>
      </c>
      <c r="E8" s="1">
        <v>105269.29</v>
      </c>
      <c r="F8" s="1">
        <v>2239.89</v>
      </c>
      <c r="G8" s="1">
        <v>0</v>
      </c>
      <c r="H8" s="1">
        <v>103029.4</v>
      </c>
      <c r="I8" s="1">
        <v>0</v>
      </c>
      <c r="J8" s="1">
        <v>2239.89</v>
      </c>
      <c r="K8" s="1">
        <v>38313.53</v>
      </c>
      <c r="L8" t="s">
        <v>1436</v>
      </c>
    </row>
    <row r="9" spans="1:12">
      <c r="A9">
        <v>11111112</v>
      </c>
      <c r="B9" t="s">
        <v>1182</v>
      </c>
      <c r="C9" t="s">
        <v>1182</v>
      </c>
      <c r="D9" t="s">
        <v>1182</v>
      </c>
      <c r="E9" s="1">
        <v>82357.58</v>
      </c>
      <c r="F9" s="1">
        <v>707.87</v>
      </c>
      <c r="G9" s="1">
        <v>0</v>
      </c>
      <c r="H9" s="1">
        <v>81649.710000000006</v>
      </c>
      <c r="I9" s="1">
        <v>0</v>
      </c>
      <c r="J9" s="1">
        <v>707.87</v>
      </c>
      <c r="K9" s="1">
        <v>6207.38</v>
      </c>
      <c r="L9" t="s">
        <v>1437</v>
      </c>
    </row>
    <row r="10" spans="1:12">
      <c r="A10">
        <v>11111113</v>
      </c>
      <c r="B10" t="s">
        <v>1217</v>
      </c>
      <c r="C10" t="s">
        <v>1217</v>
      </c>
      <c r="D10" t="s">
        <v>1217</v>
      </c>
      <c r="E10" s="1">
        <v>344105.47</v>
      </c>
      <c r="F10" s="1">
        <v>2530.27</v>
      </c>
      <c r="G10" s="1">
        <v>0</v>
      </c>
      <c r="H10" s="1">
        <v>341575.2</v>
      </c>
      <c r="I10" s="1">
        <v>0</v>
      </c>
      <c r="J10" s="1">
        <v>2530.27</v>
      </c>
      <c r="K10" s="1">
        <v>33806.660000000003</v>
      </c>
      <c r="L10" t="s">
        <v>1438</v>
      </c>
    </row>
    <row r="11" spans="1:12">
      <c r="A11">
        <v>11111114</v>
      </c>
      <c r="B11" t="s">
        <v>1249</v>
      </c>
      <c r="C11" t="s">
        <v>1249</v>
      </c>
      <c r="D11" t="s">
        <v>1249</v>
      </c>
      <c r="E11" s="1">
        <v>130508.21</v>
      </c>
      <c r="F11" s="1">
        <v>1292.9100000000001</v>
      </c>
      <c r="G11" s="1">
        <v>0</v>
      </c>
      <c r="H11" s="1">
        <v>129215.3</v>
      </c>
      <c r="I11" s="1">
        <v>0</v>
      </c>
      <c r="J11" s="1">
        <v>1292.9100000000001</v>
      </c>
      <c r="K11" s="1">
        <v>14456.8</v>
      </c>
      <c r="L11" t="s">
        <v>1439</v>
      </c>
    </row>
    <row r="12" spans="1:12">
      <c r="A12">
        <v>11111115</v>
      </c>
      <c r="B12" t="s">
        <v>1289</v>
      </c>
      <c r="C12" t="s">
        <v>1289</v>
      </c>
      <c r="D12" t="s">
        <v>1289</v>
      </c>
      <c r="E12" s="1">
        <v>152320.29999999999</v>
      </c>
      <c r="F12" s="1">
        <v>597.85</v>
      </c>
      <c r="G12" s="1">
        <v>0</v>
      </c>
      <c r="H12" s="1">
        <v>151722.45000000001</v>
      </c>
      <c r="I12" s="1">
        <v>0</v>
      </c>
      <c r="J12" s="1">
        <v>597.85</v>
      </c>
      <c r="K12" s="1">
        <v>16321.35</v>
      </c>
      <c r="L12" t="s">
        <v>1440</v>
      </c>
    </row>
    <row r="13" spans="1:12">
      <c r="A13">
        <v>11111116</v>
      </c>
      <c r="B13" t="s">
        <v>1325</v>
      </c>
      <c r="C13" t="s">
        <v>1325</v>
      </c>
      <c r="D13" t="s">
        <v>1325</v>
      </c>
      <c r="E13" s="1">
        <v>2898206.86</v>
      </c>
      <c r="F13" s="1">
        <v>3615.12</v>
      </c>
      <c r="G13" s="1">
        <v>0</v>
      </c>
      <c r="H13" s="1">
        <v>2894591.74</v>
      </c>
      <c r="I13" s="1">
        <v>0</v>
      </c>
      <c r="J13" s="1">
        <v>3615.12</v>
      </c>
      <c r="K13" s="1">
        <v>275024.18</v>
      </c>
      <c r="L13" t="s">
        <v>1441</v>
      </c>
    </row>
    <row r="14" spans="1:12">
      <c r="A14">
        <v>11111117</v>
      </c>
      <c r="B14" t="s">
        <v>1355</v>
      </c>
      <c r="C14" t="s">
        <v>1355</v>
      </c>
      <c r="D14" t="s">
        <v>1355</v>
      </c>
      <c r="E14" s="1">
        <v>118974.43</v>
      </c>
      <c r="F14" s="1">
        <v>1333.89</v>
      </c>
      <c r="G14" s="1">
        <v>0</v>
      </c>
      <c r="H14" s="1">
        <v>117640.54</v>
      </c>
      <c r="I14" s="1">
        <v>0</v>
      </c>
      <c r="J14" s="1">
        <v>1333.89</v>
      </c>
      <c r="K14" s="1">
        <v>11805.18</v>
      </c>
      <c r="L14" t="s">
        <v>1442</v>
      </c>
    </row>
    <row r="15" spans="1:12">
      <c r="A15">
        <v>11111118</v>
      </c>
      <c r="B15" t="s">
        <v>1363</v>
      </c>
      <c r="C15" t="s">
        <v>1363</v>
      </c>
      <c r="D15" t="s">
        <v>1363</v>
      </c>
      <c r="E15" s="1">
        <v>417411.57</v>
      </c>
      <c r="F15" s="1">
        <v>3328.09</v>
      </c>
      <c r="G15" s="1">
        <v>0</v>
      </c>
      <c r="H15" s="1">
        <v>414083.48</v>
      </c>
      <c r="I15" s="1">
        <v>0</v>
      </c>
      <c r="J15" s="1">
        <v>3328.09</v>
      </c>
      <c r="K15" s="1">
        <v>32135.32</v>
      </c>
      <c r="L15" t="s">
        <v>1443</v>
      </c>
    </row>
    <row r="16" spans="1:12">
      <c r="A16">
        <v>11111119</v>
      </c>
      <c r="B16" t="s">
        <v>1394</v>
      </c>
      <c r="C16" t="s">
        <v>1394</v>
      </c>
      <c r="D16" t="s">
        <v>1394</v>
      </c>
      <c r="E16" s="1">
        <v>3639289.72</v>
      </c>
      <c r="F16" s="1">
        <v>4704.74</v>
      </c>
      <c r="G16" s="1">
        <v>0</v>
      </c>
      <c r="H16" s="1">
        <v>3634584.98</v>
      </c>
      <c r="I16" s="1">
        <v>0</v>
      </c>
      <c r="J16" s="1">
        <v>4704.74</v>
      </c>
      <c r="K16" s="1">
        <v>286993.13</v>
      </c>
      <c r="L16" t="s">
        <v>1444</v>
      </c>
    </row>
    <row r="17" spans="1:12">
      <c r="A17">
        <v>11111120</v>
      </c>
      <c r="B17" t="s">
        <v>1445</v>
      </c>
      <c r="C17" t="s">
        <v>1445</v>
      </c>
      <c r="D17" t="s">
        <v>1445</v>
      </c>
      <c r="E17" s="1">
        <v>113220.51</v>
      </c>
      <c r="F17" s="1">
        <v>744.15</v>
      </c>
      <c r="G17" s="1">
        <v>0</v>
      </c>
      <c r="H17" s="1">
        <v>112476.36</v>
      </c>
      <c r="I17" s="1">
        <v>0</v>
      </c>
      <c r="J17" s="1">
        <v>744.15</v>
      </c>
      <c r="K17" s="1">
        <v>10609.82</v>
      </c>
      <c r="L17" t="s">
        <v>1446</v>
      </c>
    </row>
    <row r="18" spans="1:12">
      <c r="A18">
        <v>11111121</v>
      </c>
      <c r="B18" t="s">
        <v>1447</v>
      </c>
      <c r="C18" t="s">
        <v>1447</v>
      </c>
      <c r="D18" t="s">
        <v>1447</v>
      </c>
      <c r="E18" s="1">
        <v>125543.76</v>
      </c>
      <c r="F18" s="1">
        <v>768.14</v>
      </c>
      <c r="G18" s="1">
        <v>0</v>
      </c>
      <c r="H18" s="1">
        <v>124775.62</v>
      </c>
      <c r="I18" s="1">
        <v>0</v>
      </c>
      <c r="J18" s="1">
        <v>768.14</v>
      </c>
      <c r="K18" s="1">
        <v>8109.67</v>
      </c>
      <c r="L18" t="s">
        <v>1448</v>
      </c>
    </row>
    <row r="19" spans="1:12">
      <c r="A19">
        <v>11111122</v>
      </c>
      <c r="B19" t="s">
        <v>1449</v>
      </c>
      <c r="C19" t="s">
        <v>1449</v>
      </c>
      <c r="D19" t="s">
        <v>1449</v>
      </c>
      <c r="E19" s="1">
        <v>108215.34</v>
      </c>
      <c r="F19" s="1">
        <v>1013.98</v>
      </c>
      <c r="G19" s="1">
        <v>0</v>
      </c>
      <c r="H19" s="1">
        <v>107201.36</v>
      </c>
      <c r="I19" s="1">
        <v>0</v>
      </c>
      <c r="J19" s="1">
        <v>61711.98</v>
      </c>
      <c r="K19" s="1">
        <v>8309.86</v>
      </c>
      <c r="L19" t="s">
        <v>1450</v>
      </c>
    </row>
    <row r="20" spans="1:12">
      <c r="A20">
        <v>11111123</v>
      </c>
      <c r="B20" t="s">
        <v>1451</v>
      </c>
      <c r="C20" t="s">
        <v>1451</v>
      </c>
      <c r="D20" t="s">
        <v>1451</v>
      </c>
      <c r="E20" s="1">
        <v>2041816.24</v>
      </c>
      <c r="F20" s="1">
        <v>5856.38</v>
      </c>
      <c r="G20" s="1">
        <v>0</v>
      </c>
      <c r="H20" s="1">
        <v>2035959.86</v>
      </c>
      <c r="I20" s="1">
        <v>0</v>
      </c>
      <c r="J20" s="1">
        <v>5856.38</v>
      </c>
      <c r="K20" s="1">
        <v>678557.03</v>
      </c>
      <c r="L20" t="s">
        <v>1452</v>
      </c>
    </row>
    <row r="21" spans="1:12">
      <c r="A21">
        <v>11111124</v>
      </c>
      <c r="B21" t="s">
        <v>1453</v>
      </c>
      <c r="C21" t="s">
        <v>1453</v>
      </c>
      <c r="D21" t="s">
        <v>1453</v>
      </c>
      <c r="E21" s="1">
        <v>618377.34</v>
      </c>
      <c r="F21" s="1">
        <v>2498.15</v>
      </c>
      <c r="G21" s="1">
        <v>0</v>
      </c>
      <c r="H21" s="1">
        <v>615879.18999999994</v>
      </c>
      <c r="I21" s="1">
        <v>0</v>
      </c>
      <c r="J21" s="1">
        <v>2498.15</v>
      </c>
      <c r="K21" s="1">
        <v>11223.28</v>
      </c>
      <c r="L21" t="s">
        <v>1454</v>
      </c>
    </row>
    <row r="22" spans="1:12">
      <c r="A22">
        <v>11111125</v>
      </c>
      <c r="B22" t="s">
        <v>1455</v>
      </c>
      <c r="C22" t="s">
        <v>1455</v>
      </c>
      <c r="D22" t="s">
        <v>1455</v>
      </c>
      <c r="E22" s="1">
        <v>6089.69</v>
      </c>
      <c r="F22" s="1">
        <v>115.74</v>
      </c>
      <c r="G22" s="1">
        <v>0</v>
      </c>
      <c r="H22" s="1">
        <v>5973.95</v>
      </c>
      <c r="I22" s="1">
        <v>0</v>
      </c>
      <c r="J22" s="1">
        <v>115.74</v>
      </c>
      <c r="K22" s="1">
        <v>1301.3599999999999</v>
      </c>
      <c r="L22" t="s">
        <v>1456</v>
      </c>
    </row>
    <row r="23" spans="1:12">
      <c r="A23">
        <v>11111126</v>
      </c>
      <c r="B23" t="s">
        <v>1457</v>
      </c>
      <c r="C23" t="s">
        <v>1457</v>
      </c>
      <c r="D23" t="s">
        <v>1457</v>
      </c>
      <c r="E23" s="1">
        <v>0</v>
      </c>
      <c r="F23" s="1">
        <v>0</v>
      </c>
      <c r="G23" s="1">
        <v>0</v>
      </c>
      <c r="H23" s="1">
        <v>0</v>
      </c>
      <c r="I23" s="1">
        <v>0</v>
      </c>
      <c r="J23" s="1">
        <v>0</v>
      </c>
      <c r="K23" s="1">
        <v>0</v>
      </c>
      <c r="L23" t="s">
        <v>23</v>
      </c>
    </row>
    <row r="24" spans="1:12">
      <c r="A24">
        <v>11111127</v>
      </c>
      <c r="B24" t="s">
        <v>1458</v>
      </c>
      <c r="C24" t="s">
        <v>1458</v>
      </c>
      <c r="D24" t="s">
        <v>1458</v>
      </c>
      <c r="E24" s="1">
        <v>0</v>
      </c>
      <c r="F24" s="1">
        <v>0</v>
      </c>
      <c r="G24" s="1">
        <v>0</v>
      </c>
      <c r="H24" s="1">
        <v>0</v>
      </c>
      <c r="I24" s="1">
        <v>0</v>
      </c>
      <c r="J24" s="1">
        <v>0</v>
      </c>
      <c r="K24" s="1">
        <v>0</v>
      </c>
      <c r="L24" t="s">
        <v>23</v>
      </c>
    </row>
    <row r="25" spans="1:12">
      <c r="A25">
        <v>11111128</v>
      </c>
      <c r="B25" t="s">
        <v>1459</v>
      </c>
      <c r="C25" t="s">
        <v>1459</v>
      </c>
      <c r="D25" t="s">
        <v>1459</v>
      </c>
      <c r="E25" s="1">
        <v>192716.08</v>
      </c>
      <c r="F25" s="1">
        <v>1172.1199999999999</v>
      </c>
      <c r="G25" s="1">
        <v>0</v>
      </c>
      <c r="H25" s="1">
        <v>191543.96</v>
      </c>
      <c r="I25" s="1">
        <v>0</v>
      </c>
      <c r="J25" s="1">
        <v>1172.1199999999999</v>
      </c>
      <c r="K25" s="1">
        <v>38069.769999999997</v>
      </c>
      <c r="L25" t="s">
        <v>1460</v>
      </c>
    </row>
    <row r="26" spans="1:12">
      <c r="A26">
        <v>11111129</v>
      </c>
      <c r="B26" t="s">
        <v>1461</v>
      </c>
      <c r="C26" t="s">
        <v>1461</v>
      </c>
      <c r="D26" t="s">
        <v>1461</v>
      </c>
      <c r="E26" s="1">
        <v>89013.84</v>
      </c>
      <c r="F26" s="1">
        <v>542</v>
      </c>
      <c r="G26" s="1">
        <v>0</v>
      </c>
      <c r="H26" s="1">
        <v>88471.84</v>
      </c>
      <c r="I26" s="1">
        <v>0</v>
      </c>
      <c r="J26" s="1">
        <v>542</v>
      </c>
      <c r="K26" s="1">
        <v>6477</v>
      </c>
      <c r="L26" t="s">
        <v>1462</v>
      </c>
    </row>
    <row r="27" spans="1:12">
      <c r="A27">
        <v>11111130</v>
      </c>
      <c r="B27" t="s">
        <v>1463</v>
      </c>
      <c r="C27" t="s">
        <v>1463</v>
      </c>
      <c r="D27" t="s">
        <v>1463</v>
      </c>
      <c r="E27" s="1">
        <v>132136.4</v>
      </c>
      <c r="F27" s="1">
        <v>375.35</v>
      </c>
      <c r="G27" s="1">
        <v>0</v>
      </c>
      <c r="H27" s="1">
        <v>131761.04999999999</v>
      </c>
      <c r="I27" s="1">
        <v>0</v>
      </c>
      <c r="J27" s="1">
        <v>375.35</v>
      </c>
      <c r="K27" s="1">
        <v>0</v>
      </c>
      <c r="L27" t="s">
        <v>1464</v>
      </c>
    </row>
    <row r="28" spans="1:12">
      <c r="A28">
        <v>11111131</v>
      </c>
      <c r="B28" t="s">
        <v>1465</v>
      </c>
      <c r="C28" t="s">
        <v>1465</v>
      </c>
      <c r="D28" t="s">
        <v>1465</v>
      </c>
      <c r="E28" s="1">
        <v>232862.98</v>
      </c>
      <c r="F28" s="1">
        <v>1951.63</v>
      </c>
      <c r="G28" s="1">
        <v>0</v>
      </c>
      <c r="H28" s="1">
        <v>230911.35</v>
      </c>
      <c r="I28" s="1">
        <v>0</v>
      </c>
      <c r="J28" s="1">
        <v>1951.63</v>
      </c>
      <c r="K28" s="1">
        <v>16005.59</v>
      </c>
      <c r="L28" t="s">
        <v>1466</v>
      </c>
    </row>
    <row r="29" spans="1:12">
      <c r="A29">
        <v>11111132</v>
      </c>
      <c r="B29" t="s">
        <v>1467</v>
      </c>
      <c r="C29" t="s">
        <v>1467</v>
      </c>
      <c r="D29" t="s">
        <v>1467</v>
      </c>
      <c r="E29" s="1">
        <v>133144.57999999999</v>
      </c>
      <c r="F29" s="1">
        <v>652.37</v>
      </c>
      <c r="G29" s="1">
        <v>0</v>
      </c>
      <c r="H29" s="1">
        <v>132492.21</v>
      </c>
      <c r="I29" s="1">
        <v>0</v>
      </c>
      <c r="J29" s="1">
        <v>652.37</v>
      </c>
      <c r="K29" s="1">
        <v>17076</v>
      </c>
      <c r="L29" t="s">
        <v>1468</v>
      </c>
    </row>
    <row r="30" spans="1:12">
      <c r="A30">
        <v>11111133</v>
      </c>
      <c r="B30" t="s">
        <v>1469</v>
      </c>
      <c r="C30" t="s">
        <v>1469</v>
      </c>
      <c r="D30" t="s">
        <v>1469</v>
      </c>
      <c r="E30" s="1">
        <v>65306.61</v>
      </c>
      <c r="F30" s="1">
        <v>599.62</v>
      </c>
      <c r="G30" s="1">
        <v>0</v>
      </c>
      <c r="H30" s="1">
        <v>64706.99</v>
      </c>
      <c r="I30" s="1">
        <v>0</v>
      </c>
      <c r="J30" s="1">
        <v>599.62</v>
      </c>
      <c r="K30" s="1">
        <v>12964.85</v>
      </c>
      <c r="L30" t="s">
        <v>1470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H44" sqref="H44"/>
    </sheetView>
  </sheetViews>
  <sheetFormatPr defaultRowHeight="15"/>
  <cols>
    <col min="3" max="3" width="9.42578125" customWidth="1"/>
    <col min="4" max="4" width="28.5703125" style="35" bestFit="1" customWidth="1"/>
    <col min="5" max="5" width="9.140625" style="4"/>
    <col min="8" max="8" width="8.5703125" customWidth="1"/>
    <col min="9" max="9" width="9.42578125" customWidth="1"/>
    <col min="10" max="10" width="8.28515625" customWidth="1"/>
  </cols>
  <sheetData>
    <row r="1" spans="1:12">
      <c r="A1" t="s">
        <v>1481</v>
      </c>
      <c r="I1" t="s">
        <v>22</v>
      </c>
      <c r="J1" t="s">
        <v>140</v>
      </c>
      <c r="K1" t="s">
        <v>109</v>
      </c>
    </row>
    <row r="2" spans="1:12">
      <c r="A2" s="92">
        <v>11111111</v>
      </c>
      <c r="B2" s="92" t="s">
        <v>138</v>
      </c>
      <c r="C2" s="92"/>
      <c r="D2" t="s">
        <v>138</v>
      </c>
      <c r="E2" s="35">
        <v>3.7000000000000002E-3</v>
      </c>
      <c r="F2" s="4">
        <f>E2/2</f>
        <v>1.8500000000000001E-3</v>
      </c>
      <c r="G2" s="4"/>
      <c r="H2" t="s">
        <v>138</v>
      </c>
      <c r="I2" s="36">
        <v>0.8</v>
      </c>
      <c r="J2" s="36">
        <v>0.17</v>
      </c>
      <c r="K2" s="36">
        <v>0.03</v>
      </c>
    </row>
    <row r="3" spans="1:12">
      <c r="A3" s="92">
        <v>11111112</v>
      </c>
      <c r="B3" s="92" t="s">
        <v>97</v>
      </c>
      <c r="C3" s="92"/>
      <c r="D3" t="s">
        <v>97</v>
      </c>
      <c r="E3" s="35">
        <v>6.7999999999999996E-3</v>
      </c>
      <c r="F3" s="4">
        <f t="shared" ref="F3:F6" si="0">E3/2</f>
        <v>3.3999999999999998E-3</v>
      </c>
      <c r="G3" s="4"/>
      <c r="H3" t="s">
        <v>97</v>
      </c>
      <c r="I3" s="36">
        <v>0.6</v>
      </c>
      <c r="J3" s="36">
        <v>0.27</v>
      </c>
      <c r="K3" s="36">
        <v>0.13</v>
      </c>
    </row>
    <row r="4" spans="1:12">
      <c r="A4" s="92">
        <v>11111113</v>
      </c>
      <c r="B4" s="92" t="s">
        <v>98</v>
      </c>
      <c r="C4" s="92"/>
      <c r="D4" t="s">
        <v>95</v>
      </c>
      <c r="E4" s="35">
        <v>0.01</v>
      </c>
      <c r="F4" s="4">
        <f t="shared" si="0"/>
        <v>5.0000000000000001E-3</v>
      </c>
      <c r="G4" s="4"/>
      <c r="H4" t="s">
        <v>95</v>
      </c>
      <c r="I4" s="36">
        <v>0.4</v>
      </c>
      <c r="J4" s="36">
        <v>0.34</v>
      </c>
      <c r="K4" s="36">
        <v>0.26</v>
      </c>
    </row>
    <row r="5" spans="1:12">
      <c r="A5" s="92">
        <v>11111114</v>
      </c>
      <c r="B5" s="92" t="s">
        <v>98</v>
      </c>
      <c r="C5" s="92"/>
      <c r="D5" t="s">
        <v>98</v>
      </c>
      <c r="E5" s="35">
        <v>1.1900000000000001E-2</v>
      </c>
      <c r="F5" s="4">
        <f t="shared" si="0"/>
        <v>5.9500000000000004E-3</v>
      </c>
      <c r="G5" s="4"/>
      <c r="H5" t="s">
        <v>98</v>
      </c>
      <c r="I5" s="36">
        <v>0.25</v>
      </c>
      <c r="J5" s="36">
        <v>0.51</v>
      </c>
      <c r="K5" s="36">
        <v>0.24</v>
      </c>
    </row>
    <row r="6" spans="1:12">
      <c r="A6" s="92">
        <v>11111115</v>
      </c>
      <c r="B6" s="92" t="s">
        <v>98</v>
      </c>
      <c r="C6" s="92"/>
      <c r="D6" t="s">
        <v>96</v>
      </c>
      <c r="E6" s="35">
        <v>1.34E-2</v>
      </c>
      <c r="F6" s="4">
        <f t="shared" si="0"/>
        <v>6.7000000000000002E-3</v>
      </c>
      <c r="G6" s="4"/>
      <c r="H6" t="s">
        <v>96</v>
      </c>
      <c r="I6" s="36">
        <v>0.05</v>
      </c>
      <c r="J6" s="36">
        <v>0.6</v>
      </c>
      <c r="K6" s="36">
        <v>0.35</v>
      </c>
    </row>
    <row r="7" spans="1:12">
      <c r="A7" s="92">
        <v>11111116</v>
      </c>
      <c r="B7" s="92" t="s">
        <v>98</v>
      </c>
      <c r="C7" s="92"/>
      <c r="F7" s="4"/>
      <c r="G7" s="4"/>
      <c r="H7" s="1"/>
      <c r="I7" s="1"/>
    </row>
    <row r="8" spans="1:12" ht="15.75" thickBot="1">
      <c r="A8" s="92">
        <v>11111117</v>
      </c>
      <c r="B8" s="92" t="s">
        <v>95</v>
      </c>
      <c r="C8" s="92"/>
      <c r="E8" s="93"/>
      <c r="F8" s="94"/>
      <c r="G8" s="94"/>
      <c r="H8" s="95"/>
      <c r="I8" s="96"/>
      <c r="J8" s="96"/>
      <c r="L8" s="96"/>
    </row>
    <row r="9" spans="1:12">
      <c r="A9" s="92">
        <v>11111118</v>
      </c>
      <c r="B9" s="92" t="s">
        <v>98</v>
      </c>
      <c r="C9" s="92"/>
      <c r="D9" s="6"/>
      <c r="E9" s="36"/>
      <c r="F9" s="36"/>
      <c r="G9" s="36"/>
      <c r="H9" s="36"/>
      <c r="I9" s="36"/>
      <c r="J9" s="36"/>
      <c r="K9" s="36"/>
    </row>
    <row r="10" spans="1:12">
      <c r="A10" s="92">
        <v>11111119</v>
      </c>
      <c r="B10" s="92" t="s">
        <v>98</v>
      </c>
      <c r="C10" s="92"/>
      <c r="D10" s="12"/>
      <c r="E10" s="36"/>
      <c r="F10" s="36"/>
      <c r="G10" s="36"/>
      <c r="H10" s="36"/>
      <c r="I10" s="36"/>
      <c r="J10" s="36"/>
      <c r="K10"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20"/>
  <sheetViews>
    <sheetView workbookViewId="0">
      <selection activeCell="L15" sqref="L15"/>
    </sheetView>
  </sheetViews>
  <sheetFormatPr defaultRowHeight="15"/>
  <cols>
    <col min="1" max="1" width="13.7109375" bestFit="1" customWidth="1"/>
    <col min="2" max="2" width="68.140625" bestFit="1" customWidth="1"/>
    <col min="3" max="3" width="12.85546875" bestFit="1" customWidth="1"/>
    <col min="4" max="4" width="23.140625" bestFit="1" customWidth="1"/>
    <col min="15" max="15" width="17.7109375" bestFit="1" customWidth="1"/>
    <col min="16" max="16" width="14.85546875" bestFit="1" customWidth="1"/>
  </cols>
  <sheetData>
    <row r="1" spans="1:17">
      <c r="H1" t="s">
        <v>232</v>
      </c>
    </row>
    <row r="2" spans="1:17" ht="15.75" thickBot="1">
      <c r="A2" t="s">
        <v>6</v>
      </c>
      <c r="B2" t="s">
        <v>7</v>
      </c>
      <c r="C2" t="s">
        <v>8</v>
      </c>
      <c r="D2" t="s">
        <v>113</v>
      </c>
      <c r="H2" t="s">
        <v>233</v>
      </c>
      <c r="O2" t="s">
        <v>114</v>
      </c>
      <c r="P2" t="s">
        <v>1103</v>
      </c>
      <c r="Q2" t="s">
        <v>113</v>
      </c>
    </row>
    <row r="3" spans="1:17" ht="15.75" thickBot="1">
      <c r="A3" t="s">
        <v>177</v>
      </c>
      <c r="B3" t="s">
        <v>200</v>
      </c>
      <c r="C3" t="s">
        <v>106</v>
      </c>
      <c r="D3" t="s">
        <v>118</v>
      </c>
      <c r="H3" t="s">
        <v>234</v>
      </c>
      <c r="I3" t="s">
        <v>7</v>
      </c>
      <c r="J3" t="s">
        <v>113</v>
      </c>
      <c r="O3" s="98" t="s">
        <v>177</v>
      </c>
      <c r="P3" s="135">
        <f>VLOOKUP(O3,Dashboard!$B$19:$I$396,8,FALSE)</f>
        <v>127352.8726</v>
      </c>
      <c r="Q3" t="str">
        <f>VLOOKUP(O3,$H$4:$J$1000,3,FALSE)</f>
        <v>Industrials</v>
      </c>
    </row>
    <row r="4" spans="1:17" ht="15.75" thickBot="1">
      <c r="A4" t="s">
        <v>178</v>
      </c>
      <c r="B4" t="s">
        <v>201</v>
      </c>
      <c r="C4" t="s">
        <v>106</v>
      </c>
      <c r="D4" t="s">
        <v>118</v>
      </c>
      <c r="F4" s="5"/>
      <c r="H4" t="s">
        <v>177</v>
      </c>
      <c r="I4" t="s">
        <v>200</v>
      </c>
      <c r="J4" t="s">
        <v>118</v>
      </c>
      <c r="O4" t="s">
        <v>178</v>
      </c>
      <c r="P4" s="135">
        <f>VLOOKUP(O4,Dashboard!$B$19:$I$396,8,FALSE)</f>
        <v>96895.82</v>
      </c>
      <c r="Q4" t="str">
        <f t="shared" ref="Q4:Q33" si="0">VLOOKUP(O4,$H$4:$J$1000,3,FALSE)</f>
        <v>Industrials</v>
      </c>
    </row>
    <row r="5" spans="1:17" ht="15.75" thickBot="1">
      <c r="A5" t="s">
        <v>115</v>
      </c>
      <c r="B5" t="s">
        <v>125</v>
      </c>
      <c r="C5" t="s">
        <v>106</v>
      </c>
      <c r="D5" t="s">
        <v>116</v>
      </c>
      <c r="F5" s="7"/>
      <c r="H5" t="s">
        <v>178</v>
      </c>
      <c r="I5" t="s">
        <v>201</v>
      </c>
      <c r="J5" t="s">
        <v>118</v>
      </c>
      <c r="O5" t="s">
        <v>115</v>
      </c>
      <c r="P5" s="135">
        <f>VLOOKUP(O5,Dashboard!$B$19:$I$396,8,FALSE)</f>
        <v>43846.297400000003</v>
      </c>
      <c r="Q5" t="str">
        <f t="shared" si="0"/>
        <v>Health Care</v>
      </c>
    </row>
    <row r="6" spans="1:17" ht="15.75" thickBot="1">
      <c r="A6" t="s">
        <v>179</v>
      </c>
      <c r="B6" t="s">
        <v>202</v>
      </c>
      <c r="C6" t="s">
        <v>106</v>
      </c>
      <c r="D6" t="s">
        <v>116</v>
      </c>
      <c r="F6" s="7"/>
      <c r="H6" t="s">
        <v>115</v>
      </c>
      <c r="I6" t="s">
        <v>125</v>
      </c>
      <c r="J6" t="s">
        <v>116</v>
      </c>
      <c r="O6" t="s">
        <v>179</v>
      </c>
      <c r="P6" s="135">
        <f>VLOOKUP(O6,Dashboard!$B$19:$I$396,8,FALSE)</f>
        <v>33930.739000000001</v>
      </c>
      <c r="Q6" t="str">
        <f t="shared" si="0"/>
        <v>Health Care</v>
      </c>
    </row>
    <row r="7" spans="1:17" ht="15.75" thickBot="1">
      <c r="A7" t="s">
        <v>180</v>
      </c>
      <c r="B7" t="s">
        <v>203</v>
      </c>
      <c r="C7" t="s">
        <v>106</v>
      </c>
      <c r="D7" t="s">
        <v>116</v>
      </c>
      <c r="F7" s="7"/>
      <c r="H7" t="s">
        <v>179</v>
      </c>
      <c r="I7" t="s">
        <v>202</v>
      </c>
      <c r="J7" t="s">
        <v>116</v>
      </c>
      <c r="O7" t="s">
        <v>180</v>
      </c>
      <c r="P7" s="135">
        <f>VLOOKUP(O7,Dashboard!$B$19:$I$396,8,FALSE)</f>
        <v>61629.749999999993</v>
      </c>
      <c r="Q7" t="str">
        <f t="shared" si="0"/>
        <v>Health Care</v>
      </c>
    </row>
    <row r="8" spans="1:17" ht="15.75" thickBot="1">
      <c r="A8" t="s">
        <v>181</v>
      </c>
      <c r="B8" t="s">
        <v>204</v>
      </c>
      <c r="C8" t="s">
        <v>106</v>
      </c>
      <c r="D8" t="s">
        <v>1471</v>
      </c>
      <c r="F8" s="7"/>
      <c r="H8" t="s">
        <v>180</v>
      </c>
      <c r="I8" t="s">
        <v>203</v>
      </c>
      <c r="J8" t="s">
        <v>116</v>
      </c>
      <c r="O8" t="s">
        <v>181</v>
      </c>
      <c r="P8" s="135">
        <f>VLOOKUP(O8,Dashboard!$B$19:$I$396,8,FALSE)</f>
        <v>37478.68</v>
      </c>
      <c r="Q8" t="str">
        <f t="shared" si="0"/>
        <v>Info Tech</v>
      </c>
    </row>
    <row r="9" spans="1:17" ht="15.75" thickBot="1">
      <c r="A9" t="s">
        <v>33</v>
      </c>
      <c r="B9" t="s">
        <v>205</v>
      </c>
      <c r="C9" t="s">
        <v>106</v>
      </c>
      <c r="D9" t="s">
        <v>1472</v>
      </c>
      <c r="F9" s="7"/>
      <c r="H9" t="s">
        <v>181</v>
      </c>
      <c r="I9" t="s">
        <v>204</v>
      </c>
      <c r="J9" t="s">
        <v>1100</v>
      </c>
      <c r="O9" t="s">
        <v>33</v>
      </c>
      <c r="P9" s="135">
        <f>VLOOKUP(O9,Dashboard!$B$19:$I$396,8,FALSE)</f>
        <v>34094.740000000005</v>
      </c>
      <c r="Q9" t="str">
        <f t="shared" si="0"/>
        <v>Comm Serv</v>
      </c>
    </row>
    <row r="10" spans="1:17" ht="15.75" thickBot="1">
      <c r="A10" t="s">
        <v>182</v>
      </c>
      <c r="B10" t="s">
        <v>182</v>
      </c>
      <c r="C10" t="s">
        <v>106</v>
      </c>
      <c r="D10" t="s">
        <v>1473</v>
      </c>
      <c r="F10" s="7"/>
      <c r="H10" t="s">
        <v>33</v>
      </c>
      <c r="I10" t="s">
        <v>205</v>
      </c>
      <c r="J10" t="s">
        <v>1108</v>
      </c>
      <c r="O10" t="s">
        <v>182</v>
      </c>
      <c r="P10" s="135">
        <f>VLOOKUP(O10,Dashboard!$B$19:$I$396,8,FALSE)</f>
        <v>189012.01500000001</v>
      </c>
      <c r="Q10" t="str">
        <f t="shared" si="0"/>
        <v>Cons Stapl</v>
      </c>
    </row>
    <row r="11" spans="1:17" ht="15.75" thickBot="1">
      <c r="A11" t="s">
        <v>27</v>
      </c>
      <c r="B11" t="s">
        <v>206</v>
      </c>
      <c r="C11" t="s">
        <v>106</v>
      </c>
      <c r="D11" t="s">
        <v>1471</v>
      </c>
      <c r="F11" s="7"/>
      <c r="H11" t="s">
        <v>182</v>
      </c>
      <c r="I11" t="s">
        <v>182</v>
      </c>
      <c r="J11" t="s">
        <v>1109</v>
      </c>
      <c r="O11" t="s">
        <v>27</v>
      </c>
      <c r="P11" s="135">
        <f>VLOOKUP(O11,Dashboard!$B$19:$I$396,8,FALSE)</f>
        <v>17933.542000000001</v>
      </c>
      <c r="Q11" t="str">
        <f t="shared" si="0"/>
        <v>Info Tech</v>
      </c>
    </row>
    <row r="12" spans="1:17" ht="15.75" thickBot="1">
      <c r="A12" t="s">
        <v>183</v>
      </c>
      <c r="B12" t="s">
        <v>207</v>
      </c>
      <c r="C12" t="s">
        <v>106</v>
      </c>
      <c r="D12" t="s">
        <v>1474</v>
      </c>
      <c r="F12" s="7"/>
      <c r="H12" t="s">
        <v>27</v>
      </c>
      <c r="I12" t="s">
        <v>206</v>
      </c>
      <c r="J12" t="s">
        <v>1100</v>
      </c>
      <c r="O12" t="s">
        <v>183</v>
      </c>
      <c r="P12" s="135">
        <f>VLOOKUP(O12,Dashboard!$B$19:$I$396,8,FALSE)</f>
        <v>60477.754999999997</v>
      </c>
      <c r="Q12" t="str">
        <f t="shared" si="0"/>
        <v>Cons Disc</v>
      </c>
    </row>
    <row r="13" spans="1:17" ht="15.75" thickBot="1">
      <c r="A13" t="s">
        <v>29</v>
      </c>
      <c r="B13" t="s">
        <v>208</v>
      </c>
      <c r="C13" t="s">
        <v>106</v>
      </c>
      <c r="D13" t="s">
        <v>1471</v>
      </c>
      <c r="F13" s="23"/>
      <c r="H13" t="s">
        <v>183</v>
      </c>
      <c r="I13" t="s">
        <v>207</v>
      </c>
      <c r="J13" t="s">
        <v>1107</v>
      </c>
      <c r="O13" t="s">
        <v>29</v>
      </c>
      <c r="P13" s="135">
        <f>VLOOKUP(O13,Dashboard!$B$19:$I$396,8,FALSE)</f>
        <v>29455.58</v>
      </c>
      <c r="Q13" t="str">
        <f t="shared" si="0"/>
        <v>Info Tech</v>
      </c>
    </row>
    <row r="14" spans="1:17" ht="15.75" thickBot="1">
      <c r="A14" t="s">
        <v>184</v>
      </c>
      <c r="B14" t="s">
        <v>209</v>
      </c>
      <c r="C14" t="s">
        <v>106</v>
      </c>
      <c r="D14" t="s">
        <v>235</v>
      </c>
      <c r="F14" s="7"/>
      <c r="H14" t="s">
        <v>29</v>
      </c>
      <c r="I14" t="s">
        <v>208</v>
      </c>
      <c r="J14" t="s">
        <v>1100</v>
      </c>
      <c r="O14" t="s">
        <v>184</v>
      </c>
      <c r="P14" s="135">
        <f>VLOOKUP(O14,Dashboard!$B$19:$I$396,8,FALSE)</f>
        <v>134315.6</v>
      </c>
      <c r="Q14" t="str">
        <f t="shared" si="0"/>
        <v>Utilities</v>
      </c>
    </row>
    <row r="15" spans="1:17" ht="15.75" thickBot="1">
      <c r="A15" t="s">
        <v>185</v>
      </c>
      <c r="B15" t="s">
        <v>210</v>
      </c>
      <c r="C15" t="s">
        <v>106</v>
      </c>
      <c r="D15" t="s">
        <v>123</v>
      </c>
      <c r="H15" t="s">
        <v>184</v>
      </c>
      <c r="I15" t="s">
        <v>209</v>
      </c>
      <c r="J15" t="s">
        <v>235</v>
      </c>
      <c r="O15" t="s">
        <v>185</v>
      </c>
      <c r="P15" s="135">
        <f>VLOOKUP(O15,Dashboard!$B$19:$I$396,8,FALSE)</f>
        <v>246097.6</v>
      </c>
      <c r="Q15" t="str">
        <f t="shared" si="0"/>
        <v>Financials</v>
      </c>
    </row>
    <row r="16" spans="1:17" ht="15.75" thickBot="1">
      <c r="A16" t="s">
        <v>186</v>
      </c>
      <c r="B16" t="s">
        <v>211</v>
      </c>
      <c r="C16" t="s">
        <v>106</v>
      </c>
      <c r="D16" t="s">
        <v>116</v>
      </c>
      <c r="H16" t="s">
        <v>185</v>
      </c>
      <c r="I16" t="s">
        <v>210</v>
      </c>
      <c r="J16" t="s">
        <v>123</v>
      </c>
      <c r="O16" t="s">
        <v>186</v>
      </c>
      <c r="P16" s="135">
        <f>VLOOKUP(O16,Dashboard!$B$19:$I$396,8,FALSE)</f>
        <v>37775.360000000001</v>
      </c>
      <c r="Q16" t="str">
        <f t="shared" si="0"/>
        <v>Health Care</v>
      </c>
    </row>
    <row r="17" spans="1:17" ht="15.75" thickBot="1">
      <c r="A17" t="s">
        <v>187</v>
      </c>
      <c r="B17" t="s">
        <v>212</v>
      </c>
      <c r="C17" t="s">
        <v>106</v>
      </c>
      <c r="D17" t="s">
        <v>117</v>
      </c>
      <c r="H17" t="s">
        <v>186</v>
      </c>
      <c r="I17" t="s">
        <v>211</v>
      </c>
      <c r="J17" t="s">
        <v>116</v>
      </c>
      <c r="O17" t="s">
        <v>187</v>
      </c>
      <c r="P17" s="135">
        <f>VLOOKUP(O17,Dashboard!$B$19:$I$396,8,FALSE)</f>
        <v>107390.895</v>
      </c>
      <c r="Q17" t="str">
        <f t="shared" si="0"/>
        <v>Materials</v>
      </c>
    </row>
    <row r="18" spans="1:17" ht="15.75" thickBot="1">
      <c r="A18" t="s">
        <v>188</v>
      </c>
      <c r="B18" t="s">
        <v>213</v>
      </c>
      <c r="C18" t="s">
        <v>106</v>
      </c>
      <c r="D18" t="s">
        <v>1471</v>
      </c>
      <c r="H18" t="s">
        <v>187</v>
      </c>
      <c r="I18" t="s">
        <v>212</v>
      </c>
      <c r="J18" t="s">
        <v>117</v>
      </c>
      <c r="O18" t="s">
        <v>188</v>
      </c>
      <c r="P18" s="135">
        <f>VLOOKUP(O18,Dashboard!$B$19:$I$396,8,FALSE)</f>
        <v>70506.590000000011</v>
      </c>
      <c r="Q18" t="str">
        <f t="shared" si="0"/>
        <v>Info Tech</v>
      </c>
    </row>
    <row r="19" spans="1:17" ht="15.75" thickBot="1">
      <c r="A19" t="s">
        <v>151</v>
      </c>
      <c r="B19" t="s">
        <v>214</v>
      </c>
      <c r="C19" t="s">
        <v>106</v>
      </c>
      <c r="D19" t="s">
        <v>118</v>
      </c>
      <c r="H19" t="s">
        <v>188</v>
      </c>
      <c r="I19" t="s">
        <v>213</v>
      </c>
      <c r="J19" t="s">
        <v>1100</v>
      </c>
      <c r="O19" t="s">
        <v>151</v>
      </c>
      <c r="P19" s="135">
        <f>VLOOKUP(O19,Dashboard!$B$19:$I$396,8,FALSE)</f>
        <v>39017.730000000003</v>
      </c>
      <c r="Q19" t="str">
        <f t="shared" si="0"/>
        <v>Industrials</v>
      </c>
    </row>
    <row r="20" spans="1:17" ht="15.75" thickBot="1">
      <c r="A20" t="s">
        <v>189</v>
      </c>
      <c r="B20" t="s">
        <v>215</v>
      </c>
      <c r="C20" t="s">
        <v>106</v>
      </c>
      <c r="D20" t="s">
        <v>117</v>
      </c>
      <c r="H20" t="s">
        <v>151</v>
      </c>
      <c r="I20" t="s">
        <v>214</v>
      </c>
      <c r="J20" t="s">
        <v>118</v>
      </c>
      <c r="O20" t="s">
        <v>189</v>
      </c>
      <c r="P20" s="135">
        <f>VLOOKUP(O20,Dashboard!$B$19:$I$396,8,FALSE)</f>
        <v>27741.84</v>
      </c>
      <c r="Q20" t="str">
        <f t="shared" si="0"/>
        <v>Materials</v>
      </c>
    </row>
    <row r="21" spans="1:17" ht="15.75" thickBot="1">
      <c r="A21" t="s">
        <v>32</v>
      </c>
      <c r="B21" t="s">
        <v>216</v>
      </c>
      <c r="C21" t="s">
        <v>106</v>
      </c>
      <c r="D21" t="s">
        <v>236</v>
      </c>
      <c r="H21" t="s">
        <v>189</v>
      </c>
      <c r="I21" t="s">
        <v>215</v>
      </c>
      <c r="J21" t="s">
        <v>117</v>
      </c>
      <c r="O21" t="s">
        <v>32</v>
      </c>
      <c r="P21" s="135">
        <f>VLOOKUP(O21,Dashboard!$B$19:$I$396,8,FALSE)</f>
        <v>344757.66000000003</v>
      </c>
      <c r="Q21" t="str">
        <f t="shared" si="0"/>
        <v>Real Estate</v>
      </c>
    </row>
    <row r="22" spans="1:17" ht="15.75" thickBot="1">
      <c r="A22" t="s">
        <v>190</v>
      </c>
      <c r="B22" t="s">
        <v>217</v>
      </c>
      <c r="C22" t="s">
        <v>106</v>
      </c>
      <c r="D22" t="s">
        <v>116</v>
      </c>
      <c r="H22" t="s">
        <v>32</v>
      </c>
      <c r="I22" t="s">
        <v>216</v>
      </c>
      <c r="J22" t="s">
        <v>236</v>
      </c>
      <c r="O22" t="s">
        <v>190</v>
      </c>
      <c r="P22" s="135">
        <f>VLOOKUP(O22,Dashboard!$B$19:$I$396,8,FALSE)</f>
        <v>43517.37</v>
      </c>
      <c r="Q22" t="str">
        <f t="shared" si="0"/>
        <v>Health Care</v>
      </c>
    </row>
    <row r="23" spans="1:17" ht="15.75" thickBot="1">
      <c r="A23" t="s">
        <v>191</v>
      </c>
      <c r="B23" t="s">
        <v>218</v>
      </c>
      <c r="C23" t="s">
        <v>106</v>
      </c>
      <c r="D23" t="s">
        <v>118</v>
      </c>
      <c r="H23" t="s">
        <v>190</v>
      </c>
      <c r="I23" t="s">
        <v>217</v>
      </c>
      <c r="J23" t="s">
        <v>116</v>
      </c>
      <c r="O23" t="s">
        <v>191</v>
      </c>
      <c r="P23" s="135">
        <f>VLOOKUP(O23,Dashboard!$B$19:$I$396,8,FALSE)</f>
        <v>31215.145</v>
      </c>
      <c r="Q23" t="str">
        <f t="shared" si="0"/>
        <v>Industrials</v>
      </c>
    </row>
    <row r="24" spans="1:17" ht="15.75" thickBot="1">
      <c r="A24" t="s">
        <v>192</v>
      </c>
      <c r="B24" t="s">
        <v>219</v>
      </c>
      <c r="C24" t="s">
        <v>106</v>
      </c>
      <c r="D24" t="s">
        <v>235</v>
      </c>
      <c r="H24" t="s">
        <v>191</v>
      </c>
      <c r="I24" t="s">
        <v>218</v>
      </c>
      <c r="J24" t="s">
        <v>118</v>
      </c>
      <c r="O24" t="s">
        <v>192</v>
      </c>
      <c r="P24" s="135">
        <f>VLOOKUP(O24,Dashboard!$B$19:$I$396,8,FALSE)</f>
        <v>244944.66150000002</v>
      </c>
      <c r="Q24" t="str">
        <f t="shared" si="0"/>
        <v>Utilities</v>
      </c>
    </row>
    <row r="25" spans="1:17" ht="15.75" thickBot="1">
      <c r="A25" t="s">
        <v>193</v>
      </c>
      <c r="B25" t="s">
        <v>220</v>
      </c>
      <c r="C25" t="s">
        <v>106</v>
      </c>
      <c r="D25" t="s">
        <v>123</v>
      </c>
      <c r="H25" t="s">
        <v>192</v>
      </c>
      <c r="I25" t="s">
        <v>219</v>
      </c>
      <c r="J25" t="s">
        <v>235</v>
      </c>
      <c r="O25" t="s">
        <v>193</v>
      </c>
      <c r="P25" s="135">
        <f>VLOOKUP(O25,Dashboard!$B$19:$I$396,8,FALSE)</f>
        <v>37365.915000000001</v>
      </c>
      <c r="Q25" t="str">
        <f t="shared" si="0"/>
        <v>Financials</v>
      </c>
    </row>
    <row r="26" spans="1:17" ht="15.75" thickBot="1">
      <c r="A26" t="s">
        <v>54</v>
      </c>
      <c r="B26" t="s">
        <v>221</v>
      </c>
      <c r="C26" t="s">
        <v>106</v>
      </c>
      <c r="D26" t="s">
        <v>1472</v>
      </c>
      <c r="H26" t="s">
        <v>193</v>
      </c>
      <c r="I26" t="s">
        <v>220</v>
      </c>
      <c r="J26" t="s">
        <v>123</v>
      </c>
      <c r="O26" t="s">
        <v>54</v>
      </c>
      <c r="P26" s="135">
        <f>VLOOKUP(O26,Dashboard!$B$19:$I$396,8,FALSE)</f>
        <v>35419.68</v>
      </c>
      <c r="Q26" t="str">
        <f t="shared" si="0"/>
        <v>Comm Serv</v>
      </c>
    </row>
    <row r="27" spans="1:17" ht="15.75" thickBot="1">
      <c r="A27" t="s">
        <v>53</v>
      </c>
      <c r="B27" t="s">
        <v>222</v>
      </c>
      <c r="C27" t="s">
        <v>106</v>
      </c>
      <c r="D27" t="s">
        <v>1472</v>
      </c>
      <c r="H27" t="s">
        <v>54</v>
      </c>
      <c r="I27" t="s">
        <v>221</v>
      </c>
      <c r="J27" t="s">
        <v>1108</v>
      </c>
      <c r="O27" t="s">
        <v>53</v>
      </c>
      <c r="P27" s="135">
        <f>VLOOKUP(O27,Dashboard!$B$19:$I$396,8,FALSE)</f>
        <v>21240</v>
      </c>
      <c r="Q27" t="str">
        <f t="shared" si="0"/>
        <v>Comm Serv</v>
      </c>
    </row>
    <row r="28" spans="1:17" ht="15.75" thickBot="1">
      <c r="A28" t="s">
        <v>155</v>
      </c>
      <c r="B28" t="s">
        <v>223</v>
      </c>
      <c r="C28" t="s">
        <v>106</v>
      </c>
      <c r="D28" t="s">
        <v>1473</v>
      </c>
      <c r="H28" t="s">
        <v>53</v>
      </c>
      <c r="I28" t="s">
        <v>222</v>
      </c>
      <c r="J28" t="s">
        <v>1108</v>
      </c>
      <c r="O28" t="s">
        <v>155</v>
      </c>
      <c r="P28" s="135">
        <f>VLOOKUP(O28,Dashboard!$B$19:$I$396,8,FALSE)</f>
        <v>41523.950000000004</v>
      </c>
      <c r="Q28" t="str">
        <f t="shared" si="0"/>
        <v>Cons Stapl</v>
      </c>
    </row>
    <row r="29" spans="1:17" ht="15.75" thickBot="1">
      <c r="A29" t="s">
        <v>31</v>
      </c>
      <c r="B29" t="s">
        <v>224</v>
      </c>
      <c r="C29" t="s">
        <v>106</v>
      </c>
      <c r="D29" t="s">
        <v>1474</v>
      </c>
      <c r="H29" t="s">
        <v>155</v>
      </c>
      <c r="I29" t="s">
        <v>223</v>
      </c>
      <c r="J29" t="s">
        <v>1109</v>
      </c>
      <c r="O29" t="s">
        <v>31</v>
      </c>
      <c r="P29" s="135">
        <f>VLOOKUP(O29,Dashboard!$B$19:$I$396,8,FALSE)</f>
        <v>98974.76</v>
      </c>
      <c r="Q29" t="str">
        <f t="shared" si="0"/>
        <v>Cons Disc</v>
      </c>
    </row>
    <row r="30" spans="1:17" ht="15.75" thickBot="1">
      <c r="A30" t="s">
        <v>194</v>
      </c>
      <c r="B30" t="s">
        <v>225</v>
      </c>
      <c r="C30" t="s">
        <v>106</v>
      </c>
      <c r="D30" t="s">
        <v>117</v>
      </c>
      <c r="H30" t="s">
        <v>31</v>
      </c>
      <c r="I30" t="s">
        <v>224</v>
      </c>
      <c r="J30" t="s">
        <v>1107</v>
      </c>
      <c r="O30" t="s">
        <v>194</v>
      </c>
      <c r="P30" s="135">
        <f>VLOOKUP(O30,Dashboard!$B$19:$I$396,8,FALSE)</f>
        <v>38952</v>
      </c>
      <c r="Q30" t="str">
        <f t="shared" si="0"/>
        <v>Materials</v>
      </c>
    </row>
    <row r="31" spans="1:17" ht="15.75" thickBot="1">
      <c r="A31" t="s">
        <v>195</v>
      </c>
      <c r="B31" t="s">
        <v>226</v>
      </c>
      <c r="C31" t="s">
        <v>106</v>
      </c>
      <c r="D31" t="s">
        <v>235</v>
      </c>
      <c r="H31" t="s">
        <v>194</v>
      </c>
      <c r="I31" t="s">
        <v>225</v>
      </c>
      <c r="J31" t="s">
        <v>117</v>
      </c>
      <c r="O31" t="s">
        <v>195</v>
      </c>
      <c r="P31" s="135">
        <f>VLOOKUP(O31,Dashboard!$B$19:$I$396,8,FALSE)</f>
        <v>36312.479999999996</v>
      </c>
      <c r="Q31" t="str">
        <f t="shared" si="0"/>
        <v>Utilities</v>
      </c>
    </row>
    <row r="32" spans="1:17" ht="15.75" thickBot="1">
      <c r="A32" t="s">
        <v>196</v>
      </c>
      <c r="B32" t="s">
        <v>227</v>
      </c>
      <c r="C32" t="s">
        <v>106</v>
      </c>
      <c r="D32" t="s">
        <v>118</v>
      </c>
      <c r="H32" t="s">
        <v>195</v>
      </c>
      <c r="I32" t="s">
        <v>226</v>
      </c>
      <c r="J32" t="s">
        <v>235</v>
      </c>
      <c r="O32" t="s">
        <v>196</v>
      </c>
      <c r="P32" s="135">
        <f>VLOOKUP(O32,Dashboard!$B$19:$I$396,8,FALSE)</f>
        <v>37644.78</v>
      </c>
      <c r="Q32" t="str">
        <f t="shared" si="0"/>
        <v>Industrials</v>
      </c>
    </row>
    <row r="33" spans="1:17" ht="15.75" thickBot="1">
      <c r="A33" t="s">
        <v>197</v>
      </c>
      <c r="B33" t="s">
        <v>228</v>
      </c>
      <c r="C33" t="s">
        <v>106</v>
      </c>
      <c r="D33" t="s">
        <v>235</v>
      </c>
      <c r="H33" t="s">
        <v>196</v>
      </c>
      <c r="I33" t="s">
        <v>227</v>
      </c>
      <c r="J33" t="s">
        <v>118</v>
      </c>
      <c r="O33" t="s">
        <v>197</v>
      </c>
      <c r="P33" s="135">
        <f>VLOOKUP(O33,Dashboard!$B$19:$I$396,8,FALSE)</f>
        <v>52586.310000000005</v>
      </c>
      <c r="Q33" t="str">
        <f t="shared" si="0"/>
        <v>Utilities</v>
      </c>
    </row>
    <row r="34" spans="1:17" ht="15.75" thickBot="1">
      <c r="A34" t="s">
        <v>34</v>
      </c>
      <c r="B34" t="s">
        <v>229</v>
      </c>
      <c r="C34" t="s">
        <v>106</v>
      </c>
      <c r="D34" t="s">
        <v>123</v>
      </c>
      <c r="H34" t="s">
        <v>197</v>
      </c>
      <c r="I34" t="s">
        <v>228</v>
      </c>
      <c r="J34" t="s">
        <v>235</v>
      </c>
      <c r="O34" t="s">
        <v>34</v>
      </c>
      <c r="P34" s="135">
        <f>VLOOKUP(O34,Dashboard!$B$19:$I$396,8,FALSE)</f>
        <v>48625.26</v>
      </c>
      <c r="Q34" t="str">
        <f t="shared" ref="Q34:Q36" si="1">VLOOKUP(O34,$H$4:$J$1000,3,FALSE)</f>
        <v>Financials</v>
      </c>
    </row>
    <row r="35" spans="1:17" ht="15.75" thickBot="1">
      <c r="A35" t="s">
        <v>198</v>
      </c>
      <c r="B35" t="s">
        <v>230</v>
      </c>
      <c r="C35" t="s">
        <v>106</v>
      </c>
      <c r="D35" t="s">
        <v>123</v>
      </c>
      <c r="H35" t="s">
        <v>34</v>
      </c>
      <c r="I35" t="s">
        <v>229</v>
      </c>
      <c r="J35" t="s">
        <v>123</v>
      </c>
      <c r="O35" t="s">
        <v>198</v>
      </c>
      <c r="P35" s="135">
        <f>VLOOKUP(O35,Dashboard!$B$19:$I$396,8,FALSE)</f>
        <v>86135.26999999999</v>
      </c>
      <c r="Q35" t="str">
        <f t="shared" si="1"/>
        <v>Financials</v>
      </c>
    </row>
    <row r="36" spans="1:17">
      <c r="A36" t="s">
        <v>199</v>
      </c>
      <c r="B36" t="s">
        <v>231</v>
      </c>
      <c r="C36" t="s">
        <v>106</v>
      </c>
      <c r="D36" t="s">
        <v>236</v>
      </c>
      <c r="H36" t="s">
        <v>198</v>
      </c>
      <c r="I36" t="s">
        <v>230</v>
      </c>
      <c r="J36" t="s">
        <v>123</v>
      </c>
      <c r="O36" t="s">
        <v>199</v>
      </c>
      <c r="P36" s="135">
        <f>VLOOKUP(O36,Dashboard!$B$19:$I$396,8,FALSE)</f>
        <v>41296.97</v>
      </c>
      <c r="Q36" t="str">
        <f t="shared" si="1"/>
        <v>Real Estate</v>
      </c>
    </row>
    <row r="37" spans="1:17">
      <c r="A37" t="s">
        <v>1148</v>
      </c>
      <c r="B37" t="s">
        <v>1149</v>
      </c>
      <c r="C37" t="s">
        <v>112</v>
      </c>
      <c r="D37" t="s">
        <v>1482</v>
      </c>
      <c r="H37" t="s">
        <v>199</v>
      </c>
      <c r="I37" t="s">
        <v>231</v>
      </c>
      <c r="J37" t="s">
        <v>236</v>
      </c>
      <c r="O37" s="136" t="s">
        <v>1104</v>
      </c>
      <c r="P37" t="s">
        <v>1106</v>
      </c>
    </row>
    <row r="38" spans="1:17">
      <c r="A38" t="s">
        <v>1151</v>
      </c>
      <c r="B38" t="s">
        <v>1152</v>
      </c>
      <c r="C38" t="s">
        <v>112</v>
      </c>
      <c r="D38" t="s">
        <v>1482</v>
      </c>
      <c r="H38" t="s">
        <v>237</v>
      </c>
      <c r="I38" t="s">
        <v>238</v>
      </c>
      <c r="J38" t="s">
        <v>235</v>
      </c>
      <c r="O38" s="137" t="s">
        <v>1100</v>
      </c>
      <c r="P38" s="3">
        <v>0.30010149205738867</v>
      </c>
    </row>
    <row r="39" spans="1:17">
      <c r="A39" t="s">
        <v>1154</v>
      </c>
      <c r="B39" t="s">
        <v>1155</v>
      </c>
      <c r="C39" t="s">
        <v>112</v>
      </c>
      <c r="D39" t="s">
        <v>1482</v>
      </c>
      <c r="H39" t="s">
        <v>239</v>
      </c>
      <c r="I39" t="s">
        <v>240</v>
      </c>
      <c r="J39" t="s">
        <v>123</v>
      </c>
      <c r="O39" s="137" t="s">
        <v>1107</v>
      </c>
      <c r="P39" s="3">
        <v>0.25675641496585488</v>
      </c>
    </row>
    <row r="40" spans="1:17">
      <c r="A40" t="s">
        <v>1157</v>
      </c>
      <c r="B40" t="s">
        <v>1158</v>
      </c>
      <c r="C40" t="s">
        <v>109</v>
      </c>
      <c r="D40" t="s">
        <v>1482</v>
      </c>
      <c r="H40" t="s">
        <v>241</v>
      </c>
      <c r="I40" t="s">
        <v>242</v>
      </c>
      <c r="J40" t="s">
        <v>116</v>
      </c>
      <c r="O40" s="137" t="s">
        <v>116</v>
      </c>
      <c r="P40" s="3">
        <v>0.11165024516901777</v>
      </c>
    </row>
    <row r="41" spans="1:17">
      <c r="A41" t="s">
        <v>1160</v>
      </c>
      <c r="B41" t="s">
        <v>1161</v>
      </c>
      <c r="C41" t="s">
        <v>109</v>
      </c>
      <c r="D41" t="s">
        <v>1482</v>
      </c>
      <c r="H41" t="s">
        <v>243</v>
      </c>
      <c r="I41" t="s">
        <v>244</v>
      </c>
      <c r="J41" t="s">
        <v>118</v>
      </c>
      <c r="O41" s="137" t="s">
        <v>123</v>
      </c>
      <c r="P41" s="3">
        <v>7.2713584082449573E-2</v>
      </c>
    </row>
    <row r="42" spans="1:17">
      <c r="A42" t="s">
        <v>1163</v>
      </c>
      <c r="B42" t="s">
        <v>1164</v>
      </c>
      <c r="C42" t="s">
        <v>109</v>
      </c>
      <c r="D42" t="s">
        <v>1482</v>
      </c>
      <c r="H42" t="s">
        <v>30</v>
      </c>
      <c r="I42" t="s">
        <v>245</v>
      </c>
      <c r="J42" t="s">
        <v>116</v>
      </c>
      <c r="O42" s="137" t="s">
        <v>1101</v>
      </c>
      <c r="P42" s="3">
        <v>5.9497217890958791E-2</v>
      </c>
    </row>
    <row r="43" spans="1:17">
      <c r="A43" t="s">
        <v>80</v>
      </c>
      <c r="B43" t="s">
        <v>1166</v>
      </c>
      <c r="C43" t="s">
        <v>109</v>
      </c>
      <c r="D43" t="s">
        <v>1482</v>
      </c>
      <c r="H43" t="s">
        <v>246</v>
      </c>
      <c r="I43" t="s">
        <v>247</v>
      </c>
      <c r="J43" t="s">
        <v>1100</v>
      </c>
      <c r="O43" s="137" t="s">
        <v>258</v>
      </c>
      <c r="P43" s="3">
        <v>4.6216236121007823E-2</v>
      </c>
    </row>
    <row r="44" spans="1:17">
      <c r="A44" t="s">
        <v>1170</v>
      </c>
      <c r="B44" t="s">
        <v>1171</v>
      </c>
      <c r="C44" t="s">
        <v>103</v>
      </c>
      <c r="D44" t="s">
        <v>1482</v>
      </c>
      <c r="H44" t="s">
        <v>248</v>
      </c>
      <c r="I44" t="s">
        <v>249</v>
      </c>
      <c r="J44" t="s">
        <v>1100</v>
      </c>
      <c r="O44" s="137" t="s">
        <v>118</v>
      </c>
      <c r="P44" s="3">
        <v>4.2052853213111106E-2</v>
      </c>
    </row>
    <row r="45" spans="1:17">
      <c r="A45" t="s">
        <v>1173</v>
      </c>
      <c r="B45" t="s">
        <v>1174</v>
      </c>
      <c r="C45" t="s">
        <v>103</v>
      </c>
      <c r="D45" t="s">
        <v>1482</v>
      </c>
      <c r="H45" t="s">
        <v>250</v>
      </c>
      <c r="I45" t="s">
        <v>251</v>
      </c>
      <c r="J45" t="s">
        <v>1100</v>
      </c>
      <c r="O45" s="137" t="s">
        <v>236</v>
      </c>
      <c r="P45" s="3">
        <v>3.1073854666635915E-2</v>
      </c>
    </row>
    <row r="46" spans="1:17">
      <c r="A46" t="s">
        <v>1175</v>
      </c>
      <c r="B46" t="s">
        <v>1176</v>
      </c>
      <c r="C46" t="s">
        <v>103</v>
      </c>
      <c r="D46" t="s">
        <v>1482</v>
      </c>
      <c r="H46" t="s">
        <v>252</v>
      </c>
      <c r="I46" t="s">
        <v>253</v>
      </c>
      <c r="J46" t="s">
        <v>116</v>
      </c>
      <c r="O46" s="137" t="s">
        <v>1102</v>
      </c>
      <c r="P46" s="3">
        <v>2.8702257490173837E-2</v>
      </c>
    </row>
    <row r="47" spans="1:17">
      <c r="A47" t="s">
        <v>1177</v>
      </c>
      <c r="B47" t="s">
        <v>1178</v>
      </c>
      <c r="C47" t="s">
        <v>103</v>
      </c>
      <c r="D47" t="s">
        <v>1482</v>
      </c>
      <c r="H47" t="s">
        <v>254</v>
      </c>
      <c r="I47" t="s">
        <v>255</v>
      </c>
      <c r="J47" t="s">
        <v>123</v>
      </c>
      <c r="O47" s="137" t="s">
        <v>235</v>
      </c>
      <c r="P47" s="3">
        <v>2.8219143922256561E-2</v>
      </c>
    </row>
    <row r="48" spans="1:17">
      <c r="A48" t="s">
        <v>82</v>
      </c>
      <c r="B48" t="s">
        <v>83</v>
      </c>
      <c r="C48" t="s">
        <v>126</v>
      </c>
      <c r="D48" t="s">
        <v>1482</v>
      </c>
      <c r="H48" t="s">
        <v>256</v>
      </c>
      <c r="I48" t="s">
        <v>257</v>
      </c>
      <c r="J48" t="s">
        <v>258</v>
      </c>
      <c r="O48" s="137" t="s">
        <v>117</v>
      </c>
      <c r="P48" s="3">
        <v>2.3016700421144998E-2</v>
      </c>
    </row>
    <row r="49" spans="1:16">
      <c r="A49" t="s">
        <v>1179</v>
      </c>
      <c r="B49" t="s">
        <v>1180</v>
      </c>
      <c r="C49" t="s">
        <v>135</v>
      </c>
      <c r="D49" t="s">
        <v>1482</v>
      </c>
      <c r="H49" t="s">
        <v>25</v>
      </c>
      <c r="I49" t="s">
        <v>259</v>
      </c>
      <c r="J49" t="s">
        <v>1100</v>
      </c>
      <c r="O49" s="137" t="s">
        <v>1105</v>
      </c>
      <c r="P49" s="3">
        <v>1</v>
      </c>
    </row>
    <row r="50" spans="1:16">
      <c r="A50" t="s">
        <v>85</v>
      </c>
      <c r="B50" t="s">
        <v>1181</v>
      </c>
      <c r="C50" t="s">
        <v>128</v>
      </c>
      <c r="D50" t="s">
        <v>1482</v>
      </c>
      <c r="H50" t="s">
        <v>260</v>
      </c>
      <c r="I50" t="s">
        <v>261</v>
      </c>
      <c r="J50" t="s">
        <v>1100</v>
      </c>
    </row>
    <row r="51" spans="1:16">
      <c r="A51" t="s">
        <v>239</v>
      </c>
      <c r="B51" t="s">
        <v>240</v>
      </c>
      <c r="C51" t="s">
        <v>106</v>
      </c>
      <c r="D51" t="s">
        <v>123</v>
      </c>
      <c r="H51" t="s">
        <v>262</v>
      </c>
      <c r="I51" t="s">
        <v>263</v>
      </c>
      <c r="J51" t="s">
        <v>1107</v>
      </c>
    </row>
    <row r="52" spans="1:16">
      <c r="A52" t="s">
        <v>241</v>
      </c>
      <c r="B52" t="s">
        <v>242</v>
      </c>
      <c r="C52" t="s">
        <v>106</v>
      </c>
      <c r="D52" t="s">
        <v>116</v>
      </c>
      <c r="H52" t="s">
        <v>264</v>
      </c>
      <c r="I52" t="s">
        <v>265</v>
      </c>
      <c r="J52" t="s">
        <v>1100</v>
      </c>
    </row>
    <row r="53" spans="1:16">
      <c r="A53" t="s">
        <v>243</v>
      </c>
      <c r="B53" t="s">
        <v>244</v>
      </c>
      <c r="C53" t="s">
        <v>106</v>
      </c>
      <c r="D53" t="s">
        <v>118</v>
      </c>
      <c r="H53" t="s">
        <v>266</v>
      </c>
      <c r="I53" t="s">
        <v>267</v>
      </c>
      <c r="J53" t="s">
        <v>123</v>
      </c>
    </row>
    <row r="54" spans="1:16">
      <c r="A54" t="s">
        <v>30</v>
      </c>
      <c r="B54" t="s">
        <v>245</v>
      </c>
      <c r="C54" t="s">
        <v>106</v>
      </c>
      <c r="D54" t="s">
        <v>116</v>
      </c>
      <c r="H54" t="s">
        <v>268</v>
      </c>
      <c r="I54" t="s">
        <v>269</v>
      </c>
      <c r="J54" t="s">
        <v>123</v>
      </c>
    </row>
    <row r="55" spans="1:16">
      <c r="A55" t="s">
        <v>246</v>
      </c>
      <c r="B55" t="s">
        <v>247</v>
      </c>
      <c r="C55" t="s">
        <v>106</v>
      </c>
      <c r="D55" t="s">
        <v>1471</v>
      </c>
      <c r="H55" t="s">
        <v>158</v>
      </c>
      <c r="I55" t="s">
        <v>270</v>
      </c>
      <c r="J55" t="s">
        <v>1108</v>
      </c>
    </row>
    <row r="56" spans="1:16">
      <c r="A56" t="s">
        <v>248</v>
      </c>
      <c r="B56" t="s">
        <v>249</v>
      </c>
      <c r="C56" t="s">
        <v>106</v>
      </c>
      <c r="D56" t="s">
        <v>1471</v>
      </c>
      <c r="H56" t="s">
        <v>271</v>
      </c>
      <c r="I56" t="s">
        <v>272</v>
      </c>
      <c r="J56" t="s">
        <v>235</v>
      </c>
    </row>
    <row r="57" spans="1:16">
      <c r="A57" t="s">
        <v>250</v>
      </c>
      <c r="B57" t="s">
        <v>251</v>
      </c>
      <c r="C57" t="s">
        <v>106</v>
      </c>
      <c r="D57" t="s">
        <v>1471</v>
      </c>
      <c r="H57" t="s">
        <v>28</v>
      </c>
      <c r="I57" t="s">
        <v>273</v>
      </c>
      <c r="J57" t="s">
        <v>1100</v>
      </c>
    </row>
    <row r="58" spans="1:16">
      <c r="A58" t="s">
        <v>252</v>
      </c>
      <c r="B58" t="s">
        <v>253</v>
      </c>
      <c r="C58" t="s">
        <v>106</v>
      </c>
      <c r="D58" t="s">
        <v>116</v>
      </c>
      <c r="H58" t="s">
        <v>274</v>
      </c>
      <c r="I58" t="s">
        <v>275</v>
      </c>
      <c r="J58" t="s">
        <v>1100</v>
      </c>
    </row>
    <row r="59" spans="1:16">
      <c r="A59" t="s">
        <v>254</v>
      </c>
      <c r="B59" t="s">
        <v>255</v>
      </c>
      <c r="C59" t="s">
        <v>106</v>
      </c>
      <c r="D59" t="s">
        <v>123</v>
      </c>
      <c r="H59" t="s">
        <v>276</v>
      </c>
      <c r="I59" t="s">
        <v>277</v>
      </c>
      <c r="J59" t="s">
        <v>1107</v>
      </c>
    </row>
    <row r="60" spans="1:16">
      <c r="A60" t="s">
        <v>256</v>
      </c>
      <c r="B60" t="s">
        <v>257</v>
      </c>
      <c r="C60" t="s">
        <v>106</v>
      </c>
      <c r="D60" t="s">
        <v>258</v>
      </c>
      <c r="H60" t="s">
        <v>278</v>
      </c>
      <c r="I60" t="s">
        <v>279</v>
      </c>
      <c r="J60" t="s">
        <v>236</v>
      </c>
    </row>
    <row r="61" spans="1:16">
      <c r="A61" t="s">
        <v>25</v>
      </c>
      <c r="B61" t="s">
        <v>259</v>
      </c>
      <c r="C61" t="s">
        <v>106</v>
      </c>
      <c r="D61" t="s">
        <v>1471</v>
      </c>
      <c r="H61" t="s">
        <v>280</v>
      </c>
      <c r="I61" t="s">
        <v>281</v>
      </c>
      <c r="J61" t="s">
        <v>117</v>
      </c>
    </row>
    <row r="62" spans="1:16">
      <c r="A62" t="s">
        <v>260</v>
      </c>
      <c r="B62" t="s">
        <v>261</v>
      </c>
      <c r="C62" t="s">
        <v>106</v>
      </c>
      <c r="D62" t="s">
        <v>1471</v>
      </c>
      <c r="H62" t="s">
        <v>282</v>
      </c>
      <c r="I62" t="s">
        <v>283</v>
      </c>
      <c r="J62" t="s">
        <v>258</v>
      </c>
    </row>
    <row r="63" spans="1:16">
      <c r="A63" t="s">
        <v>262</v>
      </c>
      <c r="B63" t="s">
        <v>263</v>
      </c>
      <c r="C63" t="s">
        <v>106</v>
      </c>
      <c r="D63" t="s">
        <v>1474</v>
      </c>
      <c r="H63" t="s">
        <v>284</v>
      </c>
      <c r="I63" t="s">
        <v>285</v>
      </c>
      <c r="J63" t="s">
        <v>117</v>
      </c>
    </row>
    <row r="64" spans="1:16">
      <c r="A64" t="s">
        <v>264</v>
      </c>
      <c r="B64" t="s">
        <v>265</v>
      </c>
      <c r="C64" t="s">
        <v>106</v>
      </c>
      <c r="D64" t="s">
        <v>1471</v>
      </c>
      <c r="H64" t="s">
        <v>35</v>
      </c>
      <c r="I64" t="s">
        <v>286</v>
      </c>
      <c r="J64" t="s">
        <v>123</v>
      </c>
    </row>
    <row r="65" spans="1:10">
      <c r="A65" t="s">
        <v>266</v>
      </c>
      <c r="B65" t="s">
        <v>267</v>
      </c>
      <c r="C65" t="s">
        <v>106</v>
      </c>
      <c r="D65" t="s">
        <v>123</v>
      </c>
      <c r="H65" t="s">
        <v>170</v>
      </c>
      <c r="I65" t="s">
        <v>287</v>
      </c>
      <c r="J65" t="s">
        <v>1107</v>
      </c>
    </row>
    <row r="66" spans="1:10">
      <c r="A66" t="s">
        <v>268</v>
      </c>
      <c r="B66" t="s">
        <v>269</v>
      </c>
      <c r="C66" t="s">
        <v>106</v>
      </c>
      <c r="D66" t="s">
        <v>123</v>
      </c>
      <c r="H66" t="s">
        <v>36</v>
      </c>
      <c r="I66" t="s">
        <v>288</v>
      </c>
      <c r="J66" t="s">
        <v>116</v>
      </c>
    </row>
    <row r="67" spans="1:10">
      <c r="A67" t="s">
        <v>158</v>
      </c>
      <c r="B67" t="s">
        <v>270</v>
      </c>
      <c r="C67" t="s">
        <v>106</v>
      </c>
      <c r="D67" t="s">
        <v>1472</v>
      </c>
      <c r="H67" t="s">
        <v>289</v>
      </c>
      <c r="I67" t="s">
        <v>290</v>
      </c>
      <c r="J67" t="s">
        <v>116</v>
      </c>
    </row>
    <row r="68" spans="1:10">
      <c r="A68" t="s">
        <v>271</v>
      </c>
      <c r="B68" t="s">
        <v>272</v>
      </c>
      <c r="C68" t="s">
        <v>106</v>
      </c>
      <c r="D68" t="s">
        <v>235</v>
      </c>
      <c r="H68" t="s">
        <v>291</v>
      </c>
      <c r="I68" t="s">
        <v>292</v>
      </c>
      <c r="J68" t="s">
        <v>123</v>
      </c>
    </row>
    <row r="69" spans="1:10">
      <c r="A69" t="s">
        <v>28</v>
      </c>
      <c r="B69" t="s">
        <v>273</v>
      </c>
      <c r="C69" t="s">
        <v>106</v>
      </c>
      <c r="D69" t="s">
        <v>1471</v>
      </c>
      <c r="H69" t="s">
        <v>159</v>
      </c>
      <c r="I69" t="s">
        <v>293</v>
      </c>
      <c r="J69" t="s">
        <v>1107</v>
      </c>
    </row>
    <row r="70" spans="1:10">
      <c r="A70" t="s">
        <v>274</v>
      </c>
      <c r="B70" t="s">
        <v>275</v>
      </c>
      <c r="C70" t="s">
        <v>106</v>
      </c>
      <c r="D70" t="s">
        <v>1471</v>
      </c>
      <c r="H70" t="s">
        <v>294</v>
      </c>
      <c r="I70" t="s">
        <v>295</v>
      </c>
      <c r="J70" t="s">
        <v>116</v>
      </c>
    </row>
    <row r="71" spans="1:10">
      <c r="A71" t="s">
        <v>276</v>
      </c>
      <c r="B71" t="s">
        <v>277</v>
      </c>
      <c r="C71" t="s">
        <v>106</v>
      </c>
      <c r="D71" t="s">
        <v>1474</v>
      </c>
      <c r="H71" t="s">
        <v>296</v>
      </c>
      <c r="I71" t="s">
        <v>297</v>
      </c>
      <c r="J71" t="s">
        <v>116</v>
      </c>
    </row>
    <row r="72" spans="1:10">
      <c r="A72" t="s">
        <v>278</v>
      </c>
      <c r="B72" t="s">
        <v>279</v>
      </c>
      <c r="C72" t="s">
        <v>106</v>
      </c>
      <c r="D72" t="s">
        <v>236</v>
      </c>
      <c r="H72" t="s">
        <v>37</v>
      </c>
      <c r="I72" t="s">
        <v>298</v>
      </c>
      <c r="J72" t="s">
        <v>116</v>
      </c>
    </row>
    <row r="73" spans="1:10">
      <c r="A73" t="s">
        <v>280</v>
      </c>
      <c r="B73" t="s">
        <v>281</v>
      </c>
      <c r="C73" t="s">
        <v>106</v>
      </c>
      <c r="D73" t="s">
        <v>117</v>
      </c>
      <c r="H73" t="s">
        <v>39</v>
      </c>
      <c r="I73" t="s">
        <v>299</v>
      </c>
      <c r="J73" t="s">
        <v>123</v>
      </c>
    </row>
    <row r="74" spans="1:10">
      <c r="A74" t="s">
        <v>282</v>
      </c>
      <c r="B74" t="s">
        <v>283</v>
      </c>
      <c r="C74" t="s">
        <v>106</v>
      </c>
      <c r="D74" t="s">
        <v>258</v>
      </c>
      <c r="H74" t="s">
        <v>300</v>
      </c>
      <c r="I74" t="s">
        <v>301</v>
      </c>
      <c r="J74" t="s">
        <v>123</v>
      </c>
    </row>
    <row r="75" spans="1:10">
      <c r="A75" t="s">
        <v>284</v>
      </c>
      <c r="B75" t="s">
        <v>285</v>
      </c>
      <c r="C75" t="s">
        <v>106</v>
      </c>
      <c r="D75" t="s">
        <v>117</v>
      </c>
      <c r="H75" t="s">
        <v>108</v>
      </c>
      <c r="I75" t="s">
        <v>302</v>
      </c>
      <c r="J75" t="s">
        <v>118</v>
      </c>
    </row>
    <row r="76" spans="1:10">
      <c r="A76" t="s">
        <v>35</v>
      </c>
      <c r="B76" t="s">
        <v>286</v>
      </c>
      <c r="C76" t="s">
        <v>106</v>
      </c>
      <c r="D76" t="s">
        <v>123</v>
      </c>
      <c r="H76" t="s">
        <v>38</v>
      </c>
      <c r="I76" t="s">
        <v>303</v>
      </c>
      <c r="J76" t="s">
        <v>1107</v>
      </c>
    </row>
    <row r="77" spans="1:10">
      <c r="A77" t="s">
        <v>170</v>
      </c>
      <c r="B77" t="s">
        <v>287</v>
      </c>
      <c r="C77" t="s">
        <v>106</v>
      </c>
      <c r="D77" t="s">
        <v>1474</v>
      </c>
      <c r="H77" t="s">
        <v>304</v>
      </c>
      <c r="I77" t="s">
        <v>305</v>
      </c>
      <c r="J77" t="s">
        <v>1107</v>
      </c>
    </row>
    <row r="78" spans="1:10">
      <c r="A78" t="s">
        <v>36</v>
      </c>
      <c r="B78" t="s">
        <v>288</v>
      </c>
      <c r="C78" t="s">
        <v>106</v>
      </c>
      <c r="D78" t="s">
        <v>116</v>
      </c>
      <c r="H78" t="s">
        <v>306</v>
      </c>
      <c r="I78" t="s">
        <v>307</v>
      </c>
      <c r="J78" t="s">
        <v>236</v>
      </c>
    </row>
    <row r="79" spans="1:10">
      <c r="A79" t="s">
        <v>289</v>
      </c>
      <c r="B79" t="s">
        <v>290</v>
      </c>
      <c r="C79" t="s">
        <v>106</v>
      </c>
      <c r="D79" t="s">
        <v>116</v>
      </c>
      <c r="H79" t="s">
        <v>308</v>
      </c>
      <c r="I79" t="s">
        <v>309</v>
      </c>
      <c r="J79" t="s">
        <v>116</v>
      </c>
    </row>
    <row r="80" spans="1:10">
      <c r="A80" t="s">
        <v>291</v>
      </c>
      <c r="B80" t="s">
        <v>292</v>
      </c>
      <c r="C80" t="s">
        <v>106</v>
      </c>
      <c r="D80" t="s">
        <v>123</v>
      </c>
      <c r="H80" t="s">
        <v>310</v>
      </c>
      <c r="I80" t="s">
        <v>311</v>
      </c>
      <c r="J80" t="s">
        <v>116</v>
      </c>
    </row>
    <row r="81" spans="1:10">
      <c r="A81" t="s">
        <v>159</v>
      </c>
      <c r="B81" t="s">
        <v>293</v>
      </c>
      <c r="C81" t="s">
        <v>106</v>
      </c>
      <c r="D81" t="s">
        <v>1474</v>
      </c>
      <c r="H81" t="s">
        <v>312</v>
      </c>
      <c r="I81" t="s">
        <v>313</v>
      </c>
      <c r="J81" t="s">
        <v>1100</v>
      </c>
    </row>
    <row r="82" spans="1:10">
      <c r="A82" t="s">
        <v>294</v>
      </c>
      <c r="B82" t="s">
        <v>295</v>
      </c>
      <c r="C82" t="s">
        <v>106</v>
      </c>
      <c r="D82" t="s">
        <v>116</v>
      </c>
      <c r="H82" t="s">
        <v>314</v>
      </c>
      <c r="I82" t="s">
        <v>315</v>
      </c>
      <c r="J82" t="s">
        <v>1100</v>
      </c>
    </row>
    <row r="83" spans="1:10">
      <c r="A83" t="s">
        <v>296</v>
      </c>
      <c r="B83" t="s">
        <v>297</v>
      </c>
      <c r="C83" t="s">
        <v>106</v>
      </c>
      <c r="D83" t="s">
        <v>116</v>
      </c>
      <c r="H83" t="s">
        <v>316</v>
      </c>
      <c r="I83" t="s">
        <v>317</v>
      </c>
      <c r="J83" t="s">
        <v>123</v>
      </c>
    </row>
    <row r="84" spans="1:10">
      <c r="A84" t="s">
        <v>37</v>
      </c>
      <c r="B84" t="s">
        <v>298</v>
      </c>
      <c r="C84" t="s">
        <v>106</v>
      </c>
      <c r="D84" t="s">
        <v>116</v>
      </c>
      <c r="H84" t="s">
        <v>318</v>
      </c>
      <c r="I84" t="s">
        <v>319</v>
      </c>
      <c r="J84" t="s">
        <v>1109</v>
      </c>
    </row>
    <row r="85" spans="1:10">
      <c r="A85" t="s">
        <v>39</v>
      </c>
      <c r="B85" t="s">
        <v>299</v>
      </c>
      <c r="C85" t="s">
        <v>106</v>
      </c>
      <c r="D85" t="s">
        <v>123</v>
      </c>
      <c r="H85" t="s">
        <v>320</v>
      </c>
      <c r="I85" t="s">
        <v>321</v>
      </c>
      <c r="J85" t="s">
        <v>118</v>
      </c>
    </row>
    <row r="86" spans="1:10">
      <c r="A86" t="s">
        <v>300</v>
      </c>
      <c r="B86" t="s">
        <v>301</v>
      </c>
      <c r="C86" t="s">
        <v>106</v>
      </c>
      <c r="D86" t="s">
        <v>123</v>
      </c>
      <c r="H86" t="s">
        <v>41</v>
      </c>
      <c r="I86" t="s">
        <v>322</v>
      </c>
      <c r="J86" t="s">
        <v>1100</v>
      </c>
    </row>
    <row r="87" spans="1:10">
      <c r="A87" t="s">
        <v>108</v>
      </c>
      <c r="B87" t="s">
        <v>302</v>
      </c>
      <c r="C87" t="s">
        <v>106</v>
      </c>
      <c r="D87" t="s">
        <v>118</v>
      </c>
      <c r="H87" t="s">
        <v>323</v>
      </c>
      <c r="I87" t="s">
        <v>324</v>
      </c>
      <c r="J87" t="s">
        <v>1107</v>
      </c>
    </row>
    <row r="88" spans="1:10">
      <c r="A88" t="s">
        <v>38</v>
      </c>
      <c r="B88" t="s">
        <v>303</v>
      </c>
      <c r="C88" t="s">
        <v>106</v>
      </c>
      <c r="D88" t="s">
        <v>1474</v>
      </c>
      <c r="H88" t="s">
        <v>325</v>
      </c>
      <c r="I88" t="s">
        <v>326</v>
      </c>
      <c r="J88" t="s">
        <v>1109</v>
      </c>
    </row>
    <row r="89" spans="1:10">
      <c r="A89" t="s">
        <v>304</v>
      </c>
      <c r="B89" t="s">
        <v>305</v>
      </c>
      <c r="C89" t="s">
        <v>106</v>
      </c>
      <c r="D89" t="s">
        <v>1474</v>
      </c>
      <c r="H89" t="s">
        <v>327</v>
      </c>
      <c r="I89" t="s">
        <v>328</v>
      </c>
      <c r="J89" t="s">
        <v>123</v>
      </c>
    </row>
    <row r="90" spans="1:10">
      <c r="A90" t="s">
        <v>306</v>
      </c>
      <c r="B90" t="s">
        <v>307</v>
      </c>
      <c r="C90" t="s">
        <v>106</v>
      </c>
      <c r="D90" t="s">
        <v>236</v>
      </c>
      <c r="H90" t="s">
        <v>329</v>
      </c>
      <c r="I90" t="s">
        <v>330</v>
      </c>
      <c r="J90" t="s">
        <v>116</v>
      </c>
    </row>
    <row r="91" spans="1:10">
      <c r="A91" t="s">
        <v>308</v>
      </c>
      <c r="B91" t="s">
        <v>309</v>
      </c>
      <c r="C91" t="s">
        <v>106</v>
      </c>
      <c r="D91" t="s">
        <v>116</v>
      </c>
      <c r="H91" t="s">
        <v>331</v>
      </c>
      <c r="I91" t="s">
        <v>332</v>
      </c>
      <c r="J91" t="s">
        <v>1107</v>
      </c>
    </row>
    <row r="92" spans="1:10">
      <c r="A92" t="s">
        <v>310</v>
      </c>
      <c r="B92" t="s">
        <v>311</v>
      </c>
      <c r="C92" t="s">
        <v>106</v>
      </c>
      <c r="D92" t="s">
        <v>116</v>
      </c>
      <c r="H92" t="s">
        <v>333</v>
      </c>
      <c r="I92" t="s">
        <v>334</v>
      </c>
      <c r="J92" t="s">
        <v>1107</v>
      </c>
    </row>
    <row r="93" spans="1:10">
      <c r="A93" t="s">
        <v>312</v>
      </c>
      <c r="B93" t="s">
        <v>313</v>
      </c>
      <c r="C93" t="s">
        <v>106</v>
      </c>
      <c r="D93" t="s">
        <v>1471</v>
      </c>
      <c r="H93" t="s">
        <v>335</v>
      </c>
      <c r="I93" t="s">
        <v>336</v>
      </c>
      <c r="J93" t="s">
        <v>118</v>
      </c>
    </row>
    <row r="94" spans="1:10">
      <c r="A94" t="s">
        <v>314</v>
      </c>
      <c r="B94" t="s">
        <v>315</v>
      </c>
      <c r="C94" t="s">
        <v>106</v>
      </c>
      <c r="D94" t="s">
        <v>1471</v>
      </c>
      <c r="H94" t="s">
        <v>337</v>
      </c>
      <c r="I94" t="s">
        <v>338</v>
      </c>
      <c r="J94" t="s">
        <v>116</v>
      </c>
    </row>
    <row r="95" spans="1:10">
      <c r="A95" t="s">
        <v>316</v>
      </c>
      <c r="B95" t="s">
        <v>317</v>
      </c>
      <c r="C95" t="s">
        <v>106</v>
      </c>
      <c r="D95" t="s">
        <v>123</v>
      </c>
      <c r="H95" t="s">
        <v>339</v>
      </c>
      <c r="I95" t="s">
        <v>340</v>
      </c>
      <c r="J95" t="s">
        <v>118</v>
      </c>
    </row>
    <row r="96" spans="1:10">
      <c r="A96" t="s">
        <v>318</v>
      </c>
      <c r="B96" t="s">
        <v>319</v>
      </c>
      <c r="C96" t="s">
        <v>106</v>
      </c>
      <c r="D96" t="s">
        <v>1473</v>
      </c>
      <c r="H96" t="s">
        <v>341</v>
      </c>
      <c r="I96" t="s">
        <v>342</v>
      </c>
      <c r="J96" t="s">
        <v>123</v>
      </c>
    </row>
    <row r="97" spans="1:10">
      <c r="A97" t="s">
        <v>320</v>
      </c>
      <c r="B97" t="s">
        <v>321</v>
      </c>
      <c r="C97" t="s">
        <v>106</v>
      </c>
      <c r="D97" t="s">
        <v>118</v>
      </c>
      <c r="H97" t="s">
        <v>343</v>
      </c>
      <c r="I97" t="s">
        <v>343</v>
      </c>
      <c r="J97" t="s">
        <v>236</v>
      </c>
    </row>
    <row r="98" spans="1:10">
      <c r="A98" t="s">
        <v>41</v>
      </c>
      <c r="B98" t="s">
        <v>322</v>
      </c>
      <c r="C98" t="s">
        <v>106</v>
      </c>
      <c r="D98" t="s">
        <v>1471</v>
      </c>
      <c r="H98" t="s">
        <v>344</v>
      </c>
      <c r="I98" t="s">
        <v>344</v>
      </c>
      <c r="J98" t="s">
        <v>1100</v>
      </c>
    </row>
    <row r="99" spans="1:10">
      <c r="A99" t="s">
        <v>323</v>
      </c>
      <c r="B99" t="s">
        <v>324</v>
      </c>
      <c r="C99" t="s">
        <v>106</v>
      </c>
      <c r="D99" t="s">
        <v>1474</v>
      </c>
      <c r="H99" t="s">
        <v>345</v>
      </c>
      <c r="I99" t="s">
        <v>346</v>
      </c>
      <c r="J99" t="s">
        <v>117</v>
      </c>
    </row>
    <row r="100" spans="1:10">
      <c r="A100" t="s">
        <v>325</v>
      </c>
      <c r="B100" t="s">
        <v>326</v>
      </c>
      <c r="C100" t="s">
        <v>106</v>
      </c>
      <c r="D100" t="s">
        <v>1473</v>
      </c>
      <c r="H100" t="s">
        <v>347</v>
      </c>
      <c r="I100" t="s">
        <v>348</v>
      </c>
      <c r="J100" t="s">
        <v>116</v>
      </c>
    </row>
    <row r="101" spans="1:10">
      <c r="A101" t="s">
        <v>327</v>
      </c>
      <c r="B101" t="s">
        <v>328</v>
      </c>
      <c r="C101" t="s">
        <v>106</v>
      </c>
      <c r="D101" t="s">
        <v>123</v>
      </c>
      <c r="H101" t="s">
        <v>349</v>
      </c>
      <c r="I101" t="s">
        <v>350</v>
      </c>
      <c r="J101" t="s">
        <v>235</v>
      </c>
    </row>
    <row r="102" spans="1:10">
      <c r="A102" t="s">
        <v>329</v>
      </c>
      <c r="B102" t="s">
        <v>330</v>
      </c>
      <c r="C102" t="s">
        <v>106</v>
      </c>
      <c r="D102" t="s">
        <v>116</v>
      </c>
      <c r="H102" t="s">
        <v>351</v>
      </c>
      <c r="I102" t="s">
        <v>352</v>
      </c>
      <c r="J102" t="s">
        <v>1100</v>
      </c>
    </row>
    <row r="103" spans="1:10">
      <c r="A103" t="s">
        <v>331</v>
      </c>
      <c r="B103" t="s">
        <v>332</v>
      </c>
      <c r="C103" t="s">
        <v>106</v>
      </c>
      <c r="D103" t="s">
        <v>1474</v>
      </c>
      <c r="H103" t="s">
        <v>353</v>
      </c>
      <c r="I103" t="s">
        <v>354</v>
      </c>
      <c r="J103" t="s">
        <v>116</v>
      </c>
    </row>
    <row r="104" spans="1:10">
      <c r="A104" t="s">
        <v>333</v>
      </c>
      <c r="B104" t="s">
        <v>334</v>
      </c>
      <c r="C104" t="s">
        <v>106</v>
      </c>
      <c r="D104" t="s">
        <v>1474</v>
      </c>
      <c r="H104" t="s">
        <v>355</v>
      </c>
      <c r="I104" t="s">
        <v>356</v>
      </c>
      <c r="J104" t="s">
        <v>117</v>
      </c>
    </row>
    <row r="105" spans="1:10">
      <c r="A105" t="s">
        <v>335</v>
      </c>
      <c r="B105" t="s">
        <v>336</v>
      </c>
      <c r="C105" t="s">
        <v>106</v>
      </c>
      <c r="D105" t="s">
        <v>118</v>
      </c>
      <c r="H105" t="s">
        <v>357</v>
      </c>
      <c r="I105" t="s">
        <v>358</v>
      </c>
      <c r="J105" t="s">
        <v>116</v>
      </c>
    </row>
    <row r="106" spans="1:10">
      <c r="A106" t="s">
        <v>337</v>
      </c>
      <c r="B106" t="s">
        <v>338</v>
      </c>
      <c r="C106" t="s">
        <v>106</v>
      </c>
      <c r="D106" t="s">
        <v>116</v>
      </c>
      <c r="H106" t="s">
        <v>79</v>
      </c>
      <c r="I106" t="s">
        <v>359</v>
      </c>
      <c r="J106" t="s">
        <v>123</v>
      </c>
    </row>
    <row r="107" spans="1:10">
      <c r="A107" t="s">
        <v>339</v>
      </c>
      <c r="B107" t="s">
        <v>340</v>
      </c>
      <c r="C107" t="s">
        <v>106</v>
      </c>
      <c r="D107" t="s">
        <v>118</v>
      </c>
      <c r="H107" t="s">
        <v>360</v>
      </c>
      <c r="I107" t="s">
        <v>361</v>
      </c>
      <c r="J107" t="s">
        <v>1108</v>
      </c>
    </row>
    <row r="108" spans="1:10">
      <c r="A108" t="s">
        <v>341</v>
      </c>
      <c r="B108" t="s">
        <v>342</v>
      </c>
      <c r="C108" t="s">
        <v>106</v>
      </c>
      <c r="D108" t="s">
        <v>123</v>
      </c>
      <c r="H108" t="s">
        <v>362</v>
      </c>
      <c r="I108" t="s">
        <v>363</v>
      </c>
      <c r="J108" t="s">
        <v>258</v>
      </c>
    </row>
    <row r="109" spans="1:10">
      <c r="A109" t="s">
        <v>343</v>
      </c>
      <c r="B109" t="s">
        <v>343</v>
      </c>
      <c r="C109" t="s">
        <v>106</v>
      </c>
      <c r="D109" t="s">
        <v>236</v>
      </c>
      <c r="H109" t="s">
        <v>44</v>
      </c>
      <c r="I109" t="s">
        <v>364</v>
      </c>
      <c r="J109" t="s">
        <v>1107</v>
      </c>
    </row>
    <row r="110" spans="1:10">
      <c r="A110" t="s">
        <v>344</v>
      </c>
      <c r="B110" t="s">
        <v>344</v>
      </c>
      <c r="C110" t="s">
        <v>106</v>
      </c>
      <c r="D110" t="s">
        <v>1471</v>
      </c>
      <c r="H110" t="s">
        <v>365</v>
      </c>
      <c r="I110" t="s">
        <v>366</v>
      </c>
      <c r="J110" t="s">
        <v>123</v>
      </c>
    </row>
    <row r="111" spans="1:10">
      <c r="A111" t="s">
        <v>345</v>
      </c>
      <c r="B111" t="s">
        <v>346</v>
      </c>
      <c r="C111" t="s">
        <v>106</v>
      </c>
      <c r="D111" t="s">
        <v>117</v>
      </c>
      <c r="H111" t="s">
        <v>367</v>
      </c>
      <c r="I111" t="s">
        <v>368</v>
      </c>
      <c r="J111" t="s">
        <v>1109</v>
      </c>
    </row>
    <row r="112" spans="1:10">
      <c r="A112" t="s">
        <v>347</v>
      </c>
      <c r="B112" t="s">
        <v>348</v>
      </c>
      <c r="C112" t="s">
        <v>106</v>
      </c>
      <c r="D112" t="s">
        <v>116</v>
      </c>
      <c r="H112" t="s">
        <v>42</v>
      </c>
      <c r="I112" t="s">
        <v>369</v>
      </c>
      <c r="J112" t="s">
        <v>116</v>
      </c>
    </row>
    <row r="113" spans="1:10">
      <c r="A113" t="s">
        <v>349</v>
      </c>
      <c r="B113" t="s">
        <v>350</v>
      </c>
      <c r="C113" t="s">
        <v>106</v>
      </c>
      <c r="D113" t="s">
        <v>235</v>
      </c>
      <c r="H113" t="s">
        <v>370</v>
      </c>
      <c r="I113" t="s">
        <v>371</v>
      </c>
      <c r="J113" t="s">
        <v>123</v>
      </c>
    </row>
    <row r="114" spans="1:10">
      <c r="A114" t="s">
        <v>351</v>
      </c>
      <c r="B114" t="s">
        <v>352</v>
      </c>
      <c r="C114" t="s">
        <v>106</v>
      </c>
      <c r="D114" t="s">
        <v>1471</v>
      </c>
      <c r="H114" t="s">
        <v>372</v>
      </c>
      <c r="I114" t="s">
        <v>373</v>
      </c>
      <c r="J114" t="s">
        <v>118</v>
      </c>
    </row>
    <row r="115" spans="1:10">
      <c r="A115" t="s">
        <v>353</v>
      </c>
      <c r="B115" t="s">
        <v>354</v>
      </c>
      <c r="C115" t="s">
        <v>106</v>
      </c>
      <c r="D115" t="s">
        <v>116</v>
      </c>
      <c r="H115" t="s">
        <v>374</v>
      </c>
      <c r="I115" t="s">
        <v>375</v>
      </c>
      <c r="J115" t="s">
        <v>1100</v>
      </c>
    </row>
    <row r="116" spans="1:10">
      <c r="A116" t="s">
        <v>355</v>
      </c>
      <c r="B116" t="s">
        <v>356</v>
      </c>
      <c r="C116" t="s">
        <v>106</v>
      </c>
      <c r="D116" t="s">
        <v>117</v>
      </c>
      <c r="H116" t="s">
        <v>40</v>
      </c>
      <c r="I116" t="s">
        <v>376</v>
      </c>
      <c r="J116" t="s">
        <v>123</v>
      </c>
    </row>
    <row r="117" spans="1:10">
      <c r="A117" t="s">
        <v>357</v>
      </c>
      <c r="B117" t="s">
        <v>358</v>
      </c>
      <c r="C117" t="s">
        <v>106</v>
      </c>
      <c r="D117" t="s">
        <v>116</v>
      </c>
      <c r="H117" t="s">
        <v>377</v>
      </c>
      <c r="I117" t="s">
        <v>378</v>
      </c>
      <c r="J117" t="s">
        <v>123</v>
      </c>
    </row>
    <row r="118" spans="1:10">
      <c r="A118" t="s">
        <v>79</v>
      </c>
      <c r="B118" t="s">
        <v>359</v>
      </c>
      <c r="C118" t="s">
        <v>106</v>
      </c>
      <c r="D118" t="s">
        <v>123</v>
      </c>
      <c r="H118" t="s">
        <v>46</v>
      </c>
      <c r="I118" t="s">
        <v>379</v>
      </c>
      <c r="J118" t="s">
        <v>1100</v>
      </c>
    </row>
    <row r="119" spans="1:10">
      <c r="A119" t="s">
        <v>360</v>
      </c>
      <c r="B119" t="s">
        <v>361</v>
      </c>
      <c r="C119" t="s">
        <v>106</v>
      </c>
      <c r="D119" t="s">
        <v>1472</v>
      </c>
      <c r="H119" t="s">
        <v>380</v>
      </c>
      <c r="I119" t="s">
        <v>381</v>
      </c>
      <c r="J119" t="s">
        <v>1109</v>
      </c>
    </row>
    <row r="120" spans="1:10">
      <c r="A120" t="s">
        <v>362</v>
      </c>
      <c r="B120" t="s">
        <v>363</v>
      </c>
      <c r="C120" t="s">
        <v>106</v>
      </c>
      <c r="D120" t="s">
        <v>258</v>
      </c>
      <c r="H120" t="s">
        <v>382</v>
      </c>
      <c r="I120" t="s">
        <v>383</v>
      </c>
      <c r="J120" t="s">
        <v>123</v>
      </c>
    </row>
    <row r="121" spans="1:10">
      <c r="A121" t="s">
        <v>44</v>
      </c>
      <c r="B121" t="s">
        <v>364</v>
      </c>
      <c r="C121" t="s">
        <v>106</v>
      </c>
      <c r="D121" t="s">
        <v>1474</v>
      </c>
      <c r="H121" t="s">
        <v>384</v>
      </c>
      <c r="I121" t="s">
        <v>385</v>
      </c>
      <c r="J121" t="s">
        <v>235</v>
      </c>
    </row>
    <row r="122" spans="1:10">
      <c r="A122" t="s">
        <v>365</v>
      </c>
      <c r="B122" t="s">
        <v>366</v>
      </c>
      <c r="C122" t="s">
        <v>106</v>
      </c>
      <c r="D122" t="s">
        <v>123</v>
      </c>
      <c r="H122" t="s">
        <v>386</v>
      </c>
      <c r="I122" t="s">
        <v>387</v>
      </c>
      <c r="J122" t="s">
        <v>1109</v>
      </c>
    </row>
    <row r="123" spans="1:10">
      <c r="A123" t="s">
        <v>367</v>
      </c>
      <c r="B123" t="s">
        <v>368</v>
      </c>
      <c r="C123" t="s">
        <v>106</v>
      </c>
      <c r="D123" t="s">
        <v>1473</v>
      </c>
      <c r="H123" t="s">
        <v>388</v>
      </c>
      <c r="I123" t="s">
        <v>389</v>
      </c>
      <c r="J123" t="s">
        <v>1100</v>
      </c>
    </row>
    <row r="124" spans="1:10">
      <c r="A124" t="s">
        <v>42</v>
      </c>
      <c r="B124" t="s">
        <v>369</v>
      </c>
      <c r="C124" t="s">
        <v>106</v>
      </c>
      <c r="D124" t="s">
        <v>116</v>
      </c>
      <c r="H124" t="s">
        <v>390</v>
      </c>
      <c r="I124" t="s">
        <v>391</v>
      </c>
      <c r="J124" t="s">
        <v>1109</v>
      </c>
    </row>
    <row r="125" spans="1:10">
      <c r="A125" t="s">
        <v>370</v>
      </c>
      <c r="B125" t="s">
        <v>371</v>
      </c>
      <c r="C125" t="s">
        <v>106</v>
      </c>
      <c r="D125" t="s">
        <v>123</v>
      </c>
      <c r="H125" t="s">
        <v>43</v>
      </c>
      <c r="I125" t="s">
        <v>392</v>
      </c>
      <c r="J125" t="s">
        <v>1108</v>
      </c>
    </row>
    <row r="126" spans="1:10">
      <c r="A126" t="s">
        <v>372</v>
      </c>
      <c r="B126" t="s">
        <v>373</v>
      </c>
      <c r="C126" t="s">
        <v>106</v>
      </c>
      <c r="D126" t="s">
        <v>118</v>
      </c>
      <c r="H126" t="s">
        <v>393</v>
      </c>
      <c r="I126" t="s">
        <v>394</v>
      </c>
      <c r="J126" t="s">
        <v>123</v>
      </c>
    </row>
    <row r="127" spans="1:10">
      <c r="A127" t="s">
        <v>374</v>
      </c>
      <c r="B127" t="s">
        <v>375</v>
      </c>
      <c r="C127" t="s">
        <v>106</v>
      </c>
      <c r="D127" t="s">
        <v>1471</v>
      </c>
      <c r="H127" t="s">
        <v>395</v>
      </c>
      <c r="I127" t="s">
        <v>396</v>
      </c>
      <c r="J127" t="s">
        <v>1109</v>
      </c>
    </row>
    <row r="128" spans="1:10">
      <c r="A128" t="s">
        <v>40</v>
      </c>
      <c r="B128" t="s">
        <v>376</v>
      </c>
      <c r="C128" t="s">
        <v>106</v>
      </c>
      <c r="D128" t="s">
        <v>123</v>
      </c>
      <c r="H128" t="s">
        <v>397</v>
      </c>
      <c r="I128" t="s">
        <v>398</v>
      </c>
      <c r="J128" t="s">
        <v>258</v>
      </c>
    </row>
    <row r="129" spans="1:10">
      <c r="A129" t="s">
        <v>377</v>
      </c>
      <c r="B129" t="s">
        <v>378</v>
      </c>
      <c r="C129" t="s">
        <v>106</v>
      </c>
      <c r="D129" t="s">
        <v>123</v>
      </c>
      <c r="H129" t="s">
        <v>399</v>
      </c>
      <c r="I129" t="s">
        <v>400</v>
      </c>
      <c r="J129" t="s">
        <v>235</v>
      </c>
    </row>
    <row r="130" spans="1:10">
      <c r="A130" t="s">
        <v>46</v>
      </c>
      <c r="B130" t="s">
        <v>379</v>
      </c>
      <c r="C130" t="s">
        <v>106</v>
      </c>
      <c r="D130" t="s">
        <v>1471</v>
      </c>
      <c r="H130" t="s">
        <v>401</v>
      </c>
      <c r="I130" t="s">
        <v>402</v>
      </c>
      <c r="J130" t="s">
        <v>1109</v>
      </c>
    </row>
    <row r="131" spans="1:10">
      <c r="A131" t="s">
        <v>380</v>
      </c>
      <c r="B131" t="s">
        <v>381</v>
      </c>
      <c r="C131" t="s">
        <v>106</v>
      </c>
      <c r="D131" t="s">
        <v>1473</v>
      </c>
      <c r="H131" t="s">
        <v>403</v>
      </c>
      <c r="I131" t="s">
        <v>404</v>
      </c>
      <c r="J131" t="s">
        <v>118</v>
      </c>
    </row>
    <row r="132" spans="1:10">
      <c r="A132" t="s">
        <v>382</v>
      </c>
      <c r="B132" t="s">
        <v>383</v>
      </c>
      <c r="C132" t="s">
        <v>106</v>
      </c>
      <c r="D132" t="s">
        <v>123</v>
      </c>
      <c r="H132" t="s">
        <v>405</v>
      </c>
      <c r="I132" t="s">
        <v>406</v>
      </c>
      <c r="J132" t="s">
        <v>1100</v>
      </c>
    </row>
    <row r="133" spans="1:10">
      <c r="A133" t="s">
        <v>384</v>
      </c>
      <c r="B133" t="s">
        <v>385</v>
      </c>
      <c r="C133" t="s">
        <v>106</v>
      </c>
      <c r="D133" t="s">
        <v>235</v>
      </c>
      <c r="H133" t="s">
        <v>407</v>
      </c>
      <c r="I133" t="s">
        <v>408</v>
      </c>
      <c r="J133" t="s">
        <v>117</v>
      </c>
    </row>
    <row r="134" spans="1:10">
      <c r="A134" t="s">
        <v>386</v>
      </c>
      <c r="B134" t="s">
        <v>387</v>
      </c>
      <c r="C134" t="s">
        <v>106</v>
      </c>
      <c r="D134" t="s">
        <v>1473</v>
      </c>
      <c r="H134" t="s">
        <v>45</v>
      </c>
      <c r="I134" t="s">
        <v>409</v>
      </c>
      <c r="J134" t="s">
        <v>1109</v>
      </c>
    </row>
    <row r="135" spans="1:10">
      <c r="A135" t="s">
        <v>388</v>
      </c>
      <c r="B135" t="s">
        <v>389</v>
      </c>
      <c r="C135" t="s">
        <v>106</v>
      </c>
      <c r="D135" t="s">
        <v>1471</v>
      </c>
      <c r="H135" t="s">
        <v>410</v>
      </c>
      <c r="I135" t="s">
        <v>411</v>
      </c>
      <c r="J135" t="s">
        <v>258</v>
      </c>
    </row>
    <row r="136" spans="1:10">
      <c r="A136" t="s">
        <v>390</v>
      </c>
      <c r="B136" t="s">
        <v>391</v>
      </c>
      <c r="C136" t="s">
        <v>106</v>
      </c>
      <c r="D136" t="s">
        <v>1473</v>
      </c>
      <c r="H136" t="s">
        <v>412</v>
      </c>
      <c r="I136" t="s">
        <v>413</v>
      </c>
      <c r="J136" t="s">
        <v>236</v>
      </c>
    </row>
    <row r="137" spans="1:10">
      <c r="A137" t="s">
        <v>43</v>
      </c>
      <c r="B137" t="s">
        <v>392</v>
      </c>
      <c r="C137" t="s">
        <v>106</v>
      </c>
      <c r="D137" t="s">
        <v>1472</v>
      </c>
      <c r="H137" t="s">
        <v>414</v>
      </c>
      <c r="I137" t="s">
        <v>414</v>
      </c>
      <c r="J137" t="s">
        <v>118</v>
      </c>
    </row>
    <row r="138" spans="1:10">
      <c r="A138" t="s">
        <v>393</v>
      </c>
      <c r="B138" t="s">
        <v>394</v>
      </c>
      <c r="C138" t="s">
        <v>106</v>
      </c>
      <c r="D138" t="s">
        <v>123</v>
      </c>
      <c r="H138" t="s">
        <v>415</v>
      </c>
      <c r="I138" t="s">
        <v>416</v>
      </c>
      <c r="J138" t="s">
        <v>118</v>
      </c>
    </row>
    <row r="139" spans="1:10">
      <c r="A139" t="s">
        <v>395</v>
      </c>
      <c r="B139" t="s">
        <v>396</v>
      </c>
      <c r="C139" t="s">
        <v>106</v>
      </c>
      <c r="D139" t="s">
        <v>1473</v>
      </c>
      <c r="H139" t="s">
        <v>47</v>
      </c>
      <c r="I139" t="s">
        <v>417</v>
      </c>
      <c r="J139" t="s">
        <v>116</v>
      </c>
    </row>
    <row r="140" spans="1:10">
      <c r="A140" t="s">
        <v>397</v>
      </c>
      <c r="B140" t="s">
        <v>398</v>
      </c>
      <c r="C140" t="s">
        <v>106</v>
      </c>
      <c r="D140" t="s">
        <v>258</v>
      </c>
      <c r="H140" t="s">
        <v>418</v>
      </c>
      <c r="I140" t="s">
        <v>419</v>
      </c>
      <c r="J140" t="s">
        <v>1107</v>
      </c>
    </row>
    <row r="141" spans="1:10">
      <c r="A141" t="s">
        <v>399</v>
      </c>
      <c r="B141" t="s">
        <v>400</v>
      </c>
      <c r="C141" t="s">
        <v>106</v>
      </c>
      <c r="D141" t="s">
        <v>235</v>
      </c>
      <c r="H141" t="s">
        <v>168</v>
      </c>
      <c r="I141" t="s">
        <v>420</v>
      </c>
      <c r="J141" t="s">
        <v>116</v>
      </c>
    </row>
    <row r="142" spans="1:10">
      <c r="A142" t="s">
        <v>156</v>
      </c>
      <c r="B142" t="str">
        <f>IFERROR(VLOOKUP(A142,#REF!,2,FALSE),"")</f>
        <v>Money Market Fund</v>
      </c>
      <c r="C142" t="s">
        <v>127</v>
      </c>
      <c r="D142" t="s">
        <v>1473</v>
      </c>
      <c r="H142" t="s">
        <v>421</v>
      </c>
      <c r="I142" t="s">
        <v>422</v>
      </c>
      <c r="J142" t="s">
        <v>1107</v>
      </c>
    </row>
    <row r="143" spans="1:10">
      <c r="A143" t="s">
        <v>403</v>
      </c>
      <c r="B143" t="s">
        <v>404</v>
      </c>
      <c r="C143" t="s">
        <v>106</v>
      </c>
      <c r="D143" t="s">
        <v>118</v>
      </c>
      <c r="H143" t="s">
        <v>423</v>
      </c>
      <c r="I143" t="s">
        <v>424</v>
      </c>
      <c r="J143" t="s">
        <v>116</v>
      </c>
    </row>
    <row r="144" spans="1:10">
      <c r="A144" t="s">
        <v>405</v>
      </c>
      <c r="B144" t="s">
        <v>406</v>
      </c>
      <c r="C144" t="s">
        <v>106</v>
      </c>
      <c r="D144" t="s">
        <v>1471</v>
      </c>
      <c r="H144" t="s">
        <v>425</v>
      </c>
      <c r="I144" t="s">
        <v>426</v>
      </c>
      <c r="J144" t="s">
        <v>118</v>
      </c>
    </row>
    <row r="145" spans="1:10">
      <c r="A145" t="s">
        <v>407</v>
      </c>
      <c r="B145" t="s">
        <v>408</v>
      </c>
      <c r="C145" t="s">
        <v>106</v>
      </c>
      <c r="D145" t="s">
        <v>117</v>
      </c>
      <c r="H145" t="s">
        <v>427</v>
      </c>
      <c r="I145" t="s">
        <v>428</v>
      </c>
      <c r="J145" t="s">
        <v>118</v>
      </c>
    </row>
    <row r="146" spans="1:10">
      <c r="A146" t="s">
        <v>45</v>
      </c>
      <c r="B146" t="s">
        <v>409</v>
      </c>
      <c r="C146" t="s">
        <v>106</v>
      </c>
      <c r="D146" t="s">
        <v>1473</v>
      </c>
      <c r="H146" t="s">
        <v>429</v>
      </c>
      <c r="I146" t="s">
        <v>430</v>
      </c>
      <c r="J146" t="s">
        <v>116</v>
      </c>
    </row>
    <row r="147" spans="1:10">
      <c r="A147" t="s">
        <v>410</v>
      </c>
      <c r="B147" t="s">
        <v>411</v>
      </c>
      <c r="C147" t="s">
        <v>106</v>
      </c>
      <c r="D147" t="s">
        <v>258</v>
      </c>
      <c r="H147" t="s">
        <v>431</v>
      </c>
      <c r="I147" t="s">
        <v>432</v>
      </c>
      <c r="J147" t="s">
        <v>258</v>
      </c>
    </row>
    <row r="148" spans="1:10">
      <c r="A148" t="s">
        <v>412</v>
      </c>
      <c r="B148" t="s">
        <v>413</v>
      </c>
      <c r="C148" t="s">
        <v>106</v>
      </c>
      <c r="D148" t="s">
        <v>236</v>
      </c>
      <c r="H148" t="s">
        <v>433</v>
      </c>
      <c r="I148" t="s">
        <v>434</v>
      </c>
      <c r="J148" t="s">
        <v>116</v>
      </c>
    </row>
    <row r="149" spans="1:10">
      <c r="A149" t="s">
        <v>414</v>
      </c>
      <c r="B149" t="s">
        <v>414</v>
      </c>
      <c r="C149" t="s">
        <v>106</v>
      </c>
      <c r="D149" t="s">
        <v>118</v>
      </c>
      <c r="H149" t="s">
        <v>51</v>
      </c>
      <c r="I149" t="s">
        <v>435</v>
      </c>
      <c r="J149" t="s">
        <v>258</v>
      </c>
    </row>
    <row r="150" spans="1:10">
      <c r="A150" t="s">
        <v>415</v>
      </c>
      <c r="B150" t="s">
        <v>416</v>
      </c>
      <c r="C150" t="s">
        <v>106</v>
      </c>
      <c r="D150" t="s">
        <v>118</v>
      </c>
      <c r="H150" t="s">
        <v>436</v>
      </c>
      <c r="I150" t="s">
        <v>437</v>
      </c>
      <c r="J150" t="s">
        <v>236</v>
      </c>
    </row>
    <row r="151" spans="1:10">
      <c r="A151" t="s">
        <v>47</v>
      </c>
      <c r="B151" t="s">
        <v>417</v>
      </c>
      <c r="C151" t="s">
        <v>106</v>
      </c>
      <c r="D151" t="s">
        <v>116</v>
      </c>
      <c r="H151" t="s">
        <v>438</v>
      </c>
      <c r="I151" t="s">
        <v>439</v>
      </c>
      <c r="J151" t="s">
        <v>123</v>
      </c>
    </row>
    <row r="152" spans="1:10">
      <c r="A152" t="s">
        <v>418</v>
      </c>
      <c r="B152" t="s">
        <v>419</v>
      </c>
      <c r="C152" t="s">
        <v>106</v>
      </c>
      <c r="D152" t="s">
        <v>1474</v>
      </c>
      <c r="H152" t="s">
        <v>110</v>
      </c>
      <c r="I152" t="s">
        <v>440</v>
      </c>
      <c r="J152" t="s">
        <v>1108</v>
      </c>
    </row>
    <row r="153" spans="1:10">
      <c r="A153" t="s">
        <v>168</v>
      </c>
      <c r="B153" t="s">
        <v>420</v>
      </c>
      <c r="C153" t="s">
        <v>106</v>
      </c>
      <c r="D153" t="s">
        <v>116</v>
      </c>
      <c r="H153" t="s">
        <v>441</v>
      </c>
      <c r="I153" t="s">
        <v>442</v>
      </c>
      <c r="J153" t="s">
        <v>1108</v>
      </c>
    </row>
    <row r="154" spans="1:10">
      <c r="A154" t="s">
        <v>421</v>
      </c>
      <c r="B154" t="s">
        <v>422</v>
      </c>
      <c r="C154" t="s">
        <v>106</v>
      </c>
      <c r="D154" t="s">
        <v>1474</v>
      </c>
      <c r="H154" t="s">
        <v>443</v>
      </c>
      <c r="I154" t="s">
        <v>444</v>
      </c>
      <c r="J154" t="s">
        <v>1108</v>
      </c>
    </row>
    <row r="155" spans="1:10">
      <c r="A155" t="s">
        <v>423</v>
      </c>
      <c r="B155" t="s">
        <v>424</v>
      </c>
      <c r="C155" t="s">
        <v>106</v>
      </c>
      <c r="D155" t="s">
        <v>116</v>
      </c>
      <c r="H155" t="s">
        <v>445</v>
      </c>
      <c r="I155" t="s">
        <v>446</v>
      </c>
      <c r="J155" t="s">
        <v>1107</v>
      </c>
    </row>
    <row r="156" spans="1:10">
      <c r="A156" t="s">
        <v>425</v>
      </c>
      <c r="B156" t="s">
        <v>426</v>
      </c>
      <c r="C156" t="s">
        <v>106</v>
      </c>
      <c r="D156" t="s">
        <v>118</v>
      </c>
      <c r="H156" t="s">
        <v>447</v>
      </c>
      <c r="I156" t="s">
        <v>448</v>
      </c>
      <c r="J156" t="s">
        <v>1107</v>
      </c>
    </row>
    <row r="157" spans="1:10">
      <c r="A157" t="s">
        <v>427</v>
      </c>
      <c r="B157" t="s">
        <v>428</v>
      </c>
      <c r="C157" t="s">
        <v>106</v>
      </c>
      <c r="D157" t="s">
        <v>118</v>
      </c>
      <c r="H157" t="s">
        <v>449</v>
      </c>
      <c r="I157" t="s">
        <v>450</v>
      </c>
      <c r="J157" t="s">
        <v>235</v>
      </c>
    </row>
    <row r="158" spans="1:10">
      <c r="A158" t="s">
        <v>429</v>
      </c>
      <c r="B158" t="s">
        <v>430</v>
      </c>
      <c r="C158" t="s">
        <v>106</v>
      </c>
      <c r="D158" t="s">
        <v>116</v>
      </c>
      <c r="H158" t="s">
        <v>451</v>
      </c>
      <c r="I158" t="s">
        <v>452</v>
      </c>
      <c r="J158" t="s">
        <v>1107</v>
      </c>
    </row>
    <row r="159" spans="1:10">
      <c r="A159" t="s">
        <v>431</v>
      </c>
      <c r="B159" t="s">
        <v>432</v>
      </c>
      <c r="C159" t="s">
        <v>106</v>
      </c>
      <c r="D159" t="s">
        <v>258</v>
      </c>
      <c r="H159" t="s">
        <v>453</v>
      </c>
      <c r="I159" t="s">
        <v>454</v>
      </c>
      <c r="J159" t="s">
        <v>118</v>
      </c>
    </row>
    <row r="160" spans="1:10">
      <c r="A160" t="s">
        <v>433</v>
      </c>
      <c r="B160" t="s">
        <v>434</v>
      </c>
      <c r="C160" t="s">
        <v>106</v>
      </c>
      <c r="D160" t="s">
        <v>116</v>
      </c>
      <c r="H160" t="s">
        <v>455</v>
      </c>
      <c r="I160" t="s">
        <v>456</v>
      </c>
      <c r="J160" t="s">
        <v>117</v>
      </c>
    </row>
    <row r="161" spans="1:10">
      <c r="A161" t="s">
        <v>51</v>
      </c>
      <c r="B161" t="s">
        <v>435</v>
      </c>
      <c r="C161" t="s">
        <v>106</v>
      </c>
      <c r="D161" t="s">
        <v>258</v>
      </c>
      <c r="H161" t="s">
        <v>457</v>
      </c>
      <c r="I161" t="s">
        <v>458</v>
      </c>
      <c r="J161" t="s">
        <v>235</v>
      </c>
    </row>
    <row r="162" spans="1:10">
      <c r="A162" t="s">
        <v>436</v>
      </c>
      <c r="B162" t="s">
        <v>437</v>
      </c>
      <c r="C162" t="s">
        <v>106</v>
      </c>
      <c r="D162" t="s">
        <v>236</v>
      </c>
      <c r="H162" t="s">
        <v>459</v>
      </c>
      <c r="I162" t="s">
        <v>460</v>
      </c>
      <c r="J162" t="s">
        <v>235</v>
      </c>
    </row>
    <row r="163" spans="1:10">
      <c r="A163" t="s">
        <v>438</v>
      </c>
      <c r="B163" t="s">
        <v>439</v>
      </c>
      <c r="C163" t="s">
        <v>106</v>
      </c>
      <c r="D163" t="s">
        <v>123</v>
      </c>
      <c r="H163" t="s">
        <v>461</v>
      </c>
      <c r="I163" t="s">
        <v>462</v>
      </c>
      <c r="J163" t="s">
        <v>236</v>
      </c>
    </row>
    <row r="164" spans="1:10">
      <c r="A164" t="s">
        <v>110</v>
      </c>
      <c r="B164" t="s">
        <v>440</v>
      </c>
      <c r="C164" t="s">
        <v>106</v>
      </c>
      <c r="D164" t="s">
        <v>1472</v>
      </c>
      <c r="H164" t="s">
        <v>463</v>
      </c>
      <c r="I164" t="s">
        <v>464</v>
      </c>
      <c r="J164" t="s">
        <v>117</v>
      </c>
    </row>
    <row r="165" spans="1:10">
      <c r="A165" t="s">
        <v>441</v>
      </c>
      <c r="B165" t="s">
        <v>442</v>
      </c>
      <c r="C165" t="s">
        <v>106</v>
      </c>
      <c r="D165" t="s">
        <v>1472</v>
      </c>
      <c r="H165" t="s">
        <v>465</v>
      </c>
      <c r="I165" t="s">
        <v>466</v>
      </c>
      <c r="J165" t="s">
        <v>1100</v>
      </c>
    </row>
    <row r="166" spans="1:10">
      <c r="A166" t="s">
        <v>443</v>
      </c>
      <c r="B166" t="s">
        <v>444</v>
      </c>
      <c r="C166" t="s">
        <v>106</v>
      </c>
      <c r="D166" t="s">
        <v>1472</v>
      </c>
      <c r="H166" t="s">
        <v>467</v>
      </c>
      <c r="I166" t="s">
        <v>468</v>
      </c>
      <c r="J166" t="s">
        <v>117</v>
      </c>
    </row>
    <row r="167" spans="1:10">
      <c r="A167" t="s">
        <v>445</v>
      </c>
      <c r="B167" t="s">
        <v>446</v>
      </c>
      <c r="C167" t="s">
        <v>106</v>
      </c>
      <c r="D167" t="s">
        <v>1474</v>
      </c>
      <c r="H167" t="s">
        <v>469</v>
      </c>
      <c r="I167" t="s">
        <v>470</v>
      </c>
      <c r="J167" t="s">
        <v>118</v>
      </c>
    </row>
    <row r="168" spans="1:10">
      <c r="A168" t="s">
        <v>447</v>
      </c>
      <c r="B168" t="s">
        <v>448</v>
      </c>
      <c r="C168" t="s">
        <v>106</v>
      </c>
      <c r="D168" t="s">
        <v>1474</v>
      </c>
      <c r="H168" t="s">
        <v>471</v>
      </c>
      <c r="I168" t="s">
        <v>472</v>
      </c>
      <c r="J168" t="s">
        <v>1107</v>
      </c>
    </row>
    <row r="169" spans="1:10">
      <c r="A169" t="s">
        <v>449</v>
      </c>
      <c r="B169" t="s">
        <v>450</v>
      </c>
      <c r="C169" t="s">
        <v>106</v>
      </c>
      <c r="D169" t="s">
        <v>235</v>
      </c>
      <c r="H169" t="s">
        <v>473</v>
      </c>
      <c r="I169" t="s">
        <v>474</v>
      </c>
      <c r="J169" t="s">
        <v>117</v>
      </c>
    </row>
    <row r="170" spans="1:10">
      <c r="A170" t="s">
        <v>451</v>
      </c>
      <c r="B170" t="s">
        <v>452</v>
      </c>
      <c r="C170" t="s">
        <v>106</v>
      </c>
      <c r="D170" t="s">
        <v>1474</v>
      </c>
      <c r="H170" t="s">
        <v>475</v>
      </c>
      <c r="I170" t="s">
        <v>476</v>
      </c>
      <c r="J170" t="s">
        <v>235</v>
      </c>
    </row>
    <row r="171" spans="1:10">
      <c r="A171" t="s">
        <v>453</v>
      </c>
      <c r="B171" t="s">
        <v>454</v>
      </c>
      <c r="C171" t="s">
        <v>106</v>
      </c>
      <c r="D171" t="s">
        <v>118</v>
      </c>
      <c r="H171" t="s">
        <v>477</v>
      </c>
      <c r="I171" t="s">
        <v>478</v>
      </c>
      <c r="J171" t="s">
        <v>116</v>
      </c>
    </row>
    <row r="172" spans="1:10">
      <c r="A172" t="s">
        <v>455</v>
      </c>
      <c r="B172" t="s">
        <v>456</v>
      </c>
      <c r="C172" t="s">
        <v>106</v>
      </c>
      <c r="D172" t="s">
        <v>117</v>
      </c>
      <c r="H172" t="s">
        <v>479</v>
      </c>
      <c r="I172" t="s">
        <v>480</v>
      </c>
      <c r="J172" t="s">
        <v>1108</v>
      </c>
    </row>
    <row r="173" spans="1:10">
      <c r="A173" t="s">
        <v>457</v>
      </c>
      <c r="B173" t="s">
        <v>458</v>
      </c>
      <c r="C173" t="s">
        <v>106</v>
      </c>
      <c r="D173" t="s">
        <v>235</v>
      </c>
      <c r="H173" t="s">
        <v>481</v>
      </c>
      <c r="I173" t="s">
        <v>482</v>
      </c>
      <c r="J173" t="s">
        <v>116</v>
      </c>
    </row>
    <row r="174" spans="1:10">
      <c r="A174" t="s">
        <v>459</v>
      </c>
      <c r="B174" t="s">
        <v>460</v>
      </c>
      <c r="C174" t="s">
        <v>106</v>
      </c>
      <c r="D174" t="s">
        <v>235</v>
      </c>
      <c r="H174" t="s">
        <v>483</v>
      </c>
      <c r="I174" t="s">
        <v>484</v>
      </c>
      <c r="J174" t="s">
        <v>118</v>
      </c>
    </row>
    <row r="175" spans="1:10">
      <c r="A175" t="s">
        <v>461</v>
      </c>
      <c r="B175" t="s">
        <v>462</v>
      </c>
      <c r="C175" t="s">
        <v>106</v>
      </c>
      <c r="D175" t="s">
        <v>236</v>
      </c>
      <c r="H175" t="s">
        <v>485</v>
      </c>
      <c r="I175" t="s">
        <v>486</v>
      </c>
      <c r="J175" t="s">
        <v>1100</v>
      </c>
    </row>
    <row r="176" spans="1:10">
      <c r="A176" t="s">
        <v>463</v>
      </c>
      <c r="B176" t="s">
        <v>464</v>
      </c>
      <c r="C176" t="s">
        <v>106</v>
      </c>
      <c r="D176" t="s">
        <v>117</v>
      </c>
      <c r="H176" t="s">
        <v>487</v>
      </c>
      <c r="I176" t="s">
        <v>488</v>
      </c>
      <c r="J176" t="s">
        <v>235</v>
      </c>
    </row>
    <row r="177" spans="1:10">
      <c r="A177" t="s">
        <v>465</v>
      </c>
      <c r="B177" t="s">
        <v>466</v>
      </c>
      <c r="C177" t="s">
        <v>106</v>
      </c>
      <c r="D177" t="s">
        <v>1471</v>
      </c>
      <c r="H177" t="s">
        <v>489</v>
      </c>
      <c r="I177" t="s">
        <v>490</v>
      </c>
      <c r="J177" t="s">
        <v>258</v>
      </c>
    </row>
    <row r="178" spans="1:10">
      <c r="A178" t="s">
        <v>467</v>
      </c>
      <c r="B178" t="s">
        <v>468</v>
      </c>
      <c r="C178" t="s">
        <v>106</v>
      </c>
      <c r="D178" t="s">
        <v>117</v>
      </c>
      <c r="H178" t="s">
        <v>491</v>
      </c>
      <c r="I178" t="s">
        <v>492</v>
      </c>
      <c r="J178" t="s">
        <v>118</v>
      </c>
    </row>
    <row r="179" spans="1:10">
      <c r="A179" t="s">
        <v>469</v>
      </c>
      <c r="B179" t="s">
        <v>470</v>
      </c>
      <c r="C179" t="s">
        <v>106</v>
      </c>
      <c r="D179" t="s">
        <v>118</v>
      </c>
      <c r="H179" t="s">
        <v>493</v>
      </c>
      <c r="I179" t="s">
        <v>494</v>
      </c>
      <c r="J179" t="s">
        <v>236</v>
      </c>
    </row>
    <row r="180" spans="1:10">
      <c r="A180" t="s">
        <v>471</v>
      </c>
      <c r="B180" t="s">
        <v>472</v>
      </c>
      <c r="C180" t="s">
        <v>106</v>
      </c>
      <c r="D180" t="s">
        <v>1474</v>
      </c>
      <c r="H180" t="s">
        <v>495</v>
      </c>
      <c r="I180" t="s">
        <v>496</v>
      </c>
      <c r="J180" t="s">
        <v>236</v>
      </c>
    </row>
    <row r="181" spans="1:10">
      <c r="A181" t="s">
        <v>473</v>
      </c>
      <c r="B181" t="s">
        <v>474</v>
      </c>
      <c r="C181" t="s">
        <v>106</v>
      </c>
      <c r="D181" t="s">
        <v>117</v>
      </c>
      <c r="H181" t="s">
        <v>497</v>
      </c>
      <c r="I181" t="s">
        <v>498</v>
      </c>
      <c r="J181" t="s">
        <v>236</v>
      </c>
    </row>
    <row r="182" spans="1:10">
      <c r="A182" t="s">
        <v>475</v>
      </c>
      <c r="B182" t="s">
        <v>476</v>
      </c>
      <c r="C182" t="s">
        <v>106</v>
      </c>
      <c r="D182" t="s">
        <v>235</v>
      </c>
      <c r="H182" t="s">
        <v>499</v>
      </c>
      <c r="I182" t="s">
        <v>500</v>
      </c>
      <c r="J182" t="s">
        <v>1109</v>
      </c>
    </row>
    <row r="183" spans="1:10">
      <c r="A183" t="s">
        <v>477</v>
      </c>
      <c r="B183" t="s">
        <v>478</v>
      </c>
      <c r="C183" t="s">
        <v>106</v>
      </c>
      <c r="D183" t="s">
        <v>116</v>
      </c>
      <c r="H183" t="s">
        <v>501</v>
      </c>
      <c r="I183" t="s">
        <v>502</v>
      </c>
      <c r="J183" t="s">
        <v>1107</v>
      </c>
    </row>
    <row r="184" spans="1:10">
      <c r="A184" t="s">
        <v>479</v>
      </c>
      <c r="B184" t="s">
        <v>480</v>
      </c>
      <c r="C184" t="s">
        <v>106</v>
      </c>
      <c r="D184" t="s">
        <v>1472</v>
      </c>
      <c r="H184" t="s">
        <v>503</v>
      </c>
      <c r="I184" t="s">
        <v>504</v>
      </c>
      <c r="J184" t="s">
        <v>123</v>
      </c>
    </row>
    <row r="185" spans="1:10">
      <c r="A185" t="s">
        <v>481</v>
      </c>
      <c r="B185" t="s">
        <v>482</v>
      </c>
      <c r="C185" t="s">
        <v>106</v>
      </c>
      <c r="D185" t="s">
        <v>116</v>
      </c>
      <c r="H185" t="s">
        <v>505</v>
      </c>
      <c r="I185" t="s">
        <v>506</v>
      </c>
      <c r="J185" t="s">
        <v>235</v>
      </c>
    </row>
    <row r="186" spans="1:10">
      <c r="A186" t="s">
        <v>483</v>
      </c>
      <c r="B186" t="s">
        <v>484</v>
      </c>
      <c r="C186" t="s">
        <v>106</v>
      </c>
      <c r="D186" t="s">
        <v>118</v>
      </c>
      <c r="H186" t="s">
        <v>507</v>
      </c>
      <c r="I186" t="s">
        <v>508</v>
      </c>
      <c r="J186" t="s">
        <v>235</v>
      </c>
    </row>
    <row r="187" spans="1:10">
      <c r="A187" t="s">
        <v>485</v>
      </c>
      <c r="B187" t="s">
        <v>486</v>
      </c>
      <c r="C187" t="s">
        <v>106</v>
      </c>
      <c r="D187" t="s">
        <v>1471</v>
      </c>
      <c r="H187" t="s">
        <v>509</v>
      </c>
      <c r="I187" t="s">
        <v>510</v>
      </c>
      <c r="J187" t="s">
        <v>235</v>
      </c>
    </row>
    <row r="188" spans="1:10">
      <c r="A188" t="s">
        <v>487</v>
      </c>
      <c r="B188" t="s">
        <v>488</v>
      </c>
      <c r="C188" t="s">
        <v>106</v>
      </c>
      <c r="D188" t="s">
        <v>235</v>
      </c>
      <c r="H188" t="s">
        <v>511</v>
      </c>
      <c r="I188" t="s">
        <v>512</v>
      </c>
      <c r="J188" t="s">
        <v>1107</v>
      </c>
    </row>
    <row r="189" spans="1:10">
      <c r="A189" t="s">
        <v>489</v>
      </c>
      <c r="B189" t="s">
        <v>490</v>
      </c>
      <c r="C189" t="s">
        <v>106</v>
      </c>
      <c r="D189" t="s">
        <v>258</v>
      </c>
      <c r="H189" t="s">
        <v>513</v>
      </c>
      <c r="I189" t="s">
        <v>514</v>
      </c>
      <c r="J189" t="s">
        <v>118</v>
      </c>
    </row>
    <row r="190" spans="1:10">
      <c r="A190" t="s">
        <v>491</v>
      </c>
      <c r="B190" t="s">
        <v>492</v>
      </c>
      <c r="C190" t="s">
        <v>106</v>
      </c>
      <c r="D190" t="s">
        <v>118</v>
      </c>
      <c r="H190" t="s">
        <v>515</v>
      </c>
      <c r="I190" t="s">
        <v>516</v>
      </c>
      <c r="J190" t="s">
        <v>236</v>
      </c>
    </row>
    <row r="191" spans="1:10">
      <c r="A191" t="s">
        <v>493</v>
      </c>
      <c r="B191" t="s">
        <v>494</v>
      </c>
      <c r="C191" t="s">
        <v>106</v>
      </c>
      <c r="D191" t="s">
        <v>236</v>
      </c>
      <c r="H191" t="s">
        <v>517</v>
      </c>
      <c r="I191" t="s">
        <v>518</v>
      </c>
      <c r="J191" t="s">
        <v>258</v>
      </c>
    </row>
    <row r="192" spans="1:10">
      <c r="A192" t="s">
        <v>495</v>
      </c>
      <c r="B192" t="s">
        <v>496</v>
      </c>
      <c r="C192" t="s">
        <v>106</v>
      </c>
      <c r="D192" t="s">
        <v>236</v>
      </c>
      <c r="H192" t="s">
        <v>519</v>
      </c>
      <c r="I192" t="s">
        <v>520</v>
      </c>
      <c r="J192" t="s">
        <v>1100</v>
      </c>
    </row>
    <row r="193" spans="1:10">
      <c r="A193" t="s">
        <v>497</v>
      </c>
      <c r="B193" t="s">
        <v>498</v>
      </c>
      <c r="C193" t="s">
        <v>106</v>
      </c>
      <c r="D193" t="s">
        <v>236</v>
      </c>
      <c r="H193" t="s">
        <v>52</v>
      </c>
      <c r="I193" t="s">
        <v>521</v>
      </c>
      <c r="J193" t="s">
        <v>1108</v>
      </c>
    </row>
    <row r="194" spans="1:10">
      <c r="A194" t="s">
        <v>499</v>
      </c>
      <c r="B194" t="s">
        <v>500</v>
      </c>
      <c r="C194" t="s">
        <v>106</v>
      </c>
      <c r="D194" t="s">
        <v>1473</v>
      </c>
      <c r="H194" t="s">
        <v>522</v>
      </c>
      <c r="I194" t="s">
        <v>523</v>
      </c>
      <c r="J194" t="s">
        <v>118</v>
      </c>
    </row>
    <row r="195" spans="1:10">
      <c r="A195" t="s">
        <v>501</v>
      </c>
      <c r="B195" t="s">
        <v>502</v>
      </c>
      <c r="C195" t="s">
        <v>106</v>
      </c>
      <c r="D195" t="s">
        <v>1474</v>
      </c>
      <c r="H195" t="s">
        <v>524</v>
      </c>
      <c r="I195" t="s">
        <v>525</v>
      </c>
      <c r="J195" t="s">
        <v>236</v>
      </c>
    </row>
    <row r="196" spans="1:10">
      <c r="A196" t="s">
        <v>503</v>
      </c>
      <c r="B196" t="s">
        <v>504</v>
      </c>
      <c r="C196" t="s">
        <v>106</v>
      </c>
      <c r="D196" t="s">
        <v>123</v>
      </c>
      <c r="H196" t="s">
        <v>526</v>
      </c>
      <c r="I196" t="s">
        <v>527</v>
      </c>
      <c r="J196" t="s">
        <v>118</v>
      </c>
    </row>
    <row r="197" spans="1:10">
      <c r="A197" t="s">
        <v>505</v>
      </c>
      <c r="B197" t="s">
        <v>506</v>
      </c>
      <c r="C197" t="s">
        <v>106</v>
      </c>
      <c r="D197" t="s">
        <v>235</v>
      </c>
      <c r="H197" t="s">
        <v>528</v>
      </c>
      <c r="I197" t="s">
        <v>529</v>
      </c>
      <c r="J197" t="s">
        <v>1100</v>
      </c>
    </row>
    <row r="198" spans="1:10">
      <c r="A198" t="s">
        <v>507</v>
      </c>
      <c r="B198" t="s">
        <v>508</v>
      </c>
      <c r="C198" t="s">
        <v>106</v>
      </c>
      <c r="D198" t="s">
        <v>235</v>
      </c>
      <c r="H198" t="s">
        <v>530</v>
      </c>
      <c r="I198" t="s">
        <v>531</v>
      </c>
      <c r="J198" t="s">
        <v>123</v>
      </c>
    </row>
    <row r="199" spans="1:10">
      <c r="A199" t="s">
        <v>509</v>
      </c>
      <c r="B199" t="s">
        <v>510</v>
      </c>
      <c r="C199" t="s">
        <v>106</v>
      </c>
      <c r="D199" t="s">
        <v>235</v>
      </c>
      <c r="H199" t="s">
        <v>532</v>
      </c>
      <c r="I199" t="s">
        <v>533</v>
      </c>
      <c r="J199" t="s">
        <v>123</v>
      </c>
    </row>
    <row r="200" spans="1:10">
      <c r="A200" t="s">
        <v>511</v>
      </c>
      <c r="B200" t="s">
        <v>512</v>
      </c>
      <c r="C200" t="s">
        <v>106</v>
      </c>
      <c r="D200" t="s">
        <v>1474</v>
      </c>
      <c r="H200" t="s">
        <v>534</v>
      </c>
      <c r="I200" t="s">
        <v>535</v>
      </c>
      <c r="J200" t="s">
        <v>235</v>
      </c>
    </row>
    <row r="201" spans="1:10">
      <c r="A201" t="s">
        <v>513</v>
      </c>
      <c r="B201" t="s">
        <v>514</v>
      </c>
      <c r="C201" t="s">
        <v>106</v>
      </c>
      <c r="D201" t="s">
        <v>118</v>
      </c>
      <c r="H201" t="s">
        <v>536</v>
      </c>
      <c r="I201" t="s">
        <v>537</v>
      </c>
      <c r="J201" t="s">
        <v>1100</v>
      </c>
    </row>
    <row r="202" spans="1:10">
      <c r="A202" t="s">
        <v>515</v>
      </c>
      <c r="B202" t="s">
        <v>516</v>
      </c>
      <c r="C202" t="s">
        <v>106</v>
      </c>
      <c r="D202" t="s">
        <v>236</v>
      </c>
      <c r="H202" t="s">
        <v>538</v>
      </c>
      <c r="I202" t="s">
        <v>539</v>
      </c>
      <c r="J202" t="s">
        <v>1100</v>
      </c>
    </row>
    <row r="203" spans="1:10">
      <c r="A203" t="s">
        <v>517</v>
      </c>
      <c r="B203" t="s">
        <v>518</v>
      </c>
      <c r="C203" t="s">
        <v>106</v>
      </c>
      <c r="D203" t="s">
        <v>258</v>
      </c>
      <c r="H203" t="s">
        <v>540</v>
      </c>
      <c r="I203" t="s">
        <v>541</v>
      </c>
      <c r="J203" t="s">
        <v>117</v>
      </c>
    </row>
    <row r="204" spans="1:10">
      <c r="A204" t="s">
        <v>519</v>
      </c>
      <c r="B204" t="s">
        <v>520</v>
      </c>
      <c r="C204" t="s">
        <v>106</v>
      </c>
      <c r="D204" t="s">
        <v>1471</v>
      </c>
      <c r="H204" t="s">
        <v>50</v>
      </c>
      <c r="I204" t="s">
        <v>542</v>
      </c>
      <c r="J204" t="s">
        <v>1107</v>
      </c>
    </row>
    <row r="205" spans="1:10">
      <c r="A205" t="s">
        <v>52</v>
      </c>
      <c r="B205" t="s">
        <v>521</v>
      </c>
      <c r="C205" t="s">
        <v>106</v>
      </c>
      <c r="D205" t="s">
        <v>1472</v>
      </c>
      <c r="H205" t="s">
        <v>543</v>
      </c>
      <c r="I205" t="s">
        <v>544</v>
      </c>
      <c r="J205" t="s">
        <v>1100</v>
      </c>
    </row>
    <row r="206" spans="1:10">
      <c r="A206" t="s">
        <v>522</v>
      </c>
      <c r="B206" t="s">
        <v>523</v>
      </c>
      <c r="C206" t="s">
        <v>106</v>
      </c>
      <c r="D206" t="s">
        <v>118</v>
      </c>
      <c r="H206" t="s">
        <v>545</v>
      </c>
      <c r="I206" t="s">
        <v>546</v>
      </c>
      <c r="J206" t="s">
        <v>118</v>
      </c>
    </row>
    <row r="207" spans="1:10">
      <c r="A207" t="s">
        <v>524</v>
      </c>
      <c r="B207" t="s">
        <v>525</v>
      </c>
      <c r="C207" t="s">
        <v>106</v>
      </c>
      <c r="D207" t="s">
        <v>236</v>
      </c>
      <c r="H207" t="s">
        <v>547</v>
      </c>
      <c r="I207" t="s">
        <v>548</v>
      </c>
      <c r="J207" t="s">
        <v>118</v>
      </c>
    </row>
    <row r="208" spans="1:10">
      <c r="A208" t="s">
        <v>526</v>
      </c>
      <c r="B208" t="s">
        <v>527</v>
      </c>
      <c r="C208" t="s">
        <v>106</v>
      </c>
      <c r="D208" t="s">
        <v>118</v>
      </c>
      <c r="H208" t="s">
        <v>549</v>
      </c>
      <c r="I208" t="s">
        <v>550</v>
      </c>
      <c r="J208" t="s">
        <v>1108</v>
      </c>
    </row>
    <row r="209" spans="1:10">
      <c r="A209" t="s">
        <v>528</v>
      </c>
      <c r="B209" t="s">
        <v>529</v>
      </c>
      <c r="C209" t="s">
        <v>106</v>
      </c>
      <c r="D209" t="s">
        <v>1471</v>
      </c>
      <c r="H209" t="s">
        <v>551</v>
      </c>
      <c r="I209" t="s">
        <v>552</v>
      </c>
      <c r="J209" t="s">
        <v>1108</v>
      </c>
    </row>
    <row r="210" spans="1:10">
      <c r="A210" t="s">
        <v>530</v>
      </c>
      <c r="B210" t="s">
        <v>531</v>
      </c>
      <c r="C210" t="s">
        <v>106</v>
      </c>
      <c r="D210" t="s">
        <v>123</v>
      </c>
      <c r="H210" t="s">
        <v>553</v>
      </c>
      <c r="I210" t="s">
        <v>554</v>
      </c>
      <c r="J210" t="s">
        <v>123</v>
      </c>
    </row>
    <row r="211" spans="1:10">
      <c r="A211" t="s">
        <v>532</v>
      </c>
      <c r="B211" t="s">
        <v>533</v>
      </c>
      <c r="C211" t="s">
        <v>106</v>
      </c>
      <c r="D211" t="s">
        <v>123</v>
      </c>
      <c r="H211" t="s">
        <v>555</v>
      </c>
      <c r="I211" t="s">
        <v>556</v>
      </c>
      <c r="J211" t="s">
        <v>117</v>
      </c>
    </row>
    <row r="212" spans="1:10">
      <c r="A212" t="s">
        <v>534</v>
      </c>
      <c r="B212" t="s">
        <v>535</v>
      </c>
      <c r="C212" t="s">
        <v>106</v>
      </c>
      <c r="D212" t="s">
        <v>235</v>
      </c>
      <c r="H212" t="s">
        <v>557</v>
      </c>
      <c r="I212" t="s">
        <v>558</v>
      </c>
      <c r="J212" t="s">
        <v>1107</v>
      </c>
    </row>
    <row r="213" spans="1:10">
      <c r="A213" t="s">
        <v>536</v>
      </c>
      <c r="B213" t="s">
        <v>537</v>
      </c>
      <c r="C213" t="s">
        <v>106</v>
      </c>
      <c r="D213" t="s">
        <v>1471</v>
      </c>
      <c r="H213" t="s">
        <v>559</v>
      </c>
      <c r="I213" t="s">
        <v>560</v>
      </c>
      <c r="J213" t="s">
        <v>1107</v>
      </c>
    </row>
    <row r="214" spans="1:10">
      <c r="A214" t="s">
        <v>538</v>
      </c>
      <c r="B214" t="s">
        <v>539</v>
      </c>
      <c r="C214" t="s">
        <v>106</v>
      </c>
      <c r="D214" t="s">
        <v>1471</v>
      </c>
      <c r="H214" t="s">
        <v>561</v>
      </c>
      <c r="I214" t="s">
        <v>562</v>
      </c>
      <c r="J214" t="s">
        <v>1100</v>
      </c>
    </row>
    <row r="215" spans="1:10">
      <c r="A215" t="s">
        <v>540</v>
      </c>
      <c r="B215" t="s">
        <v>541</v>
      </c>
      <c r="C215" t="s">
        <v>106</v>
      </c>
      <c r="D215" t="s">
        <v>117</v>
      </c>
      <c r="H215" t="s">
        <v>563</v>
      </c>
      <c r="I215" t="s">
        <v>564</v>
      </c>
      <c r="J215" t="s">
        <v>118</v>
      </c>
    </row>
    <row r="216" spans="1:10">
      <c r="A216" t="s">
        <v>50</v>
      </c>
      <c r="B216" t="s">
        <v>542</v>
      </c>
      <c r="C216" t="s">
        <v>106</v>
      </c>
      <c r="D216" t="s">
        <v>1474</v>
      </c>
      <c r="H216" t="s">
        <v>565</v>
      </c>
      <c r="I216" t="s">
        <v>566</v>
      </c>
      <c r="J216" t="s">
        <v>118</v>
      </c>
    </row>
    <row r="217" spans="1:10">
      <c r="A217" t="s">
        <v>543</v>
      </c>
      <c r="B217" t="s">
        <v>544</v>
      </c>
      <c r="C217" t="s">
        <v>106</v>
      </c>
      <c r="D217" t="s">
        <v>1471</v>
      </c>
      <c r="H217" t="s">
        <v>567</v>
      </c>
      <c r="I217" t="s">
        <v>568</v>
      </c>
      <c r="J217" t="s">
        <v>118</v>
      </c>
    </row>
    <row r="218" spans="1:10">
      <c r="A218" t="s">
        <v>545</v>
      </c>
      <c r="B218" t="s">
        <v>546</v>
      </c>
      <c r="C218" t="s">
        <v>106</v>
      </c>
      <c r="D218" t="s">
        <v>118</v>
      </c>
      <c r="H218" t="s">
        <v>569</v>
      </c>
      <c r="I218" t="s">
        <v>570</v>
      </c>
      <c r="J218" t="s">
        <v>1109</v>
      </c>
    </row>
    <row r="219" spans="1:10">
      <c r="A219" t="s">
        <v>547</v>
      </c>
      <c r="B219" t="s">
        <v>548</v>
      </c>
      <c r="C219" t="s">
        <v>106</v>
      </c>
      <c r="D219" t="s">
        <v>118</v>
      </c>
      <c r="H219" t="s">
        <v>571</v>
      </c>
      <c r="I219" t="s">
        <v>572</v>
      </c>
      <c r="J219" t="s">
        <v>1107</v>
      </c>
    </row>
    <row r="220" spans="1:10">
      <c r="A220" t="s">
        <v>549</v>
      </c>
      <c r="B220" t="s">
        <v>550</v>
      </c>
      <c r="C220" t="s">
        <v>106</v>
      </c>
      <c r="D220" t="s">
        <v>1472</v>
      </c>
      <c r="H220" t="s">
        <v>573</v>
      </c>
      <c r="I220" t="s">
        <v>574</v>
      </c>
      <c r="J220" t="s">
        <v>1107</v>
      </c>
    </row>
    <row r="221" spans="1:10">
      <c r="A221" t="s">
        <v>551</v>
      </c>
      <c r="B221" t="s">
        <v>552</v>
      </c>
      <c r="C221" t="s">
        <v>106</v>
      </c>
      <c r="D221" t="s">
        <v>1472</v>
      </c>
      <c r="H221" t="s">
        <v>152</v>
      </c>
      <c r="I221" t="s">
        <v>575</v>
      </c>
      <c r="J221" t="s">
        <v>116</v>
      </c>
    </row>
    <row r="222" spans="1:10">
      <c r="A222" t="s">
        <v>553</v>
      </c>
      <c r="B222" t="s">
        <v>554</v>
      </c>
      <c r="C222" t="s">
        <v>106</v>
      </c>
      <c r="D222" t="s">
        <v>123</v>
      </c>
      <c r="H222" t="s">
        <v>576</v>
      </c>
      <c r="I222" t="s">
        <v>577</v>
      </c>
      <c r="J222" t="s">
        <v>1100</v>
      </c>
    </row>
    <row r="223" spans="1:10">
      <c r="A223" t="s">
        <v>555</v>
      </c>
      <c r="B223" t="s">
        <v>556</v>
      </c>
      <c r="C223" t="s">
        <v>106</v>
      </c>
      <c r="D223" t="s">
        <v>117</v>
      </c>
      <c r="H223" t="s">
        <v>578</v>
      </c>
      <c r="I223" t="s">
        <v>579</v>
      </c>
      <c r="J223" t="s">
        <v>123</v>
      </c>
    </row>
    <row r="224" spans="1:10">
      <c r="A224" t="s">
        <v>557</v>
      </c>
      <c r="B224" t="s">
        <v>558</v>
      </c>
      <c r="C224" t="s">
        <v>106</v>
      </c>
      <c r="D224" t="s">
        <v>1474</v>
      </c>
      <c r="H224" t="s">
        <v>580</v>
      </c>
      <c r="I224" t="s">
        <v>581</v>
      </c>
      <c r="J224" t="s">
        <v>123</v>
      </c>
    </row>
    <row r="225" spans="1:10">
      <c r="A225" t="s">
        <v>559</v>
      </c>
      <c r="B225" t="s">
        <v>560</v>
      </c>
      <c r="C225" t="s">
        <v>106</v>
      </c>
      <c r="D225" t="s">
        <v>1474</v>
      </c>
      <c r="H225" t="s">
        <v>582</v>
      </c>
      <c r="I225" t="s">
        <v>583</v>
      </c>
      <c r="J225" t="s">
        <v>258</v>
      </c>
    </row>
    <row r="226" spans="1:10">
      <c r="A226" t="s">
        <v>561</v>
      </c>
      <c r="B226" t="s">
        <v>562</v>
      </c>
      <c r="C226" t="s">
        <v>106</v>
      </c>
      <c r="D226" t="s">
        <v>1471</v>
      </c>
      <c r="H226" t="s">
        <v>584</v>
      </c>
      <c r="I226" t="s">
        <v>585</v>
      </c>
      <c r="J226" t="s">
        <v>1107</v>
      </c>
    </row>
    <row r="227" spans="1:10">
      <c r="A227" t="s">
        <v>563</v>
      </c>
      <c r="B227" t="s">
        <v>564</v>
      </c>
      <c r="C227" t="s">
        <v>106</v>
      </c>
      <c r="D227" t="s">
        <v>118</v>
      </c>
      <c r="H227" t="s">
        <v>586</v>
      </c>
      <c r="I227" t="s">
        <v>587</v>
      </c>
      <c r="J227" t="s">
        <v>1107</v>
      </c>
    </row>
    <row r="228" spans="1:10">
      <c r="A228" t="s">
        <v>565</v>
      </c>
      <c r="B228" t="s">
        <v>566</v>
      </c>
      <c r="C228" t="s">
        <v>106</v>
      </c>
      <c r="D228" t="s">
        <v>118</v>
      </c>
      <c r="H228" t="s">
        <v>588</v>
      </c>
      <c r="I228" t="s">
        <v>589</v>
      </c>
      <c r="J228" t="s">
        <v>116</v>
      </c>
    </row>
    <row r="229" spans="1:10">
      <c r="A229" t="s">
        <v>567</v>
      </c>
      <c r="B229" t="s">
        <v>568</v>
      </c>
      <c r="C229" t="s">
        <v>106</v>
      </c>
      <c r="D229" t="s">
        <v>118</v>
      </c>
      <c r="H229" t="s">
        <v>590</v>
      </c>
      <c r="I229" t="s">
        <v>591</v>
      </c>
      <c r="J229" t="s">
        <v>236</v>
      </c>
    </row>
    <row r="230" spans="1:10">
      <c r="A230" t="s">
        <v>569</v>
      </c>
      <c r="B230" t="s">
        <v>570</v>
      </c>
      <c r="C230" t="s">
        <v>106</v>
      </c>
      <c r="D230" t="s">
        <v>1473</v>
      </c>
      <c r="H230" t="s">
        <v>592</v>
      </c>
      <c r="I230" t="s">
        <v>593</v>
      </c>
      <c r="J230" t="s">
        <v>116</v>
      </c>
    </row>
    <row r="231" spans="1:10">
      <c r="A231" t="s">
        <v>571</v>
      </c>
      <c r="B231" t="s">
        <v>572</v>
      </c>
      <c r="C231" t="s">
        <v>106</v>
      </c>
      <c r="D231" t="s">
        <v>1474</v>
      </c>
      <c r="H231" t="s">
        <v>594</v>
      </c>
      <c r="I231" t="s">
        <v>595</v>
      </c>
      <c r="J231" t="s">
        <v>258</v>
      </c>
    </row>
    <row r="232" spans="1:10">
      <c r="A232" t="s">
        <v>573</v>
      </c>
      <c r="B232" t="s">
        <v>574</v>
      </c>
      <c r="C232" t="s">
        <v>106</v>
      </c>
      <c r="D232" t="s">
        <v>1474</v>
      </c>
      <c r="H232" t="s">
        <v>596</v>
      </c>
      <c r="I232" t="s">
        <v>597</v>
      </c>
      <c r="J232" t="s">
        <v>1100</v>
      </c>
    </row>
    <row r="233" spans="1:10">
      <c r="A233" t="s">
        <v>152</v>
      </c>
      <c r="B233" t="s">
        <v>575</v>
      </c>
      <c r="C233" t="s">
        <v>106</v>
      </c>
      <c r="D233" t="s">
        <v>116</v>
      </c>
      <c r="H233" t="s">
        <v>598</v>
      </c>
      <c r="I233" t="s">
        <v>599</v>
      </c>
      <c r="J233" t="s">
        <v>1107</v>
      </c>
    </row>
    <row r="234" spans="1:10">
      <c r="A234" t="s">
        <v>576</v>
      </c>
      <c r="B234" t="s">
        <v>577</v>
      </c>
      <c r="C234" t="s">
        <v>106</v>
      </c>
      <c r="D234" t="s">
        <v>1471</v>
      </c>
      <c r="H234" t="s">
        <v>600</v>
      </c>
      <c r="I234" t="s">
        <v>601</v>
      </c>
      <c r="J234" t="s">
        <v>116</v>
      </c>
    </row>
    <row r="235" spans="1:10">
      <c r="A235" t="s">
        <v>578</v>
      </c>
      <c r="B235" t="s">
        <v>579</v>
      </c>
      <c r="C235" t="s">
        <v>106</v>
      </c>
      <c r="D235" t="s">
        <v>123</v>
      </c>
      <c r="H235" t="s">
        <v>602</v>
      </c>
      <c r="I235" t="s">
        <v>603</v>
      </c>
      <c r="J235" t="s">
        <v>1107</v>
      </c>
    </row>
    <row r="236" spans="1:10">
      <c r="A236" t="s">
        <v>580</v>
      </c>
      <c r="B236" t="s">
        <v>581</v>
      </c>
      <c r="C236" t="s">
        <v>106</v>
      </c>
      <c r="D236" t="s">
        <v>123</v>
      </c>
      <c r="H236" t="s">
        <v>604</v>
      </c>
      <c r="I236" t="s">
        <v>605</v>
      </c>
      <c r="J236" t="s">
        <v>118</v>
      </c>
    </row>
    <row r="237" spans="1:10">
      <c r="A237" t="s">
        <v>582</v>
      </c>
      <c r="B237" t="s">
        <v>583</v>
      </c>
      <c r="C237" t="s">
        <v>106</v>
      </c>
      <c r="D237" t="s">
        <v>258</v>
      </c>
      <c r="H237" t="s">
        <v>166</v>
      </c>
      <c r="I237" t="s">
        <v>606</v>
      </c>
      <c r="J237" t="s">
        <v>1109</v>
      </c>
    </row>
    <row r="238" spans="1:10">
      <c r="A238" t="s">
        <v>584</v>
      </c>
      <c r="B238" t="s">
        <v>585</v>
      </c>
      <c r="C238" t="s">
        <v>106</v>
      </c>
      <c r="D238" t="s">
        <v>1474</v>
      </c>
      <c r="H238" t="s">
        <v>607</v>
      </c>
      <c r="I238" t="s">
        <v>608</v>
      </c>
      <c r="J238" t="s">
        <v>236</v>
      </c>
    </row>
    <row r="239" spans="1:10">
      <c r="A239" t="s">
        <v>586</v>
      </c>
      <c r="B239" t="s">
        <v>587</v>
      </c>
      <c r="C239" t="s">
        <v>106</v>
      </c>
      <c r="D239" t="s">
        <v>1474</v>
      </c>
      <c r="H239" t="s">
        <v>609</v>
      </c>
      <c r="I239" t="s">
        <v>610</v>
      </c>
      <c r="J239" t="s">
        <v>118</v>
      </c>
    </row>
    <row r="240" spans="1:10">
      <c r="A240" t="s">
        <v>588</v>
      </c>
      <c r="B240" t="s">
        <v>589</v>
      </c>
      <c r="C240" t="s">
        <v>106</v>
      </c>
      <c r="D240" t="s">
        <v>116</v>
      </c>
      <c r="H240" t="s">
        <v>611</v>
      </c>
      <c r="I240" t="s">
        <v>612</v>
      </c>
      <c r="J240" t="s">
        <v>1100</v>
      </c>
    </row>
    <row r="241" spans="1:10">
      <c r="A241" t="s">
        <v>590</v>
      </c>
      <c r="B241" t="s">
        <v>591</v>
      </c>
      <c r="C241" t="s">
        <v>106</v>
      </c>
      <c r="D241" t="s">
        <v>236</v>
      </c>
      <c r="H241" t="s">
        <v>169</v>
      </c>
      <c r="I241" t="s">
        <v>613</v>
      </c>
      <c r="J241" t="s">
        <v>116</v>
      </c>
    </row>
    <row r="242" spans="1:10">
      <c r="A242" t="s">
        <v>592</v>
      </c>
      <c r="B242" t="s">
        <v>593</v>
      </c>
      <c r="C242" t="s">
        <v>106</v>
      </c>
      <c r="D242" t="s">
        <v>116</v>
      </c>
      <c r="H242" t="s">
        <v>614</v>
      </c>
      <c r="I242" t="s">
        <v>615</v>
      </c>
      <c r="J242" t="s">
        <v>123</v>
      </c>
    </row>
    <row r="243" spans="1:10">
      <c r="A243" t="s">
        <v>594</v>
      </c>
      <c r="B243" t="s">
        <v>595</v>
      </c>
      <c r="C243" t="s">
        <v>106</v>
      </c>
      <c r="D243" t="s">
        <v>258</v>
      </c>
      <c r="H243" t="s">
        <v>616</v>
      </c>
      <c r="I243" t="s">
        <v>617</v>
      </c>
      <c r="J243" t="s">
        <v>118</v>
      </c>
    </row>
    <row r="244" spans="1:10">
      <c r="A244" t="s">
        <v>596</v>
      </c>
      <c r="B244" t="s">
        <v>597</v>
      </c>
      <c r="C244" t="s">
        <v>106</v>
      </c>
      <c r="D244" t="s">
        <v>1471</v>
      </c>
      <c r="H244" t="s">
        <v>618</v>
      </c>
      <c r="I244" t="s">
        <v>618</v>
      </c>
      <c r="J244" t="s">
        <v>1100</v>
      </c>
    </row>
    <row r="245" spans="1:10">
      <c r="A245" t="s">
        <v>598</v>
      </c>
      <c r="B245" t="s">
        <v>599</v>
      </c>
      <c r="C245" t="s">
        <v>106</v>
      </c>
      <c r="D245" t="s">
        <v>1474</v>
      </c>
      <c r="H245" t="s">
        <v>619</v>
      </c>
      <c r="I245" t="s">
        <v>620</v>
      </c>
      <c r="J245" t="s">
        <v>118</v>
      </c>
    </row>
    <row r="246" spans="1:10">
      <c r="A246" t="s">
        <v>600</v>
      </c>
      <c r="B246" t="s">
        <v>601</v>
      </c>
      <c r="C246" t="s">
        <v>106</v>
      </c>
      <c r="D246" t="s">
        <v>116</v>
      </c>
      <c r="H246" t="s">
        <v>119</v>
      </c>
      <c r="I246" t="s">
        <v>621</v>
      </c>
      <c r="J246" t="s">
        <v>116</v>
      </c>
    </row>
    <row r="247" spans="1:10">
      <c r="A247" t="s">
        <v>602</v>
      </c>
      <c r="B247" t="s">
        <v>603</v>
      </c>
      <c r="C247" t="s">
        <v>106</v>
      </c>
      <c r="D247" t="s">
        <v>1474</v>
      </c>
      <c r="H247" t="s">
        <v>622</v>
      </c>
      <c r="I247" t="s">
        <v>623</v>
      </c>
      <c r="J247" t="s">
        <v>118</v>
      </c>
    </row>
    <row r="248" spans="1:10">
      <c r="A248" t="s">
        <v>604</v>
      </c>
      <c r="B248" t="s">
        <v>605</v>
      </c>
      <c r="C248" t="s">
        <v>106</v>
      </c>
      <c r="D248" t="s">
        <v>118</v>
      </c>
      <c r="H248" t="s">
        <v>624</v>
      </c>
      <c r="I248" t="s">
        <v>625</v>
      </c>
      <c r="J248" t="s">
        <v>118</v>
      </c>
    </row>
    <row r="249" spans="1:10">
      <c r="A249" t="s">
        <v>166</v>
      </c>
      <c r="B249" t="s">
        <v>606</v>
      </c>
      <c r="C249" t="s">
        <v>106</v>
      </c>
      <c r="D249" t="s">
        <v>1473</v>
      </c>
      <c r="H249" t="s">
        <v>626</v>
      </c>
      <c r="I249" t="s">
        <v>627</v>
      </c>
      <c r="J249" t="s">
        <v>116</v>
      </c>
    </row>
    <row r="250" spans="1:10">
      <c r="A250" t="s">
        <v>607</v>
      </c>
      <c r="B250" t="s">
        <v>608</v>
      </c>
      <c r="C250" t="s">
        <v>106</v>
      </c>
      <c r="D250" t="s">
        <v>236</v>
      </c>
      <c r="H250" t="s">
        <v>628</v>
      </c>
      <c r="I250" t="s">
        <v>629</v>
      </c>
      <c r="J250" t="s">
        <v>116</v>
      </c>
    </row>
    <row r="251" spans="1:10">
      <c r="A251" t="s">
        <v>609</v>
      </c>
      <c r="B251" t="s">
        <v>610</v>
      </c>
      <c r="D251" t="s">
        <v>118</v>
      </c>
      <c r="H251" t="s">
        <v>630</v>
      </c>
      <c r="I251" t="s">
        <v>631</v>
      </c>
      <c r="J251" t="s">
        <v>118</v>
      </c>
    </row>
    <row r="252" spans="1:10">
      <c r="A252" t="s">
        <v>611</v>
      </c>
      <c r="B252" t="s">
        <v>612</v>
      </c>
      <c r="D252" t="s">
        <v>1471</v>
      </c>
      <c r="H252" t="s">
        <v>153</v>
      </c>
      <c r="I252" t="s">
        <v>632</v>
      </c>
      <c r="J252" t="s">
        <v>1100</v>
      </c>
    </row>
    <row r="253" spans="1:10">
      <c r="A253" t="s">
        <v>169</v>
      </c>
      <c r="B253" t="s">
        <v>613</v>
      </c>
      <c r="D253" t="s">
        <v>116</v>
      </c>
      <c r="H253" t="s">
        <v>633</v>
      </c>
      <c r="I253" t="s">
        <v>634</v>
      </c>
      <c r="J253" t="s">
        <v>123</v>
      </c>
    </row>
    <row r="254" spans="1:10">
      <c r="A254" t="s">
        <v>614</v>
      </c>
      <c r="B254" t="s">
        <v>615</v>
      </c>
      <c r="D254" t="s">
        <v>123</v>
      </c>
      <c r="H254" t="s">
        <v>635</v>
      </c>
      <c r="I254" t="s">
        <v>636</v>
      </c>
      <c r="J254" t="s">
        <v>117</v>
      </c>
    </row>
    <row r="255" spans="1:10">
      <c r="A255" t="s">
        <v>616</v>
      </c>
      <c r="B255" t="s">
        <v>617</v>
      </c>
      <c r="D255" t="s">
        <v>118</v>
      </c>
      <c r="H255" t="s">
        <v>637</v>
      </c>
      <c r="I255" t="s">
        <v>638</v>
      </c>
      <c r="J255" t="s">
        <v>117</v>
      </c>
    </row>
    <row r="256" spans="1:10">
      <c r="A256" t="s">
        <v>618</v>
      </c>
      <c r="B256" t="s">
        <v>618</v>
      </c>
      <c r="D256" t="s">
        <v>1471</v>
      </c>
      <c r="H256" t="s">
        <v>639</v>
      </c>
      <c r="I256" t="s">
        <v>640</v>
      </c>
      <c r="J256" t="s">
        <v>1108</v>
      </c>
    </row>
    <row r="257" spans="1:10">
      <c r="A257" t="s">
        <v>619</v>
      </c>
      <c r="B257" t="s">
        <v>620</v>
      </c>
      <c r="D257" t="s">
        <v>118</v>
      </c>
      <c r="H257" t="s">
        <v>641</v>
      </c>
      <c r="I257" t="s">
        <v>642</v>
      </c>
      <c r="J257" t="s">
        <v>1100</v>
      </c>
    </row>
    <row r="258" spans="1:10">
      <c r="A258" t="s">
        <v>119</v>
      </c>
      <c r="B258" t="s">
        <v>621</v>
      </c>
      <c r="D258" t="s">
        <v>116</v>
      </c>
      <c r="H258" t="s">
        <v>56</v>
      </c>
      <c r="I258" t="s">
        <v>643</v>
      </c>
      <c r="J258" t="s">
        <v>116</v>
      </c>
    </row>
    <row r="259" spans="1:10">
      <c r="A259" t="s">
        <v>622</v>
      </c>
      <c r="B259" t="s">
        <v>623</v>
      </c>
      <c r="D259" t="s">
        <v>118</v>
      </c>
      <c r="H259" t="s">
        <v>57</v>
      </c>
      <c r="I259" t="s">
        <v>644</v>
      </c>
      <c r="J259" t="s">
        <v>123</v>
      </c>
    </row>
    <row r="260" spans="1:10">
      <c r="A260" t="s">
        <v>624</v>
      </c>
      <c r="B260" t="s">
        <v>625</v>
      </c>
      <c r="D260" t="s">
        <v>118</v>
      </c>
      <c r="H260" t="s">
        <v>645</v>
      </c>
      <c r="I260" t="s">
        <v>646</v>
      </c>
      <c r="J260" t="s">
        <v>1100</v>
      </c>
    </row>
    <row r="261" spans="1:10">
      <c r="A261" t="s">
        <v>626</v>
      </c>
      <c r="B261" t="s">
        <v>627</v>
      </c>
      <c r="D261" t="s">
        <v>116</v>
      </c>
      <c r="H261" t="s">
        <v>55</v>
      </c>
      <c r="I261" t="s">
        <v>647</v>
      </c>
      <c r="J261" t="s">
        <v>116</v>
      </c>
    </row>
    <row r="262" spans="1:10">
      <c r="A262" t="s">
        <v>628</v>
      </c>
      <c r="B262" t="s">
        <v>629</v>
      </c>
      <c r="D262" t="s">
        <v>116</v>
      </c>
      <c r="H262" t="s">
        <v>648</v>
      </c>
      <c r="I262" t="s">
        <v>649</v>
      </c>
      <c r="J262" t="s">
        <v>236</v>
      </c>
    </row>
    <row r="263" spans="1:10">
      <c r="A263" t="s">
        <v>630</v>
      </c>
      <c r="B263" t="s">
        <v>631</v>
      </c>
      <c r="D263" t="s">
        <v>118</v>
      </c>
      <c r="H263" t="s">
        <v>650</v>
      </c>
      <c r="I263" t="s">
        <v>651</v>
      </c>
      <c r="J263" t="s">
        <v>118</v>
      </c>
    </row>
    <row r="264" spans="1:10">
      <c r="A264" t="s">
        <v>153</v>
      </c>
      <c r="B264" t="s">
        <v>632</v>
      </c>
      <c r="D264" t="s">
        <v>1471</v>
      </c>
      <c r="H264" t="s">
        <v>652</v>
      </c>
      <c r="I264" t="s">
        <v>653</v>
      </c>
      <c r="J264" t="s">
        <v>1100</v>
      </c>
    </row>
    <row r="265" spans="1:10">
      <c r="A265" t="s">
        <v>633</v>
      </c>
      <c r="B265" t="s">
        <v>634</v>
      </c>
      <c r="D265" t="s">
        <v>123</v>
      </c>
      <c r="H265" t="s">
        <v>654</v>
      </c>
      <c r="I265" t="s">
        <v>655</v>
      </c>
      <c r="J265" t="s">
        <v>118</v>
      </c>
    </row>
    <row r="266" spans="1:10">
      <c r="A266" t="s">
        <v>635</v>
      </c>
      <c r="B266" t="s">
        <v>636</v>
      </c>
      <c r="D266" t="s">
        <v>117</v>
      </c>
      <c r="H266" t="s">
        <v>656</v>
      </c>
      <c r="I266" t="s">
        <v>657</v>
      </c>
      <c r="J266" t="s">
        <v>1109</v>
      </c>
    </row>
    <row r="267" spans="1:10">
      <c r="A267" t="s">
        <v>637</v>
      </c>
      <c r="B267" t="s">
        <v>638</v>
      </c>
      <c r="D267" t="s">
        <v>117</v>
      </c>
      <c r="H267" t="s">
        <v>154</v>
      </c>
      <c r="I267" t="s">
        <v>658</v>
      </c>
      <c r="J267" t="s">
        <v>116</v>
      </c>
    </row>
    <row r="268" spans="1:10">
      <c r="A268" t="s">
        <v>639</v>
      </c>
      <c r="B268" t="s">
        <v>640</v>
      </c>
      <c r="D268" t="s">
        <v>1472</v>
      </c>
      <c r="H268" t="s">
        <v>659</v>
      </c>
      <c r="I268" t="s">
        <v>660</v>
      </c>
      <c r="J268" t="s">
        <v>118</v>
      </c>
    </row>
    <row r="269" spans="1:10">
      <c r="A269" t="s">
        <v>641</v>
      </c>
      <c r="B269" t="s">
        <v>642</v>
      </c>
      <c r="D269" t="s">
        <v>1471</v>
      </c>
      <c r="H269" t="s">
        <v>58</v>
      </c>
      <c r="I269" t="s">
        <v>661</v>
      </c>
      <c r="J269" t="s">
        <v>123</v>
      </c>
    </row>
    <row r="270" spans="1:10">
      <c r="A270" t="s">
        <v>56</v>
      </c>
      <c r="B270" t="s">
        <v>643</v>
      </c>
      <c r="D270" t="s">
        <v>116</v>
      </c>
      <c r="H270" t="s">
        <v>662</v>
      </c>
      <c r="I270" t="s">
        <v>663</v>
      </c>
      <c r="J270" t="s">
        <v>1100</v>
      </c>
    </row>
    <row r="271" spans="1:10">
      <c r="A271" t="s">
        <v>57</v>
      </c>
      <c r="B271" t="s">
        <v>644</v>
      </c>
      <c r="D271" t="s">
        <v>123</v>
      </c>
      <c r="H271" t="s">
        <v>664</v>
      </c>
      <c r="I271" t="s">
        <v>665</v>
      </c>
      <c r="J271" t="s">
        <v>118</v>
      </c>
    </row>
    <row r="272" spans="1:10">
      <c r="A272" t="s">
        <v>645</v>
      </c>
      <c r="B272" t="s">
        <v>646</v>
      </c>
      <c r="D272" t="s">
        <v>1471</v>
      </c>
      <c r="H272" t="s">
        <v>666</v>
      </c>
      <c r="I272" t="s">
        <v>667</v>
      </c>
      <c r="J272" t="s">
        <v>1109</v>
      </c>
    </row>
    <row r="273" spans="1:10">
      <c r="A273" t="s">
        <v>55</v>
      </c>
      <c r="B273" t="s">
        <v>647</v>
      </c>
      <c r="D273" t="s">
        <v>116</v>
      </c>
      <c r="H273" t="s">
        <v>668</v>
      </c>
      <c r="I273" t="s">
        <v>669</v>
      </c>
      <c r="J273" t="s">
        <v>123</v>
      </c>
    </row>
    <row r="274" spans="1:10">
      <c r="A274" t="s">
        <v>648</v>
      </c>
      <c r="B274" t="s">
        <v>649</v>
      </c>
      <c r="D274" t="s">
        <v>236</v>
      </c>
      <c r="H274" t="s">
        <v>670</v>
      </c>
      <c r="I274" t="s">
        <v>671</v>
      </c>
      <c r="J274" t="s">
        <v>1100</v>
      </c>
    </row>
    <row r="275" spans="1:10">
      <c r="A275" t="s">
        <v>650</v>
      </c>
      <c r="B275" t="s">
        <v>651</v>
      </c>
      <c r="D275" t="s">
        <v>118</v>
      </c>
      <c r="H275" t="s">
        <v>672</v>
      </c>
      <c r="I275" t="s">
        <v>673</v>
      </c>
      <c r="J275" t="s">
        <v>1109</v>
      </c>
    </row>
    <row r="276" spans="1:10">
      <c r="A276" t="s">
        <v>652</v>
      </c>
      <c r="B276" t="s">
        <v>653</v>
      </c>
      <c r="D276" t="s">
        <v>1471</v>
      </c>
      <c r="H276" t="s">
        <v>674</v>
      </c>
      <c r="I276" t="s">
        <v>675</v>
      </c>
      <c r="J276" t="s">
        <v>236</v>
      </c>
    </row>
    <row r="277" spans="1:10">
      <c r="A277" t="s">
        <v>654</v>
      </c>
      <c r="B277" t="s">
        <v>655</v>
      </c>
      <c r="D277" t="s">
        <v>118</v>
      </c>
      <c r="H277" t="s">
        <v>676</v>
      </c>
      <c r="I277" t="s">
        <v>677</v>
      </c>
      <c r="J277" t="s">
        <v>258</v>
      </c>
    </row>
    <row r="278" spans="1:10">
      <c r="A278" t="s">
        <v>656</v>
      </c>
      <c r="B278" t="s">
        <v>657</v>
      </c>
      <c r="D278" t="s">
        <v>1473</v>
      </c>
      <c r="H278" t="s">
        <v>678</v>
      </c>
      <c r="I278" t="s">
        <v>679</v>
      </c>
      <c r="J278" t="s">
        <v>1100</v>
      </c>
    </row>
    <row r="279" spans="1:10">
      <c r="A279" t="s">
        <v>154</v>
      </c>
      <c r="B279" t="s">
        <v>658</v>
      </c>
      <c r="D279" t="s">
        <v>116</v>
      </c>
      <c r="H279" t="s">
        <v>680</v>
      </c>
      <c r="I279" t="s">
        <v>681</v>
      </c>
      <c r="J279" t="s">
        <v>1109</v>
      </c>
    </row>
    <row r="280" spans="1:10">
      <c r="A280" t="s">
        <v>659</v>
      </c>
      <c r="B280" t="s">
        <v>660</v>
      </c>
      <c r="D280" t="s">
        <v>118</v>
      </c>
      <c r="H280" t="s">
        <v>682</v>
      </c>
      <c r="I280" t="s">
        <v>683</v>
      </c>
      <c r="J280" t="s">
        <v>1109</v>
      </c>
    </row>
    <row r="281" spans="1:10">
      <c r="A281" t="s">
        <v>58</v>
      </c>
      <c r="B281" t="s">
        <v>661</v>
      </c>
      <c r="D281" t="s">
        <v>123</v>
      </c>
      <c r="H281" t="s">
        <v>684</v>
      </c>
      <c r="I281" t="s">
        <v>685</v>
      </c>
      <c r="J281" t="s">
        <v>118</v>
      </c>
    </row>
    <row r="282" spans="1:10">
      <c r="A282" t="s">
        <v>662</v>
      </c>
      <c r="B282" t="s">
        <v>663</v>
      </c>
      <c r="D282" t="s">
        <v>1471</v>
      </c>
      <c r="H282" t="s">
        <v>686</v>
      </c>
      <c r="I282" t="s">
        <v>687</v>
      </c>
      <c r="J282" t="s">
        <v>116</v>
      </c>
    </row>
    <row r="283" spans="1:10">
      <c r="A283" t="s">
        <v>664</v>
      </c>
      <c r="B283" t="s">
        <v>665</v>
      </c>
      <c r="D283" t="s">
        <v>118</v>
      </c>
      <c r="H283" t="s">
        <v>688</v>
      </c>
      <c r="I283" t="s">
        <v>689</v>
      </c>
      <c r="J283" t="s">
        <v>1100</v>
      </c>
    </row>
    <row r="284" spans="1:10">
      <c r="A284" t="s">
        <v>666</v>
      </c>
      <c r="B284" t="s">
        <v>667</v>
      </c>
      <c r="D284" t="s">
        <v>1473</v>
      </c>
      <c r="H284" t="s">
        <v>690</v>
      </c>
      <c r="I284" t="s">
        <v>691</v>
      </c>
      <c r="J284" t="s">
        <v>1109</v>
      </c>
    </row>
    <row r="285" spans="1:10">
      <c r="A285" t="s">
        <v>668</v>
      </c>
      <c r="B285" t="s">
        <v>669</v>
      </c>
      <c r="D285" t="s">
        <v>123</v>
      </c>
      <c r="H285" t="s">
        <v>692</v>
      </c>
      <c r="I285" t="s">
        <v>693</v>
      </c>
      <c r="J285" t="s">
        <v>1107</v>
      </c>
    </row>
    <row r="286" spans="1:10">
      <c r="A286" t="s">
        <v>670</v>
      </c>
      <c r="B286" t="s">
        <v>671</v>
      </c>
      <c r="D286" t="s">
        <v>1471</v>
      </c>
      <c r="H286" t="s">
        <v>694</v>
      </c>
      <c r="I286" t="s">
        <v>695</v>
      </c>
      <c r="J286" t="s">
        <v>1107</v>
      </c>
    </row>
    <row r="287" spans="1:10">
      <c r="A287" t="s">
        <v>672</v>
      </c>
      <c r="B287" t="s">
        <v>673</v>
      </c>
      <c r="D287" t="s">
        <v>1473</v>
      </c>
      <c r="H287" t="s">
        <v>696</v>
      </c>
      <c r="I287" t="s">
        <v>697</v>
      </c>
      <c r="J287" t="s">
        <v>118</v>
      </c>
    </row>
    <row r="288" spans="1:10">
      <c r="A288" t="s">
        <v>674</v>
      </c>
      <c r="B288" t="s">
        <v>675</v>
      </c>
      <c r="D288" t="s">
        <v>236</v>
      </c>
      <c r="H288" t="s">
        <v>698</v>
      </c>
      <c r="I288" t="s">
        <v>699</v>
      </c>
      <c r="J288" t="s">
        <v>1107</v>
      </c>
    </row>
    <row r="289" spans="1:10">
      <c r="A289" t="s">
        <v>676</v>
      </c>
      <c r="B289" t="s">
        <v>677</v>
      </c>
      <c r="D289" t="s">
        <v>258</v>
      </c>
      <c r="H289" t="s">
        <v>700</v>
      </c>
      <c r="I289" t="s">
        <v>701</v>
      </c>
      <c r="J289" t="s">
        <v>123</v>
      </c>
    </row>
    <row r="290" spans="1:10">
      <c r="A290" t="s">
        <v>678</v>
      </c>
      <c r="B290" t="s">
        <v>679</v>
      </c>
      <c r="D290" t="s">
        <v>1471</v>
      </c>
      <c r="H290" t="s">
        <v>59</v>
      </c>
      <c r="I290" t="s">
        <v>702</v>
      </c>
      <c r="J290" t="s">
        <v>117</v>
      </c>
    </row>
    <row r="291" spans="1:10">
      <c r="A291" t="s">
        <v>680</v>
      </c>
      <c r="B291" t="s">
        <v>681</v>
      </c>
      <c r="D291" t="s">
        <v>1473</v>
      </c>
      <c r="H291" t="s">
        <v>703</v>
      </c>
      <c r="I291" t="s">
        <v>704</v>
      </c>
      <c r="J291" t="s">
        <v>1108</v>
      </c>
    </row>
    <row r="292" spans="1:10">
      <c r="A292" t="s">
        <v>682</v>
      </c>
      <c r="B292" t="s">
        <v>683</v>
      </c>
      <c r="D292" t="s">
        <v>1473</v>
      </c>
      <c r="H292" t="s">
        <v>705</v>
      </c>
      <c r="I292" t="s">
        <v>706</v>
      </c>
      <c r="J292" t="s">
        <v>1107</v>
      </c>
    </row>
    <row r="293" spans="1:10">
      <c r="A293" t="s">
        <v>684</v>
      </c>
      <c r="B293" t="s">
        <v>685</v>
      </c>
      <c r="D293" t="s">
        <v>118</v>
      </c>
      <c r="H293" t="s">
        <v>60</v>
      </c>
      <c r="I293" t="s">
        <v>707</v>
      </c>
      <c r="J293" t="s">
        <v>118</v>
      </c>
    </row>
    <row r="294" spans="1:10">
      <c r="A294" t="s">
        <v>686</v>
      </c>
      <c r="B294" t="s">
        <v>687</v>
      </c>
      <c r="D294" t="s">
        <v>116</v>
      </c>
      <c r="H294" t="s">
        <v>708</v>
      </c>
      <c r="I294" t="s">
        <v>709</v>
      </c>
      <c r="J294" t="s">
        <v>123</v>
      </c>
    </row>
    <row r="295" spans="1:10">
      <c r="A295" t="s">
        <v>688</v>
      </c>
      <c r="B295" t="s">
        <v>689</v>
      </c>
      <c r="D295" t="s">
        <v>1471</v>
      </c>
      <c r="H295" t="s">
        <v>710</v>
      </c>
      <c r="I295" t="s">
        <v>711</v>
      </c>
      <c r="J295" t="s">
        <v>1107</v>
      </c>
    </row>
    <row r="296" spans="1:10">
      <c r="A296" t="s">
        <v>690</v>
      </c>
      <c r="B296" t="s">
        <v>691</v>
      </c>
      <c r="D296" t="s">
        <v>1473</v>
      </c>
      <c r="H296" t="s">
        <v>712</v>
      </c>
      <c r="I296" t="s">
        <v>713</v>
      </c>
      <c r="J296" t="s">
        <v>1108</v>
      </c>
    </row>
    <row r="297" spans="1:10">
      <c r="A297" t="s">
        <v>692</v>
      </c>
      <c r="B297" t="s">
        <v>693</v>
      </c>
      <c r="D297" t="s">
        <v>1474</v>
      </c>
      <c r="H297" t="s">
        <v>714</v>
      </c>
      <c r="I297" t="s">
        <v>715</v>
      </c>
      <c r="J297" t="s">
        <v>117</v>
      </c>
    </row>
    <row r="298" spans="1:10">
      <c r="A298" t="s">
        <v>694</v>
      </c>
      <c r="B298" t="s">
        <v>695</v>
      </c>
      <c r="D298" t="s">
        <v>1474</v>
      </c>
      <c r="H298" t="s">
        <v>716</v>
      </c>
      <c r="I298" t="s">
        <v>717</v>
      </c>
      <c r="J298" t="s">
        <v>123</v>
      </c>
    </row>
    <row r="299" spans="1:10">
      <c r="A299" t="s">
        <v>696</v>
      </c>
      <c r="B299" t="s">
        <v>697</v>
      </c>
      <c r="D299" t="s">
        <v>118</v>
      </c>
      <c r="H299" t="s">
        <v>718</v>
      </c>
      <c r="I299" t="s">
        <v>719</v>
      </c>
      <c r="J299" t="s">
        <v>258</v>
      </c>
    </row>
    <row r="300" spans="1:10">
      <c r="A300" t="s">
        <v>698</v>
      </c>
      <c r="B300" t="s">
        <v>699</v>
      </c>
      <c r="D300" t="s">
        <v>1474</v>
      </c>
      <c r="H300" t="s">
        <v>63</v>
      </c>
      <c r="I300" t="s">
        <v>720</v>
      </c>
      <c r="J300" t="s">
        <v>258</v>
      </c>
    </row>
    <row r="301" spans="1:10">
      <c r="A301" t="s">
        <v>700</v>
      </c>
      <c r="B301" t="s">
        <v>701</v>
      </c>
      <c r="D301" t="s">
        <v>123</v>
      </c>
      <c r="H301" t="s">
        <v>721</v>
      </c>
      <c r="I301" t="s">
        <v>722</v>
      </c>
      <c r="J301" t="s">
        <v>123</v>
      </c>
    </row>
    <row r="302" spans="1:10">
      <c r="A302" t="s">
        <v>59</v>
      </c>
      <c r="B302" t="s">
        <v>702</v>
      </c>
      <c r="D302" t="s">
        <v>117</v>
      </c>
      <c r="H302" t="s">
        <v>723</v>
      </c>
      <c r="I302" t="s">
        <v>724</v>
      </c>
      <c r="J302" t="s">
        <v>1107</v>
      </c>
    </row>
    <row r="303" spans="1:10">
      <c r="A303" t="s">
        <v>703</v>
      </c>
      <c r="B303" t="s">
        <v>704</v>
      </c>
      <c r="D303" t="s">
        <v>1472</v>
      </c>
      <c r="H303" t="s">
        <v>725</v>
      </c>
      <c r="I303" t="s">
        <v>726</v>
      </c>
      <c r="J303" t="s">
        <v>123</v>
      </c>
    </row>
    <row r="304" spans="1:10">
      <c r="A304" t="s">
        <v>705</v>
      </c>
      <c r="B304" t="s">
        <v>706</v>
      </c>
      <c r="D304" t="s">
        <v>1474</v>
      </c>
      <c r="H304" t="s">
        <v>727</v>
      </c>
      <c r="I304" t="s">
        <v>728</v>
      </c>
      <c r="J304" t="s">
        <v>117</v>
      </c>
    </row>
    <row r="305" spans="1:10">
      <c r="A305" t="s">
        <v>60</v>
      </c>
      <c r="B305" t="s">
        <v>707</v>
      </c>
      <c r="D305" t="s">
        <v>118</v>
      </c>
      <c r="H305" t="s">
        <v>729</v>
      </c>
      <c r="I305" t="s">
        <v>730</v>
      </c>
      <c r="J305" t="s">
        <v>118</v>
      </c>
    </row>
    <row r="306" spans="1:10">
      <c r="A306" t="s">
        <v>708</v>
      </c>
      <c r="B306" t="s">
        <v>709</v>
      </c>
      <c r="D306" t="s">
        <v>123</v>
      </c>
      <c r="H306" t="s">
        <v>61</v>
      </c>
      <c r="I306" t="s">
        <v>731</v>
      </c>
      <c r="J306" t="s">
        <v>1100</v>
      </c>
    </row>
    <row r="307" spans="1:10">
      <c r="A307" t="s">
        <v>710</v>
      </c>
      <c r="B307" t="s">
        <v>711</v>
      </c>
      <c r="D307" t="s">
        <v>1474</v>
      </c>
      <c r="H307" t="s">
        <v>732</v>
      </c>
      <c r="I307" t="s">
        <v>733</v>
      </c>
      <c r="J307" t="s">
        <v>1108</v>
      </c>
    </row>
    <row r="308" spans="1:10">
      <c r="A308" t="s">
        <v>712</v>
      </c>
      <c r="B308" t="s">
        <v>713</v>
      </c>
      <c r="D308" t="s">
        <v>1472</v>
      </c>
      <c r="H308" t="s">
        <v>734</v>
      </c>
      <c r="I308" t="s">
        <v>735</v>
      </c>
      <c r="J308" t="s">
        <v>1109</v>
      </c>
    </row>
    <row r="309" spans="1:10">
      <c r="A309" t="s">
        <v>714</v>
      </c>
      <c r="B309" t="s">
        <v>715</v>
      </c>
      <c r="D309" t="s">
        <v>117</v>
      </c>
      <c r="H309" t="s">
        <v>736</v>
      </c>
      <c r="I309" t="s">
        <v>737</v>
      </c>
      <c r="J309" t="s">
        <v>1107</v>
      </c>
    </row>
    <row r="310" spans="1:10">
      <c r="A310" t="s">
        <v>716</v>
      </c>
      <c r="B310" t="s">
        <v>717</v>
      </c>
      <c r="D310" t="s">
        <v>123</v>
      </c>
      <c r="H310" t="s">
        <v>738</v>
      </c>
      <c r="I310" t="s">
        <v>739</v>
      </c>
      <c r="J310" t="s">
        <v>116</v>
      </c>
    </row>
    <row r="311" spans="1:10">
      <c r="A311" t="s">
        <v>718</v>
      </c>
      <c r="B311" t="s">
        <v>719</v>
      </c>
      <c r="D311" t="s">
        <v>258</v>
      </c>
      <c r="H311" t="s">
        <v>62</v>
      </c>
      <c r="I311" t="s">
        <v>740</v>
      </c>
      <c r="J311" t="s">
        <v>116</v>
      </c>
    </row>
    <row r="312" spans="1:10">
      <c r="A312" t="s">
        <v>63</v>
      </c>
      <c r="B312" t="s">
        <v>720</v>
      </c>
      <c r="D312" t="s">
        <v>258</v>
      </c>
      <c r="H312" t="s">
        <v>124</v>
      </c>
      <c r="I312" t="s">
        <v>741</v>
      </c>
      <c r="J312" t="s">
        <v>116</v>
      </c>
    </row>
    <row r="313" spans="1:10">
      <c r="A313" t="s">
        <v>721</v>
      </c>
      <c r="B313" t="s">
        <v>722</v>
      </c>
      <c r="D313" t="s">
        <v>123</v>
      </c>
      <c r="H313" t="s">
        <v>742</v>
      </c>
      <c r="I313" t="s">
        <v>743</v>
      </c>
      <c r="J313" t="s">
        <v>123</v>
      </c>
    </row>
    <row r="314" spans="1:10">
      <c r="A314" t="s">
        <v>723</v>
      </c>
      <c r="B314" t="s">
        <v>724</v>
      </c>
      <c r="D314" t="s">
        <v>1474</v>
      </c>
      <c r="H314" t="s">
        <v>744</v>
      </c>
      <c r="I314" t="s">
        <v>745</v>
      </c>
      <c r="J314" t="s">
        <v>116</v>
      </c>
    </row>
    <row r="315" spans="1:10">
      <c r="A315" t="s">
        <v>725</v>
      </c>
      <c r="B315" t="s">
        <v>726</v>
      </c>
      <c r="D315" t="s">
        <v>123</v>
      </c>
      <c r="H315" t="s">
        <v>746</v>
      </c>
      <c r="I315" t="s">
        <v>747</v>
      </c>
      <c r="J315" t="s">
        <v>1107</v>
      </c>
    </row>
    <row r="316" spans="1:10">
      <c r="A316" t="s">
        <v>727</v>
      </c>
      <c r="B316" t="s">
        <v>728</v>
      </c>
      <c r="D316" t="s">
        <v>117</v>
      </c>
      <c r="H316" t="s">
        <v>748</v>
      </c>
      <c r="I316" t="s">
        <v>749</v>
      </c>
      <c r="J316" t="s">
        <v>1100</v>
      </c>
    </row>
    <row r="317" spans="1:10">
      <c r="A317" t="s">
        <v>729</v>
      </c>
      <c r="B317" t="s">
        <v>730</v>
      </c>
      <c r="D317" t="s">
        <v>118</v>
      </c>
      <c r="H317" t="s">
        <v>160</v>
      </c>
      <c r="I317" t="s">
        <v>750</v>
      </c>
      <c r="J317" t="s">
        <v>1100</v>
      </c>
    </row>
    <row r="318" spans="1:10">
      <c r="A318" t="s">
        <v>61</v>
      </c>
      <c r="B318" t="s">
        <v>731</v>
      </c>
      <c r="D318" t="s">
        <v>1471</v>
      </c>
      <c r="H318" t="s">
        <v>64</v>
      </c>
      <c r="I318" t="s">
        <v>751</v>
      </c>
      <c r="J318" t="s">
        <v>1100</v>
      </c>
    </row>
    <row r="319" spans="1:10">
      <c r="A319" t="s">
        <v>732</v>
      </c>
      <c r="B319" t="s">
        <v>733</v>
      </c>
      <c r="D319" t="s">
        <v>1472</v>
      </c>
      <c r="H319" t="s">
        <v>752</v>
      </c>
      <c r="I319" t="s">
        <v>753</v>
      </c>
      <c r="J319" t="s">
        <v>236</v>
      </c>
    </row>
    <row r="320" spans="1:10">
      <c r="A320" t="s">
        <v>734</v>
      </c>
      <c r="B320" t="s">
        <v>735</v>
      </c>
      <c r="D320" t="s">
        <v>1473</v>
      </c>
      <c r="H320" t="s">
        <v>754</v>
      </c>
      <c r="I320" t="s">
        <v>755</v>
      </c>
      <c r="J320" t="s">
        <v>116</v>
      </c>
    </row>
    <row r="321" spans="1:10">
      <c r="A321" t="s">
        <v>736</v>
      </c>
      <c r="B321" t="s">
        <v>737</v>
      </c>
      <c r="D321" t="s">
        <v>1474</v>
      </c>
      <c r="H321" t="s">
        <v>756</v>
      </c>
      <c r="I321" t="s">
        <v>757</v>
      </c>
      <c r="J321" t="s">
        <v>1107</v>
      </c>
    </row>
    <row r="322" spans="1:10">
      <c r="A322" t="s">
        <v>738</v>
      </c>
      <c r="B322" t="s">
        <v>739</v>
      </c>
      <c r="D322" t="s">
        <v>116</v>
      </c>
      <c r="H322" t="s">
        <v>758</v>
      </c>
      <c r="I322" t="s">
        <v>759</v>
      </c>
      <c r="J322" t="s">
        <v>1109</v>
      </c>
    </row>
    <row r="323" spans="1:10">
      <c r="A323" t="s">
        <v>62</v>
      </c>
      <c r="B323" t="s">
        <v>740</v>
      </c>
      <c r="D323" t="s">
        <v>116</v>
      </c>
      <c r="H323" t="s">
        <v>760</v>
      </c>
      <c r="I323" t="s">
        <v>761</v>
      </c>
      <c r="J323" t="s">
        <v>1109</v>
      </c>
    </row>
    <row r="324" spans="1:10">
      <c r="A324" t="s">
        <v>124</v>
      </c>
      <c r="B324" t="s">
        <v>741</v>
      </c>
      <c r="D324" t="s">
        <v>116</v>
      </c>
      <c r="H324" t="s">
        <v>762</v>
      </c>
      <c r="I324" t="s">
        <v>763</v>
      </c>
      <c r="J324" t="s">
        <v>1100</v>
      </c>
    </row>
    <row r="325" spans="1:10">
      <c r="A325" t="s">
        <v>742</v>
      </c>
      <c r="B325" t="s">
        <v>743</v>
      </c>
      <c r="D325" t="s">
        <v>123</v>
      </c>
      <c r="H325" t="s">
        <v>764</v>
      </c>
      <c r="I325" t="s">
        <v>765</v>
      </c>
      <c r="J325" t="s">
        <v>1109</v>
      </c>
    </row>
    <row r="326" spans="1:10">
      <c r="A326" t="s">
        <v>744</v>
      </c>
      <c r="B326" t="s">
        <v>745</v>
      </c>
      <c r="D326" t="s">
        <v>116</v>
      </c>
      <c r="H326" t="s">
        <v>766</v>
      </c>
      <c r="I326" t="s">
        <v>767</v>
      </c>
      <c r="J326" t="s">
        <v>123</v>
      </c>
    </row>
    <row r="327" spans="1:10">
      <c r="A327" t="s">
        <v>746</v>
      </c>
      <c r="B327" t="s">
        <v>747</v>
      </c>
      <c r="D327" t="s">
        <v>1474</v>
      </c>
      <c r="H327" t="s">
        <v>768</v>
      </c>
      <c r="I327" t="s">
        <v>769</v>
      </c>
      <c r="J327" t="s">
        <v>123</v>
      </c>
    </row>
    <row r="328" spans="1:10">
      <c r="A328" t="s">
        <v>748</v>
      </c>
      <c r="B328" t="s">
        <v>749</v>
      </c>
      <c r="D328" t="s">
        <v>1471</v>
      </c>
      <c r="H328" t="s">
        <v>770</v>
      </c>
      <c r="I328" t="s">
        <v>771</v>
      </c>
      <c r="J328" t="s">
        <v>1100</v>
      </c>
    </row>
    <row r="329" spans="1:10">
      <c r="A329" t="s">
        <v>160</v>
      </c>
      <c r="B329" t="s">
        <v>750</v>
      </c>
      <c r="D329" t="s">
        <v>1471</v>
      </c>
      <c r="H329" t="s">
        <v>772</v>
      </c>
      <c r="I329" t="s">
        <v>772</v>
      </c>
      <c r="J329" t="s">
        <v>123</v>
      </c>
    </row>
    <row r="330" spans="1:10">
      <c r="A330" t="s">
        <v>64</v>
      </c>
      <c r="B330" t="s">
        <v>751</v>
      </c>
      <c r="D330" t="s">
        <v>1471</v>
      </c>
      <c r="H330" t="s">
        <v>65</v>
      </c>
      <c r="I330" t="s">
        <v>773</v>
      </c>
      <c r="J330" t="s">
        <v>123</v>
      </c>
    </row>
    <row r="331" spans="1:10">
      <c r="A331" t="s">
        <v>752</v>
      </c>
      <c r="B331" t="s">
        <v>753</v>
      </c>
      <c r="D331" t="s">
        <v>236</v>
      </c>
      <c r="H331" t="s">
        <v>774</v>
      </c>
      <c r="I331" t="s">
        <v>775</v>
      </c>
      <c r="J331" t="s">
        <v>1100</v>
      </c>
    </row>
    <row r="332" spans="1:10">
      <c r="A332" t="s">
        <v>754</v>
      </c>
      <c r="B332" t="s">
        <v>755</v>
      </c>
      <c r="D332" t="s">
        <v>116</v>
      </c>
      <c r="H332" t="s">
        <v>66</v>
      </c>
      <c r="I332" t="s">
        <v>776</v>
      </c>
      <c r="J332" t="s">
        <v>1108</v>
      </c>
    </row>
    <row r="333" spans="1:10">
      <c r="A333" t="s">
        <v>756</v>
      </c>
      <c r="B333" t="s">
        <v>757</v>
      </c>
      <c r="D333" t="s">
        <v>1474</v>
      </c>
      <c r="H333" t="s">
        <v>777</v>
      </c>
      <c r="I333" t="s">
        <v>778</v>
      </c>
      <c r="J333" t="s">
        <v>1107</v>
      </c>
    </row>
    <row r="334" spans="1:10">
      <c r="A334" t="s">
        <v>758</v>
      </c>
      <c r="B334" t="s">
        <v>759</v>
      </c>
      <c r="D334" t="s">
        <v>1473</v>
      </c>
      <c r="H334" t="s">
        <v>779</v>
      </c>
      <c r="I334" t="s">
        <v>780</v>
      </c>
      <c r="J334" t="s">
        <v>117</v>
      </c>
    </row>
    <row r="335" spans="1:10">
      <c r="A335" t="s">
        <v>760</v>
      </c>
      <c r="B335" t="s">
        <v>761</v>
      </c>
      <c r="D335" t="s">
        <v>1473</v>
      </c>
      <c r="H335" t="s">
        <v>781</v>
      </c>
      <c r="I335" t="s">
        <v>782</v>
      </c>
      <c r="J335" t="s">
        <v>1108</v>
      </c>
    </row>
    <row r="336" spans="1:10">
      <c r="A336" t="s">
        <v>762</v>
      </c>
      <c r="B336" t="s">
        <v>763</v>
      </c>
      <c r="D336" t="s">
        <v>1471</v>
      </c>
      <c r="H336" t="s">
        <v>783</v>
      </c>
      <c r="I336" t="s">
        <v>784</v>
      </c>
      <c r="J336" t="s">
        <v>1108</v>
      </c>
    </row>
    <row r="337" spans="1:10">
      <c r="A337" t="s">
        <v>764</v>
      </c>
      <c r="B337" t="s">
        <v>765</v>
      </c>
      <c r="D337" t="s">
        <v>1473</v>
      </c>
      <c r="H337" t="s">
        <v>785</v>
      </c>
      <c r="I337" t="s">
        <v>786</v>
      </c>
      <c r="J337" t="s">
        <v>235</v>
      </c>
    </row>
    <row r="338" spans="1:10">
      <c r="A338" t="s">
        <v>766</v>
      </c>
      <c r="B338" t="s">
        <v>767</v>
      </c>
      <c r="D338" t="s">
        <v>123</v>
      </c>
      <c r="H338" t="s">
        <v>787</v>
      </c>
      <c r="I338" t="s">
        <v>788</v>
      </c>
      <c r="J338" t="s">
        <v>118</v>
      </c>
    </row>
    <row r="339" spans="1:10">
      <c r="A339" t="s">
        <v>768</v>
      </c>
      <c r="B339" t="s">
        <v>769</v>
      </c>
      <c r="D339" t="s">
        <v>123</v>
      </c>
      <c r="H339" t="s">
        <v>68</v>
      </c>
      <c r="I339" t="s">
        <v>789</v>
      </c>
      <c r="J339" t="s">
        <v>1107</v>
      </c>
    </row>
    <row r="340" spans="1:10">
      <c r="A340" t="s">
        <v>770</v>
      </c>
      <c r="B340" t="s">
        <v>771</v>
      </c>
      <c r="D340" t="s">
        <v>1471</v>
      </c>
      <c r="H340" t="s">
        <v>67</v>
      </c>
      <c r="I340" t="s">
        <v>790</v>
      </c>
      <c r="J340" t="s">
        <v>235</v>
      </c>
    </row>
    <row r="341" spans="1:10">
      <c r="A341" t="s">
        <v>772</v>
      </c>
      <c r="B341" t="s">
        <v>772</v>
      </c>
      <c r="D341" t="s">
        <v>123</v>
      </c>
      <c r="H341" t="s">
        <v>791</v>
      </c>
      <c r="I341" t="s">
        <v>792</v>
      </c>
      <c r="J341" t="s">
        <v>118</v>
      </c>
    </row>
    <row r="342" spans="1:10">
      <c r="A342" t="s">
        <v>65</v>
      </c>
      <c r="B342" t="s">
        <v>773</v>
      </c>
      <c r="D342" t="s">
        <v>123</v>
      </c>
      <c r="H342" t="s">
        <v>793</v>
      </c>
      <c r="I342" t="s">
        <v>794</v>
      </c>
      <c r="J342" t="s">
        <v>123</v>
      </c>
    </row>
    <row r="343" spans="1:10">
      <c r="A343" t="s">
        <v>774</v>
      </c>
      <c r="B343" t="s">
        <v>775</v>
      </c>
      <c r="D343" t="s">
        <v>1471</v>
      </c>
      <c r="H343" t="s">
        <v>795</v>
      </c>
      <c r="I343" t="s">
        <v>796</v>
      </c>
      <c r="J343" t="s">
        <v>118</v>
      </c>
    </row>
    <row r="344" spans="1:10">
      <c r="A344" t="s">
        <v>66</v>
      </c>
      <c r="B344" t="s">
        <v>776</v>
      </c>
      <c r="D344" t="s">
        <v>1472</v>
      </c>
      <c r="H344" t="s">
        <v>797</v>
      </c>
      <c r="I344" t="s">
        <v>798</v>
      </c>
      <c r="J344" t="s">
        <v>1100</v>
      </c>
    </row>
    <row r="345" spans="1:10">
      <c r="A345" t="s">
        <v>777</v>
      </c>
      <c r="B345" t="s">
        <v>778</v>
      </c>
      <c r="D345" t="s">
        <v>1474</v>
      </c>
      <c r="H345" t="s">
        <v>799</v>
      </c>
      <c r="I345" t="s">
        <v>800</v>
      </c>
      <c r="J345" t="s">
        <v>1107</v>
      </c>
    </row>
    <row r="346" spans="1:10">
      <c r="A346" t="s">
        <v>779</v>
      </c>
      <c r="B346" t="s">
        <v>780</v>
      </c>
      <c r="D346" t="s">
        <v>117</v>
      </c>
      <c r="H346" t="s">
        <v>801</v>
      </c>
      <c r="I346" t="s">
        <v>802</v>
      </c>
      <c r="J346" t="s">
        <v>235</v>
      </c>
    </row>
    <row r="347" spans="1:10">
      <c r="A347" t="s">
        <v>781</v>
      </c>
      <c r="B347" t="s">
        <v>782</v>
      </c>
      <c r="D347" t="s">
        <v>1472</v>
      </c>
      <c r="H347" t="s">
        <v>803</v>
      </c>
      <c r="I347" t="s">
        <v>804</v>
      </c>
      <c r="J347" t="s">
        <v>117</v>
      </c>
    </row>
    <row r="348" spans="1:10">
      <c r="A348" t="s">
        <v>783</v>
      </c>
      <c r="B348" t="s">
        <v>784</v>
      </c>
      <c r="D348" t="s">
        <v>1472</v>
      </c>
      <c r="H348" t="s">
        <v>69</v>
      </c>
      <c r="I348" t="s">
        <v>805</v>
      </c>
      <c r="J348" t="s">
        <v>1100</v>
      </c>
    </row>
    <row r="349" spans="1:10">
      <c r="A349" t="s">
        <v>785</v>
      </c>
      <c r="B349" t="s">
        <v>786</v>
      </c>
      <c r="D349" t="s">
        <v>235</v>
      </c>
      <c r="H349" t="s">
        <v>806</v>
      </c>
      <c r="I349" t="s">
        <v>806</v>
      </c>
      <c r="J349" t="s">
        <v>1107</v>
      </c>
    </row>
    <row r="350" spans="1:10">
      <c r="A350" t="s">
        <v>787</v>
      </c>
      <c r="B350" t="s">
        <v>788</v>
      </c>
      <c r="D350" t="s">
        <v>118</v>
      </c>
      <c r="H350" t="s">
        <v>807</v>
      </c>
      <c r="I350" t="s">
        <v>808</v>
      </c>
      <c r="J350" t="s">
        <v>1100</v>
      </c>
    </row>
    <row r="351" spans="1:10">
      <c r="A351" t="s">
        <v>68</v>
      </c>
      <c r="B351" t="s">
        <v>789</v>
      </c>
      <c r="D351" t="s">
        <v>1474</v>
      </c>
      <c r="H351" t="s">
        <v>121</v>
      </c>
      <c r="I351" t="s">
        <v>809</v>
      </c>
      <c r="J351" t="s">
        <v>1107</v>
      </c>
    </row>
    <row r="352" spans="1:10">
      <c r="A352" t="s">
        <v>67</v>
      </c>
      <c r="B352" t="s">
        <v>790</v>
      </c>
      <c r="D352" t="s">
        <v>235</v>
      </c>
      <c r="H352" t="s">
        <v>810</v>
      </c>
      <c r="I352" t="s">
        <v>811</v>
      </c>
      <c r="J352" t="s">
        <v>258</v>
      </c>
    </row>
    <row r="353" spans="1:10">
      <c r="A353" t="s">
        <v>791</v>
      </c>
      <c r="B353" t="s">
        <v>792</v>
      </c>
      <c r="D353" t="s">
        <v>118</v>
      </c>
      <c r="H353" t="s">
        <v>812</v>
      </c>
      <c r="I353" t="s">
        <v>813</v>
      </c>
      <c r="J353" t="s">
        <v>118</v>
      </c>
    </row>
    <row r="354" spans="1:10">
      <c r="A354" t="s">
        <v>793</v>
      </c>
      <c r="B354" t="s">
        <v>794</v>
      </c>
      <c r="D354" t="s">
        <v>123</v>
      </c>
      <c r="H354" t="s">
        <v>814</v>
      </c>
      <c r="I354" t="s">
        <v>815</v>
      </c>
      <c r="J354" t="s">
        <v>1108</v>
      </c>
    </row>
    <row r="355" spans="1:10">
      <c r="A355" t="s">
        <v>795</v>
      </c>
      <c r="B355" t="s">
        <v>796</v>
      </c>
      <c r="D355" t="s">
        <v>118</v>
      </c>
      <c r="H355" t="s">
        <v>816</v>
      </c>
      <c r="I355" t="s">
        <v>817</v>
      </c>
      <c r="J355" t="s">
        <v>258</v>
      </c>
    </row>
    <row r="356" spans="1:10">
      <c r="A356" t="s">
        <v>797</v>
      </c>
      <c r="B356" t="s">
        <v>798</v>
      </c>
      <c r="D356" t="s">
        <v>1471</v>
      </c>
      <c r="H356" t="s">
        <v>70</v>
      </c>
      <c r="I356" t="s">
        <v>818</v>
      </c>
      <c r="J356" t="s">
        <v>1100</v>
      </c>
    </row>
    <row r="357" spans="1:10">
      <c r="A357" t="s">
        <v>799</v>
      </c>
      <c r="B357" t="s">
        <v>800</v>
      </c>
      <c r="D357" t="s">
        <v>1474</v>
      </c>
      <c r="H357" t="s">
        <v>819</v>
      </c>
      <c r="I357" t="s">
        <v>820</v>
      </c>
      <c r="J357" t="s">
        <v>116</v>
      </c>
    </row>
    <row r="358" spans="1:10">
      <c r="A358" t="s">
        <v>801</v>
      </c>
      <c r="B358" t="s">
        <v>802</v>
      </c>
      <c r="D358" t="s">
        <v>235</v>
      </c>
      <c r="H358" t="s">
        <v>821</v>
      </c>
      <c r="I358" t="s">
        <v>822</v>
      </c>
      <c r="J358" t="s">
        <v>118</v>
      </c>
    </row>
    <row r="359" spans="1:10">
      <c r="A359" t="s">
        <v>803</v>
      </c>
      <c r="B359" t="s">
        <v>804</v>
      </c>
      <c r="D359" t="s">
        <v>117</v>
      </c>
      <c r="H359" t="s">
        <v>823</v>
      </c>
      <c r="I359" t="s">
        <v>824</v>
      </c>
      <c r="J359" t="s">
        <v>118</v>
      </c>
    </row>
    <row r="360" spans="1:10">
      <c r="A360" t="s">
        <v>69</v>
      </c>
      <c r="B360" t="s">
        <v>805</v>
      </c>
      <c r="D360" t="s">
        <v>1471</v>
      </c>
      <c r="H360" t="s">
        <v>825</v>
      </c>
      <c r="I360" t="s">
        <v>826</v>
      </c>
      <c r="J360" t="s">
        <v>117</v>
      </c>
    </row>
    <row r="361" spans="1:10">
      <c r="A361" t="s">
        <v>806</v>
      </c>
      <c r="B361" t="s">
        <v>806</v>
      </c>
      <c r="D361" t="s">
        <v>1474</v>
      </c>
      <c r="H361" t="s">
        <v>74</v>
      </c>
      <c r="I361" t="s">
        <v>827</v>
      </c>
      <c r="J361" t="s">
        <v>118</v>
      </c>
    </row>
    <row r="362" spans="1:10">
      <c r="A362" t="s">
        <v>807</v>
      </c>
      <c r="B362" t="s">
        <v>808</v>
      </c>
      <c r="D362" t="s">
        <v>1471</v>
      </c>
      <c r="H362" t="s">
        <v>828</v>
      </c>
      <c r="I362" t="s">
        <v>829</v>
      </c>
      <c r="J362" t="s">
        <v>1100</v>
      </c>
    </row>
    <row r="363" spans="1:10">
      <c r="A363" t="s">
        <v>121</v>
      </c>
      <c r="B363" t="s">
        <v>809</v>
      </c>
      <c r="D363" t="s">
        <v>1474</v>
      </c>
      <c r="H363" t="s">
        <v>830</v>
      </c>
      <c r="I363" t="s">
        <v>831</v>
      </c>
      <c r="J363" t="s">
        <v>1100</v>
      </c>
    </row>
    <row r="364" spans="1:10">
      <c r="A364" t="s">
        <v>810</v>
      </c>
      <c r="B364" t="s">
        <v>811</v>
      </c>
      <c r="D364" t="s">
        <v>258</v>
      </c>
      <c r="H364" t="s">
        <v>75</v>
      </c>
      <c r="I364" t="s">
        <v>832</v>
      </c>
      <c r="J364" t="s">
        <v>1100</v>
      </c>
    </row>
    <row r="365" spans="1:10">
      <c r="A365" t="s">
        <v>812</v>
      </c>
      <c r="B365" t="s">
        <v>813</v>
      </c>
      <c r="D365" t="s">
        <v>118</v>
      </c>
      <c r="H365" t="s">
        <v>833</v>
      </c>
      <c r="I365" t="s">
        <v>834</v>
      </c>
      <c r="J365" t="s">
        <v>1107</v>
      </c>
    </row>
    <row r="366" spans="1:10">
      <c r="A366" t="s">
        <v>814</v>
      </c>
      <c r="B366" t="s">
        <v>815</v>
      </c>
      <c r="D366" t="s">
        <v>1472</v>
      </c>
      <c r="H366" t="s">
        <v>835</v>
      </c>
      <c r="I366" t="s">
        <v>836</v>
      </c>
      <c r="J366" t="s">
        <v>118</v>
      </c>
    </row>
    <row r="367" spans="1:10">
      <c r="A367" t="s">
        <v>816</v>
      </c>
      <c r="B367" t="s">
        <v>817</v>
      </c>
      <c r="D367" t="s">
        <v>258</v>
      </c>
      <c r="H367" t="s">
        <v>837</v>
      </c>
      <c r="I367" t="s">
        <v>838</v>
      </c>
      <c r="J367" t="s">
        <v>123</v>
      </c>
    </row>
    <row r="368" spans="1:10">
      <c r="A368" t="s">
        <v>70</v>
      </c>
      <c r="B368" t="s">
        <v>818</v>
      </c>
      <c r="D368" t="s">
        <v>1471</v>
      </c>
      <c r="H368" t="s">
        <v>839</v>
      </c>
      <c r="I368" t="s">
        <v>840</v>
      </c>
      <c r="J368" t="s">
        <v>1109</v>
      </c>
    </row>
    <row r="369" spans="1:10">
      <c r="A369" t="s">
        <v>819</v>
      </c>
      <c r="B369" t="s">
        <v>820</v>
      </c>
      <c r="D369" t="s">
        <v>116</v>
      </c>
      <c r="H369" t="s">
        <v>841</v>
      </c>
      <c r="I369" t="s">
        <v>842</v>
      </c>
      <c r="J369" t="s">
        <v>116</v>
      </c>
    </row>
    <row r="370" spans="1:10">
      <c r="A370" t="s">
        <v>821</v>
      </c>
      <c r="B370" t="s">
        <v>822</v>
      </c>
      <c r="D370" t="s">
        <v>118</v>
      </c>
      <c r="H370" t="s">
        <v>843</v>
      </c>
      <c r="I370" t="s">
        <v>844</v>
      </c>
      <c r="J370" t="s">
        <v>116</v>
      </c>
    </row>
    <row r="371" spans="1:10">
      <c r="A371" t="s">
        <v>823</v>
      </c>
      <c r="B371" t="s">
        <v>824</v>
      </c>
      <c r="D371" t="s">
        <v>118</v>
      </c>
      <c r="H371" t="s">
        <v>845</v>
      </c>
      <c r="I371" t="s">
        <v>846</v>
      </c>
      <c r="J371" t="s">
        <v>1109</v>
      </c>
    </row>
    <row r="372" spans="1:10">
      <c r="A372" t="s">
        <v>825</v>
      </c>
      <c r="B372" t="s">
        <v>826</v>
      </c>
      <c r="D372" t="s">
        <v>117</v>
      </c>
      <c r="H372" t="s">
        <v>847</v>
      </c>
      <c r="I372" t="s">
        <v>848</v>
      </c>
      <c r="J372" t="s">
        <v>258</v>
      </c>
    </row>
    <row r="373" spans="1:10">
      <c r="A373" t="s">
        <v>74</v>
      </c>
      <c r="B373" t="s">
        <v>827</v>
      </c>
      <c r="D373" t="s">
        <v>118</v>
      </c>
      <c r="H373" t="s">
        <v>849</v>
      </c>
      <c r="I373" t="s">
        <v>850</v>
      </c>
      <c r="J373" t="s">
        <v>235</v>
      </c>
    </row>
    <row r="374" spans="1:10">
      <c r="A374" t="s">
        <v>828</v>
      </c>
      <c r="B374" t="s">
        <v>829</v>
      </c>
      <c r="D374" t="s">
        <v>1471</v>
      </c>
      <c r="H374" t="s">
        <v>851</v>
      </c>
      <c r="I374" t="s">
        <v>852</v>
      </c>
      <c r="J374" t="s">
        <v>258</v>
      </c>
    </row>
    <row r="375" spans="1:10">
      <c r="A375" t="s">
        <v>830</v>
      </c>
      <c r="B375" t="s">
        <v>831</v>
      </c>
      <c r="D375" t="s">
        <v>1471</v>
      </c>
      <c r="H375" t="s">
        <v>853</v>
      </c>
      <c r="I375" t="s">
        <v>854</v>
      </c>
      <c r="J375" t="s">
        <v>123</v>
      </c>
    </row>
    <row r="376" spans="1:10">
      <c r="A376" t="s">
        <v>75</v>
      </c>
      <c r="B376" t="s">
        <v>832</v>
      </c>
      <c r="D376" t="s">
        <v>1471</v>
      </c>
      <c r="H376" t="s">
        <v>855</v>
      </c>
      <c r="I376" t="s">
        <v>856</v>
      </c>
      <c r="J376" t="s">
        <v>1107</v>
      </c>
    </row>
    <row r="377" spans="1:10">
      <c r="A377" t="s">
        <v>833</v>
      </c>
      <c r="B377" t="s">
        <v>834</v>
      </c>
      <c r="D377" t="s">
        <v>1474</v>
      </c>
      <c r="H377" t="s">
        <v>857</v>
      </c>
      <c r="I377" t="s">
        <v>858</v>
      </c>
      <c r="J377" t="s">
        <v>117</v>
      </c>
    </row>
    <row r="378" spans="1:10">
      <c r="A378" t="s">
        <v>835</v>
      </c>
      <c r="B378" t="s">
        <v>836</v>
      </c>
      <c r="D378" t="s">
        <v>118</v>
      </c>
      <c r="H378" t="s">
        <v>859</v>
      </c>
      <c r="I378" t="s">
        <v>859</v>
      </c>
      <c r="J378" t="s">
        <v>235</v>
      </c>
    </row>
    <row r="379" spans="1:10">
      <c r="A379" t="s">
        <v>837</v>
      </c>
      <c r="B379" t="s">
        <v>838</v>
      </c>
      <c r="D379" t="s">
        <v>123</v>
      </c>
      <c r="H379" t="s">
        <v>860</v>
      </c>
      <c r="I379" t="s">
        <v>861</v>
      </c>
      <c r="J379" t="s">
        <v>123</v>
      </c>
    </row>
    <row r="380" spans="1:10">
      <c r="A380" t="s">
        <v>839</v>
      </c>
      <c r="B380" t="s">
        <v>840</v>
      </c>
      <c r="D380" t="s">
        <v>1473</v>
      </c>
      <c r="H380" t="s">
        <v>122</v>
      </c>
      <c r="I380" t="s">
        <v>862</v>
      </c>
      <c r="J380" t="s">
        <v>1109</v>
      </c>
    </row>
    <row r="381" spans="1:10">
      <c r="A381" t="s">
        <v>841</v>
      </c>
      <c r="B381" t="s">
        <v>842</v>
      </c>
      <c r="D381" t="s">
        <v>116</v>
      </c>
      <c r="H381" t="s">
        <v>863</v>
      </c>
      <c r="I381" t="s">
        <v>864</v>
      </c>
      <c r="J381" t="s">
        <v>123</v>
      </c>
    </row>
    <row r="382" spans="1:10">
      <c r="A382" t="s">
        <v>843</v>
      </c>
      <c r="B382" t="s">
        <v>844</v>
      </c>
      <c r="D382" t="s">
        <v>116</v>
      </c>
      <c r="H382" t="s">
        <v>865</v>
      </c>
      <c r="I382" t="s">
        <v>866</v>
      </c>
      <c r="J382" t="s">
        <v>236</v>
      </c>
    </row>
    <row r="383" spans="1:10">
      <c r="A383" t="s">
        <v>845</v>
      </c>
      <c r="B383" t="s">
        <v>846</v>
      </c>
      <c r="D383" t="s">
        <v>1473</v>
      </c>
      <c r="H383" t="s">
        <v>867</v>
      </c>
      <c r="I383" t="s">
        <v>868</v>
      </c>
      <c r="J383" t="s">
        <v>123</v>
      </c>
    </row>
    <row r="384" spans="1:10">
      <c r="A384" t="s">
        <v>847</v>
      </c>
      <c r="B384" t="s">
        <v>848</v>
      </c>
      <c r="D384" t="s">
        <v>258</v>
      </c>
      <c r="H384" t="s">
        <v>869</v>
      </c>
      <c r="I384" t="s">
        <v>869</v>
      </c>
      <c r="J384" t="s">
        <v>1100</v>
      </c>
    </row>
    <row r="385" spans="1:10">
      <c r="A385" t="s">
        <v>849</v>
      </c>
      <c r="B385" t="s">
        <v>850</v>
      </c>
      <c r="D385" t="s">
        <v>235</v>
      </c>
      <c r="H385" t="s">
        <v>870</v>
      </c>
      <c r="I385" t="s">
        <v>871</v>
      </c>
      <c r="J385" t="s">
        <v>235</v>
      </c>
    </row>
    <row r="386" spans="1:10">
      <c r="A386" t="s">
        <v>851</v>
      </c>
      <c r="B386" t="s">
        <v>852</v>
      </c>
      <c r="D386" t="s">
        <v>258</v>
      </c>
      <c r="H386" t="s">
        <v>167</v>
      </c>
      <c r="I386" t="s">
        <v>872</v>
      </c>
      <c r="J386" t="s">
        <v>236</v>
      </c>
    </row>
    <row r="387" spans="1:10">
      <c r="A387" t="s">
        <v>853</v>
      </c>
      <c r="B387" t="s">
        <v>854</v>
      </c>
      <c r="D387" t="s">
        <v>123</v>
      </c>
      <c r="H387" t="s">
        <v>873</v>
      </c>
      <c r="I387" t="s">
        <v>874</v>
      </c>
      <c r="J387" t="s">
        <v>1107</v>
      </c>
    </row>
    <row r="388" spans="1:10">
      <c r="A388" t="s">
        <v>855</v>
      </c>
      <c r="B388" t="s">
        <v>856</v>
      </c>
      <c r="D388" t="s">
        <v>1474</v>
      </c>
      <c r="H388" t="s">
        <v>875</v>
      </c>
      <c r="I388" t="s">
        <v>875</v>
      </c>
      <c r="J388" t="s">
        <v>1107</v>
      </c>
    </row>
    <row r="389" spans="1:10">
      <c r="A389" t="s">
        <v>857</v>
      </c>
      <c r="B389" t="s">
        <v>858</v>
      </c>
      <c r="D389" t="s">
        <v>117</v>
      </c>
      <c r="H389" t="s">
        <v>876</v>
      </c>
      <c r="I389" t="s">
        <v>877</v>
      </c>
      <c r="J389" t="s">
        <v>1100</v>
      </c>
    </row>
    <row r="390" spans="1:10">
      <c r="A390" t="s">
        <v>859</v>
      </c>
      <c r="B390" t="s">
        <v>859</v>
      </c>
      <c r="D390" t="s">
        <v>235</v>
      </c>
      <c r="H390" t="s">
        <v>76</v>
      </c>
      <c r="I390" t="s">
        <v>878</v>
      </c>
      <c r="J390" t="s">
        <v>1100</v>
      </c>
    </row>
    <row r="391" spans="1:10">
      <c r="A391" t="s">
        <v>860</v>
      </c>
      <c r="B391" t="s">
        <v>861</v>
      </c>
      <c r="D391" t="s">
        <v>123</v>
      </c>
      <c r="H391" t="s">
        <v>879</v>
      </c>
      <c r="I391" t="s">
        <v>880</v>
      </c>
      <c r="J391" t="s">
        <v>118</v>
      </c>
    </row>
    <row r="392" spans="1:10">
      <c r="A392" t="s">
        <v>122</v>
      </c>
      <c r="B392" t="s">
        <v>862</v>
      </c>
      <c r="D392" t="s">
        <v>1473</v>
      </c>
      <c r="H392" t="s">
        <v>881</v>
      </c>
      <c r="I392" t="s">
        <v>882</v>
      </c>
      <c r="J392" t="s">
        <v>116</v>
      </c>
    </row>
    <row r="393" spans="1:10">
      <c r="A393" t="s">
        <v>863</v>
      </c>
      <c r="B393" t="s">
        <v>864</v>
      </c>
      <c r="D393" t="s">
        <v>123</v>
      </c>
      <c r="H393" t="s">
        <v>883</v>
      </c>
      <c r="I393" t="s">
        <v>884</v>
      </c>
      <c r="J393" t="s">
        <v>1107</v>
      </c>
    </row>
    <row r="394" spans="1:10">
      <c r="A394" t="s">
        <v>865</v>
      </c>
      <c r="B394" t="s">
        <v>866</v>
      </c>
      <c r="D394" t="s">
        <v>236</v>
      </c>
      <c r="H394" t="s">
        <v>885</v>
      </c>
      <c r="I394" t="s">
        <v>886</v>
      </c>
      <c r="J394" t="s">
        <v>123</v>
      </c>
    </row>
    <row r="395" spans="1:10">
      <c r="A395" t="s">
        <v>867</v>
      </c>
      <c r="B395" t="s">
        <v>868</v>
      </c>
      <c r="D395" t="s">
        <v>123</v>
      </c>
      <c r="H395" t="s">
        <v>77</v>
      </c>
      <c r="I395" t="s">
        <v>887</v>
      </c>
      <c r="J395" t="s">
        <v>118</v>
      </c>
    </row>
    <row r="396" spans="1:10">
      <c r="A396" t="s">
        <v>869</v>
      </c>
      <c r="B396" t="s">
        <v>869</v>
      </c>
      <c r="D396" t="s">
        <v>1471</v>
      </c>
      <c r="H396" t="s">
        <v>888</v>
      </c>
      <c r="I396" t="s">
        <v>889</v>
      </c>
      <c r="J396" t="s">
        <v>236</v>
      </c>
    </row>
    <row r="397" spans="1:10">
      <c r="A397" t="s">
        <v>870</v>
      </c>
      <c r="B397" t="s">
        <v>871</v>
      </c>
      <c r="D397" t="s">
        <v>235</v>
      </c>
      <c r="H397" t="s">
        <v>890</v>
      </c>
      <c r="I397" t="s">
        <v>891</v>
      </c>
      <c r="J397" t="s">
        <v>236</v>
      </c>
    </row>
    <row r="398" spans="1:10">
      <c r="A398" t="s">
        <v>167</v>
      </c>
      <c r="B398" t="s">
        <v>872</v>
      </c>
      <c r="D398" t="s">
        <v>236</v>
      </c>
      <c r="H398" t="s">
        <v>892</v>
      </c>
      <c r="I398" t="s">
        <v>893</v>
      </c>
      <c r="J398" t="s">
        <v>116</v>
      </c>
    </row>
    <row r="399" spans="1:10">
      <c r="A399" t="s">
        <v>873</v>
      </c>
      <c r="B399" t="s">
        <v>874</v>
      </c>
      <c r="D399" t="s">
        <v>1474</v>
      </c>
      <c r="H399" t="s">
        <v>894</v>
      </c>
      <c r="I399" t="s">
        <v>895</v>
      </c>
      <c r="J399" t="s">
        <v>123</v>
      </c>
    </row>
    <row r="400" spans="1:10">
      <c r="A400" t="s">
        <v>875</v>
      </c>
      <c r="B400" t="s">
        <v>875</v>
      </c>
      <c r="D400" t="s">
        <v>1474</v>
      </c>
      <c r="H400" t="s">
        <v>896</v>
      </c>
      <c r="I400" t="s">
        <v>897</v>
      </c>
      <c r="J400" t="s">
        <v>118</v>
      </c>
    </row>
    <row r="401" spans="1:10">
      <c r="A401" t="s">
        <v>876</v>
      </c>
      <c r="B401" t="s">
        <v>877</v>
      </c>
      <c r="D401" t="s">
        <v>1471</v>
      </c>
      <c r="H401" t="s">
        <v>898</v>
      </c>
      <c r="I401" t="s">
        <v>899</v>
      </c>
      <c r="J401" t="s">
        <v>116</v>
      </c>
    </row>
    <row r="402" spans="1:10">
      <c r="A402" t="s">
        <v>76</v>
      </c>
      <c r="B402" t="s">
        <v>878</v>
      </c>
      <c r="D402" t="s">
        <v>1471</v>
      </c>
      <c r="H402" t="s">
        <v>900</v>
      </c>
      <c r="I402" t="s">
        <v>901</v>
      </c>
      <c r="J402" t="s">
        <v>118</v>
      </c>
    </row>
    <row r="403" spans="1:10">
      <c r="A403" t="s">
        <v>879</v>
      </c>
      <c r="B403" t="s">
        <v>880</v>
      </c>
      <c r="D403" t="s">
        <v>118</v>
      </c>
      <c r="H403" t="s">
        <v>902</v>
      </c>
      <c r="I403" t="s">
        <v>903</v>
      </c>
      <c r="J403" t="s">
        <v>118</v>
      </c>
    </row>
    <row r="404" spans="1:10">
      <c r="A404" t="s">
        <v>881</v>
      </c>
      <c r="B404" t="s">
        <v>882</v>
      </c>
      <c r="D404" t="s">
        <v>116</v>
      </c>
      <c r="H404" t="s">
        <v>904</v>
      </c>
      <c r="I404" t="s">
        <v>905</v>
      </c>
      <c r="J404" t="s">
        <v>118</v>
      </c>
    </row>
    <row r="405" spans="1:10">
      <c r="A405" t="s">
        <v>883</v>
      </c>
      <c r="B405" t="s">
        <v>884</v>
      </c>
      <c r="D405" t="s">
        <v>1474</v>
      </c>
      <c r="H405" t="s">
        <v>906</v>
      </c>
      <c r="I405" t="s">
        <v>907</v>
      </c>
      <c r="J405" t="s">
        <v>118</v>
      </c>
    </row>
    <row r="406" spans="1:10">
      <c r="A406" t="s">
        <v>885</v>
      </c>
      <c r="B406" t="s">
        <v>886</v>
      </c>
      <c r="D406" t="s">
        <v>123</v>
      </c>
      <c r="H406" t="s">
        <v>908</v>
      </c>
      <c r="I406" t="s">
        <v>909</v>
      </c>
      <c r="J406" t="s">
        <v>1107</v>
      </c>
    </row>
    <row r="407" spans="1:10">
      <c r="A407" t="s">
        <v>77</v>
      </c>
      <c r="B407" t="s">
        <v>887</v>
      </c>
      <c r="D407" t="s">
        <v>118</v>
      </c>
      <c r="H407" t="s">
        <v>910</v>
      </c>
      <c r="I407" t="s">
        <v>911</v>
      </c>
      <c r="J407" t="s">
        <v>1107</v>
      </c>
    </row>
    <row r="408" spans="1:10">
      <c r="A408" t="s">
        <v>888</v>
      </c>
      <c r="B408" t="s">
        <v>889</v>
      </c>
      <c r="D408" t="s">
        <v>236</v>
      </c>
      <c r="H408" t="s">
        <v>912</v>
      </c>
      <c r="I408" t="s">
        <v>913</v>
      </c>
      <c r="J408" t="s">
        <v>123</v>
      </c>
    </row>
    <row r="409" spans="1:10">
      <c r="A409" t="s">
        <v>890</v>
      </c>
      <c r="B409" t="s">
        <v>891</v>
      </c>
      <c r="D409" t="s">
        <v>236</v>
      </c>
      <c r="H409" t="s">
        <v>914</v>
      </c>
      <c r="I409" t="s">
        <v>915</v>
      </c>
      <c r="J409" t="s">
        <v>1100</v>
      </c>
    </row>
    <row r="410" spans="1:10">
      <c r="A410" t="s">
        <v>892</v>
      </c>
      <c r="B410" t="s">
        <v>893</v>
      </c>
      <c r="D410" t="s">
        <v>116</v>
      </c>
      <c r="H410" t="s">
        <v>916</v>
      </c>
      <c r="I410" t="s">
        <v>917</v>
      </c>
      <c r="J410" t="s">
        <v>236</v>
      </c>
    </row>
    <row r="411" spans="1:10">
      <c r="A411" t="s">
        <v>894</v>
      </c>
      <c r="B411" t="s">
        <v>895</v>
      </c>
      <c r="D411" t="s">
        <v>123</v>
      </c>
      <c r="H411" t="s">
        <v>918</v>
      </c>
      <c r="I411" t="s">
        <v>919</v>
      </c>
      <c r="J411" t="s">
        <v>258</v>
      </c>
    </row>
    <row r="412" spans="1:10">
      <c r="A412" t="s">
        <v>896</v>
      </c>
      <c r="B412" t="s">
        <v>897</v>
      </c>
      <c r="D412" t="s">
        <v>118</v>
      </c>
      <c r="H412" t="s">
        <v>84</v>
      </c>
      <c r="I412" t="s">
        <v>920</v>
      </c>
      <c r="J412" t="s">
        <v>1100</v>
      </c>
    </row>
    <row r="413" spans="1:10">
      <c r="A413" t="s">
        <v>898</v>
      </c>
      <c r="B413" t="s">
        <v>899</v>
      </c>
      <c r="D413" t="s">
        <v>116</v>
      </c>
      <c r="H413" t="s">
        <v>921</v>
      </c>
      <c r="I413" t="s">
        <v>922</v>
      </c>
      <c r="J413" t="s">
        <v>117</v>
      </c>
    </row>
    <row r="414" spans="1:10">
      <c r="A414" t="s">
        <v>900</v>
      </c>
      <c r="B414" t="s">
        <v>901</v>
      </c>
      <c r="D414" t="s">
        <v>118</v>
      </c>
      <c r="H414" t="s">
        <v>923</v>
      </c>
      <c r="I414" t="s">
        <v>924</v>
      </c>
      <c r="J414" t="s">
        <v>235</v>
      </c>
    </row>
    <row r="415" spans="1:10">
      <c r="A415" t="s">
        <v>902</v>
      </c>
      <c r="B415" t="s">
        <v>903</v>
      </c>
      <c r="D415" t="s">
        <v>118</v>
      </c>
      <c r="H415" t="s">
        <v>925</v>
      </c>
      <c r="I415" t="s">
        <v>926</v>
      </c>
      <c r="J415" t="s">
        <v>1100</v>
      </c>
    </row>
    <row r="416" spans="1:10">
      <c r="A416" t="s">
        <v>904</v>
      </c>
      <c r="B416" t="s">
        <v>905</v>
      </c>
      <c r="D416" t="s">
        <v>118</v>
      </c>
      <c r="H416" t="s">
        <v>927</v>
      </c>
      <c r="I416" t="s">
        <v>928</v>
      </c>
      <c r="J416" t="s">
        <v>117</v>
      </c>
    </row>
    <row r="417" spans="1:10">
      <c r="A417" t="s">
        <v>906</v>
      </c>
      <c r="B417" t="s">
        <v>907</v>
      </c>
      <c r="D417" t="s">
        <v>118</v>
      </c>
      <c r="H417" t="s">
        <v>81</v>
      </c>
      <c r="I417" t="s">
        <v>929</v>
      </c>
      <c r="J417" t="s">
        <v>236</v>
      </c>
    </row>
    <row r="418" spans="1:10">
      <c r="A418" t="s">
        <v>908</v>
      </c>
      <c r="B418" t="s">
        <v>909</v>
      </c>
      <c r="D418" t="s">
        <v>1474</v>
      </c>
      <c r="H418" t="s">
        <v>930</v>
      </c>
      <c r="I418" t="s">
        <v>931</v>
      </c>
      <c r="J418" t="s">
        <v>1100</v>
      </c>
    </row>
    <row r="419" spans="1:10">
      <c r="A419" t="s">
        <v>910</v>
      </c>
      <c r="B419" t="s">
        <v>911</v>
      </c>
      <c r="D419" t="s">
        <v>1474</v>
      </c>
      <c r="H419" t="s">
        <v>932</v>
      </c>
      <c r="I419" t="s">
        <v>933</v>
      </c>
      <c r="J419" t="s">
        <v>118</v>
      </c>
    </row>
    <row r="420" spans="1:10">
      <c r="A420" t="s">
        <v>912</v>
      </c>
      <c r="B420" t="s">
        <v>913</v>
      </c>
      <c r="D420" t="s">
        <v>123</v>
      </c>
      <c r="H420" t="s">
        <v>934</v>
      </c>
      <c r="I420" t="s">
        <v>935</v>
      </c>
      <c r="J420" t="s">
        <v>235</v>
      </c>
    </row>
    <row r="421" spans="1:10">
      <c r="A421" t="s">
        <v>914</v>
      </c>
      <c r="B421" t="s">
        <v>915</v>
      </c>
      <c r="D421" t="s">
        <v>1471</v>
      </c>
      <c r="H421" t="s">
        <v>936</v>
      </c>
      <c r="I421" t="s">
        <v>937</v>
      </c>
      <c r="J421" t="s">
        <v>118</v>
      </c>
    </row>
    <row r="422" spans="1:10">
      <c r="A422" t="s">
        <v>916</v>
      </c>
      <c r="B422" t="s">
        <v>917</v>
      </c>
      <c r="D422" t="s">
        <v>236</v>
      </c>
      <c r="H422" t="s">
        <v>938</v>
      </c>
      <c r="I422" t="s">
        <v>939</v>
      </c>
      <c r="J422" t="s">
        <v>118</v>
      </c>
    </row>
    <row r="423" spans="1:10">
      <c r="A423" t="s">
        <v>918</v>
      </c>
      <c r="B423" t="s">
        <v>919</v>
      </c>
      <c r="D423" t="s">
        <v>258</v>
      </c>
      <c r="H423" t="s">
        <v>78</v>
      </c>
      <c r="I423" t="s">
        <v>940</v>
      </c>
      <c r="J423" t="s">
        <v>1107</v>
      </c>
    </row>
    <row r="424" spans="1:10">
      <c r="A424" t="s">
        <v>84</v>
      </c>
      <c r="B424" t="s">
        <v>920</v>
      </c>
      <c r="D424" t="s">
        <v>1471</v>
      </c>
      <c r="H424" t="s">
        <v>941</v>
      </c>
      <c r="I424" t="s">
        <v>942</v>
      </c>
      <c r="J424" t="s">
        <v>123</v>
      </c>
    </row>
    <row r="425" spans="1:10">
      <c r="A425" t="s">
        <v>921</v>
      </c>
      <c r="B425" t="s">
        <v>922</v>
      </c>
      <c r="D425" t="s">
        <v>117</v>
      </c>
      <c r="H425" t="s">
        <v>943</v>
      </c>
      <c r="I425" t="s">
        <v>944</v>
      </c>
      <c r="J425" t="s">
        <v>116</v>
      </c>
    </row>
    <row r="426" spans="1:10">
      <c r="A426" t="s">
        <v>923</v>
      </c>
      <c r="B426" t="s">
        <v>924</v>
      </c>
      <c r="D426" t="s">
        <v>235</v>
      </c>
      <c r="H426" t="s">
        <v>945</v>
      </c>
      <c r="I426" t="s">
        <v>946</v>
      </c>
      <c r="J426" t="s">
        <v>116</v>
      </c>
    </row>
    <row r="427" spans="1:10">
      <c r="A427" t="s">
        <v>925</v>
      </c>
      <c r="B427" t="s">
        <v>926</v>
      </c>
      <c r="D427" t="s">
        <v>1471</v>
      </c>
      <c r="H427" t="s">
        <v>947</v>
      </c>
      <c r="I427" t="s">
        <v>948</v>
      </c>
      <c r="J427" t="s">
        <v>123</v>
      </c>
    </row>
    <row r="428" spans="1:10">
      <c r="A428" t="s">
        <v>927</v>
      </c>
      <c r="B428" t="s">
        <v>928</v>
      </c>
      <c r="D428" t="s">
        <v>117</v>
      </c>
      <c r="H428" t="s">
        <v>949</v>
      </c>
      <c r="I428" t="s">
        <v>950</v>
      </c>
      <c r="J428" t="s">
        <v>123</v>
      </c>
    </row>
    <row r="429" spans="1:10">
      <c r="A429" t="s">
        <v>81</v>
      </c>
      <c r="B429" t="s">
        <v>929</v>
      </c>
      <c r="D429" t="s">
        <v>236</v>
      </c>
      <c r="H429" t="s">
        <v>120</v>
      </c>
      <c r="I429" t="s">
        <v>951</v>
      </c>
      <c r="J429" t="s">
        <v>1100</v>
      </c>
    </row>
    <row r="430" spans="1:10">
      <c r="A430" t="s">
        <v>930</v>
      </c>
      <c r="B430" t="s">
        <v>931</v>
      </c>
      <c r="D430" t="s">
        <v>1471</v>
      </c>
      <c r="H430" t="s">
        <v>952</v>
      </c>
      <c r="I430" t="s">
        <v>953</v>
      </c>
      <c r="J430" t="s">
        <v>1109</v>
      </c>
    </row>
    <row r="431" spans="1:10">
      <c r="A431" t="s">
        <v>932</v>
      </c>
      <c r="B431" t="s">
        <v>933</v>
      </c>
      <c r="D431" t="s">
        <v>118</v>
      </c>
      <c r="H431" t="s">
        <v>954</v>
      </c>
      <c r="I431" t="s">
        <v>955</v>
      </c>
      <c r="J431" t="s">
        <v>1108</v>
      </c>
    </row>
    <row r="432" spans="1:10">
      <c r="A432" t="s">
        <v>934</v>
      </c>
      <c r="B432" t="s">
        <v>935</v>
      </c>
      <c r="D432" t="s">
        <v>235</v>
      </c>
      <c r="H432" t="s">
        <v>956</v>
      </c>
      <c r="I432" t="s">
        <v>957</v>
      </c>
      <c r="J432" t="s">
        <v>123</v>
      </c>
    </row>
    <row r="433" spans="1:10">
      <c r="A433" t="s">
        <v>936</v>
      </c>
      <c r="B433" t="s">
        <v>937</v>
      </c>
      <c r="D433" t="s">
        <v>118</v>
      </c>
      <c r="H433" t="s">
        <v>958</v>
      </c>
      <c r="I433" t="s">
        <v>959</v>
      </c>
      <c r="J433" t="s">
        <v>1108</v>
      </c>
    </row>
    <row r="434" spans="1:10">
      <c r="A434" t="s">
        <v>938</v>
      </c>
      <c r="B434" t="s">
        <v>939</v>
      </c>
      <c r="D434" t="s">
        <v>118</v>
      </c>
      <c r="H434" t="s">
        <v>88</v>
      </c>
      <c r="I434" t="s">
        <v>960</v>
      </c>
      <c r="J434" t="s">
        <v>1107</v>
      </c>
    </row>
    <row r="435" spans="1:10">
      <c r="A435" t="s">
        <v>78</v>
      </c>
      <c r="B435" t="s">
        <v>940</v>
      </c>
      <c r="D435" t="s">
        <v>1474</v>
      </c>
      <c r="H435" t="s">
        <v>86</v>
      </c>
      <c r="I435" t="s">
        <v>961</v>
      </c>
      <c r="J435" t="s">
        <v>1107</v>
      </c>
    </row>
    <row r="436" spans="1:10">
      <c r="A436" t="s">
        <v>941</v>
      </c>
      <c r="B436" t="s">
        <v>942</v>
      </c>
      <c r="D436" t="s">
        <v>123</v>
      </c>
      <c r="H436" t="s">
        <v>962</v>
      </c>
      <c r="I436" t="s">
        <v>963</v>
      </c>
      <c r="J436" t="s">
        <v>1100</v>
      </c>
    </row>
    <row r="437" spans="1:10">
      <c r="A437" t="s">
        <v>943</v>
      </c>
      <c r="B437" t="s">
        <v>944</v>
      </c>
      <c r="D437" t="s">
        <v>116</v>
      </c>
      <c r="H437" t="s">
        <v>964</v>
      </c>
      <c r="I437" t="s">
        <v>965</v>
      </c>
      <c r="J437" t="s">
        <v>118</v>
      </c>
    </row>
    <row r="438" spans="1:10">
      <c r="A438" t="s">
        <v>945</v>
      </c>
      <c r="B438" t="s">
        <v>946</v>
      </c>
      <c r="D438" t="s">
        <v>116</v>
      </c>
      <c r="H438" t="s">
        <v>966</v>
      </c>
      <c r="I438" t="s">
        <v>967</v>
      </c>
      <c r="J438" t="s">
        <v>116</v>
      </c>
    </row>
    <row r="439" spans="1:10">
      <c r="A439" t="s">
        <v>947</v>
      </c>
      <c r="B439" t="s">
        <v>948</v>
      </c>
      <c r="D439" t="s">
        <v>123</v>
      </c>
      <c r="H439" t="s">
        <v>968</v>
      </c>
      <c r="I439" t="s">
        <v>969</v>
      </c>
      <c r="J439" t="s">
        <v>1100</v>
      </c>
    </row>
    <row r="440" spans="1:10">
      <c r="A440" t="s">
        <v>949</v>
      </c>
      <c r="B440" t="s">
        <v>950</v>
      </c>
      <c r="D440" t="s">
        <v>123</v>
      </c>
      <c r="H440" t="s">
        <v>89</v>
      </c>
      <c r="I440" t="s">
        <v>970</v>
      </c>
      <c r="J440" t="s">
        <v>1107</v>
      </c>
    </row>
    <row r="441" spans="1:10">
      <c r="A441" t="s">
        <v>120</v>
      </c>
      <c r="B441" t="s">
        <v>951</v>
      </c>
      <c r="D441" t="s">
        <v>1471</v>
      </c>
      <c r="H441" t="s">
        <v>90</v>
      </c>
      <c r="I441" t="s">
        <v>971</v>
      </c>
      <c r="J441" t="s">
        <v>1100</v>
      </c>
    </row>
    <row r="442" spans="1:10">
      <c r="A442" t="s">
        <v>952</v>
      </c>
      <c r="B442" t="s">
        <v>953</v>
      </c>
      <c r="D442" t="s">
        <v>1473</v>
      </c>
      <c r="H442" t="s">
        <v>972</v>
      </c>
      <c r="I442" t="s">
        <v>973</v>
      </c>
      <c r="J442" t="s">
        <v>118</v>
      </c>
    </row>
    <row r="443" spans="1:10">
      <c r="A443" t="s">
        <v>954</v>
      </c>
      <c r="B443" t="s">
        <v>955</v>
      </c>
      <c r="D443" t="s">
        <v>1472</v>
      </c>
      <c r="H443" t="s">
        <v>974</v>
      </c>
      <c r="I443" t="s">
        <v>975</v>
      </c>
      <c r="J443" t="s">
        <v>116</v>
      </c>
    </row>
    <row r="444" spans="1:10">
      <c r="A444" t="s">
        <v>956</v>
      </c>
      <c r="B444" t="s">
        <v>957</v>
      </c>
      <c r="D444" t="s">
        <v>123</v>
      </c>
      <c r="H444" t="s">
        <v>976</v>
      </c>
      <c r="I444" t="s">
        <v>977</v>
      </c>
      <c r="J444" t="s">
        <v>123</v>
      </c>
    </row>
    <row r="445" spans="1:10">
      <c r="A445" t="s">
        <v>958</v>
      </c>
      <c r="B445" t="s">
        <v>959</v>
      </c>
      <c r="D445" t="s">
        <v>1472</v>
      </c>
      <c r="H445" t="s">
        <v>978</v>
      </c>
      <c r="I445" t="s">
        <v>979</v>
      </c>
      <c r="J445" t="s">
        <v>1109</v>
      </c>
    </row>
    <row r="446" spans="1:10">
      <c r="A446" t="s">
        <v>88</v>
      </c>
      <c r="B446" t="s">
        <v>960</v>
      </c>
      <c r="D446" t="s">
        <v>1474</v>
      </c>
      <c r="H446" t="s">
        <v>980</v>
      </c>
      <c r="I446" t="s">
        <v>981</v>
      </c>
      <c r="J446" t="s">
        <v>117</v>
      </c>
    </row>
    <row r="447" spans="1:10">
      <c r="A447" t="s">
        <v>86</v>
      </c>
      <c r="B447" t="s">
        <v>961</v>
      </c>
      <c r="D447" t="s">
        <v>1474</v>
      </c>
      <c r="H447" t="s">
        <v>982</v>
      </c>
      <c r="I447" t="s">
        <v>983</v>
      </c>
      <c r="J447" t="s">
        <v>123</v>
      </c>
    </row>
    <row r="448" spans="1:10">
      <c r="A448" t="s">
        <v>962</v>
      </c>
      <c r="B448" t="s">
        <v>963</v>
      </c>
      <c r="D448" t="s">
        <v>1471</v>
      </c>
      <c r="H448" t="s">
        <v>48</v>
      </c>
      <c r="I448" t="s">
        <v>984</v>
      </c>
      <c r="J448" t="s">
        <v>1108</v>
      </c>
    </row>
    <row r="449" spans="1:10">
      <c r="A449" t="s">
        <v>964</v>
      </c>
      <c r="B449" t="s">
        <v>965</v>
      </c>
      <c r="D449" t="s">
        <v>118</v>
      </c>
      <c r="H449" t="s">
        <v>87</v>
      </c>
      <c r="I449" t="s">
        <v>985</v>
      </c>
      <c r="J449" t="s">
        <v>116</v>
      </c>
    </row>
    <row r="450" spans="1:10">
      <c r="A450" t="s">
        <v>966</v>
      </c>
      <c r="B450" t="s">
        <v>967</v>
      </c>
      <c r="D450" t="s">
        <v>116</v>
      </c>
      <c r="H450" t="s">
        <v>986</v>
      </c>
      <c r="I450" t="s">
        <v>987</v>
      </c>
      <c r="J450" t="s">
        <v>1107</v>
      </c>
    </row>
    <row r="451" spans="1:10">
      <c r="A451" t="s">
        <v>968</v>
      </c>
      <c r="B451" t="s">
        <v>969</v>
      </c>
      <c r="D451" t="s">
        <v>1471</v>
      </c>
      <c r="H451" t="s">
        <v>988</v>
      </c>
      <c r="I451" t="s">
        <v>989</v>
      </c>
      <c r="J451" t="s">
        <v>1107</v>
      </c>
    </row>
    <row r="452" spans="1:10">
      <c r="A452" t="s">
        <v>89</v>
      </c>
      <c r="B452" t="s">
        <v>970</v>
      </c>
      <c r="D452" t="s">
        <v>1474</v>
      </c>
      <c r="H452" t="s">
        <v>990</v>
      </c>
      <c r="I452" t="s">
        <v>991</v>
      </c>
      <c r="J452" t="s">
        <v>118</v>
      </c>
    </row>
    <row r="453" spans="1:10">
      <c r="A453" t="s">
        <v>90</v>
      </c>
      <c r="B453" t="s">
        <v>971</v>
      </c>
      <c r="D453" t="s">
        <v>1471</v>
      </c>
      <c r="H453" t="s">
        <v>992</v>
      </c>
      <c r="I453" t="s">
        <v>993</v>
      </c>
      <c r="J453" t="s">
        <v>118</v>
      </c>
    </row>
    <row r="454" spans="1:10">
      <c r="A454" t="s">
        <v>972</v>
      </c>
      <c r="B454" t="s">
        <v>973</v>
      </c>
      <c r="D454" t="s">
        <v>118</v>
      </c>
      <c r="H454" t="s">
        <v>994</v>
      </c>
      <c r="I454" t="s">
        <v>995</v>
      </c>
      <c r="J454" t="s">
        <v>1100</v>
      </c>
    </row>
    <row r="455" spans="1:10">
      <c r="A455" t="s">
        <v>974</v>
      </c>
      <c r="B455" t="s">
        <v>975</v>
      </c>
      <c r="D455" t="s">
        <v>116</v>
      </c>
      <c r="H455" t="s">
        <v>996</v>
      </c>
      <c r="I455" t="s">
        <v>997</v>
      </c>
      <c r="J455" t="s">
        <v>123</v>
      </c>
    </row>
    <row r="456" spans="1:10">
      <c r="A456" t="s">
        <v>976</v>
      </c>
      <c r="B456" t="s">
        <v>977</v>
      </c>
      <c r="D456" t="s">
        <v>123</v>
      </c>
      <c r="H456" t="s">
        <v>998</v>
      </c>
      <c r="I456" t="s">
        <v>999</v>
      </c>
      <c r="J456" t="s">
        <v>1108</v>
      </c>
    </row>
    <row r="457" spans="1:10">
      <c r="A457" t="s">
        <v>978</v>
      </c>
      <c r="B457" t="s">
        <v>979</v>
      </c>
      <c r="D457" t="s">
        <v>1473</v>
      </c>
      <c r="H457" t="s">
        <v>1000</v>
      </c>
      <c r="I457" t="s">
        <v>1001</v>
      </c>
      <c r="J457" t="s">
        <v>1100</v>
      </c>
    </row>
    <row r="458" spans="1:10">
      <c r="A458" t="s">
        <v>980</v>
      </c>
      <c r="B458" t="s">
        <v>981</v>
      </c>
      <c r="D458" t="s">
        <v>117</v>
      </c>
      <c r="H458" t="s">
        <v>1002</v>
      </c>
      <c r="I458" t="s">
        <v>1003</v>
      </c>
      <c r="J458" t="s">
        <v>1109</v>
      </c>
    </row>
    <row r="459" spans="1:10">
      <c r="A459" t="s">
        <v>982</v>
      </c>
      <c r="B459" t="s">
        <v>983</v>
      </c>
      <c r="D459" t="s">
        <v>123</v>
      </c>
      <c r="H459" t="s">
        <v>1004</v>
      </c>
      <c r="I459" t="s">
        <v>1005</v>
      </c>
      <c r="J459" t="s">
        <v>123</v>
      </c>
    </row>
    <row r="460" spans="1:10">
      <c r="A460" t="s">
        <v>48</v>
      </c>
      <c r="B460" t="s">
        <v>984</v>
      </c>
      <c r="D460" t="s">
        <v>1472</v>
      </c>
      <c r="H460" t="s">
        <v>1006</v>
      </c>
      <c r="I460" t="s">
        <v>1006</v>
      </c>
      <c r="J460" t="s">
        <v>236</v>
      </c>
    </row>
    <row r="461" spans="1:10">
      <c r="A461" t="s">
        <v>87</v>
      </c>
      <c r="B461" t="s">
        <v>985</v>
      </c>
      <c r="D461" t="s">
        <v>116</v>
      </c>
      <c r="H461" t="s">
        <v>1007</v>
      </c>
      <c r="I461" t="s">
        <v>1008</v>
      </c>
      <c r="J461" t="s">
        <v>1107</v>
      </c>
    </row>
    <row r="462" spans="1:10">
      <c r="A462" t="s">
        <v>986</v>
      </c>
      <c r="B462" t="s">
        <v>987</v>
      </c>
      <c r="D462" t="s">
        <v>1474</v>
      </c>
      <c r="H462" t="s">
        <v>1009</v>
      </c>
      <c r="I462" t="s">
        <v>1010</v>
      </c>
      <c r="J462" t="s">
        <v>1107</v>
      </c>
    </row>
    <row r="463" spans="1:10">
      <c r="A463" t="s">
        <v>988</v>
      </c>
      <c r="B463" t="s">
        <v>989</v>
      </c>
      <c r="D463" t="s">
        <v>1474</v>
      </c>
      <c r="H463" t="s">
        <v>1011</v>
      </c>
      <c r="I463" t="s">
        <v>1012</v>
      </c>
      <c r="J463" t="s">
        <v>1107</v>
      </c>
    </row>
    <row r="464" spans="1:10">
      <c r="A464" t="s">
        <v>990</v>
      </c>
      <c r="B464" t="s">
        <v>991</v>
      </c>
      <c r="D464" t="s">
        <v>118</v>
      </c>
      <c r="H464" t="s">
        <v>1013</v>
      </c>
      <c r="I464" t="s">
        <v>1014</v>
      </c>
      <c r="J464" t="s">
        <v>118</v>
      </c>
    </row>
    <row r="465" spans="1:10">
      <c r="A465" t="s">
        <v>992</v>
      </c>
      <c r="B465" t="s">
        <v>993</v>
      </c>
      <c r="D465" t="s">
        <v>118</v>
      </c>
      <c r="H465" t="s">
        <v>1015</v>
      </c>
      <c r="I465" t="s">
        <v>1016</v>
      </c>
      <c r="J465" t="s">
        <v>118</v>
      </c>
    </row>
    <row r="466" spans="1:10">
      <c r="A466" t="s">
        <v>994</v>
      </c>
      <c r="B466" t="s">
        <v>995</v>
      </c>
      <c r="D466" t="s">
        <v>1471</v>
      </c>
      <c r="H466" t="s">
        <v>92</v>
      </c>
      <c r="I466" t="s">
        <v>1017</v>
      </c>
      <c r="J466" t="s">
        <v>118</v>
      </c>
    </row>
    <row r="467" spans="1:10">
      <c r="A467" t="s">
        <v>996</v>
      </c>
      <c r="B467" t="s">
        <v>997</v>
      </c>
      <c r="D467" t="s">
        <v>123</v>
      </c>
      <c r="H467" t="s">
        <v>1018</v>
      </c>
      <c r="I467" t="s">
        <v>1019</v>
      </c>
      <c r="J467" t="s">
        <v>118</v>
      </c>
    </row>
    <row r="468" spans="1:10">
      <c r="A468" t="s">
        <v>998</v>
      </c>
      <c r="B468" t="s">
        <v>999</v>
      </c>
      <c r="D468" t="s">
        <v>1472</v>
      </c>
      <c r="H468" t="s">
        <v>91</v>
      </c>
      <c r="I468" t="s">
        <v>1020</v>
      </c>
      <c r="J468" t="s">
        <v>116</v>
      </c>
    </row>
    <row r="469" spans="1:10">
      <c r="A469" t="s">
        <v>1000</v>
      </c>
      <c r="B469" t="s">
        <v>1001</v>
      </c>
      <c r="D469" t="s">
        <v>1471</v>
      </c>
      <c r="H469" t="s">
        <v>1021</v>
      </c>
      <c r="I469" t="s">
        <v>1022</v>
      </c>
      <c r="J469" t="s">
        <v>116</v>
      </c>
    </row>
    <row r="470" spans="1:10">
      <c r="A470" t="s">
        <v>1002</v>
      </c>
      <c r="B470" t="s">
        <v>1003</v>
      </c>
      <c r="D470" t="s">
        <v>1473</v>
      </c>
      <c r="H470" t="s">
        <v>1023</v>
      </c>
      <c r="I470" t="s">
        <v>1024</v>
      </c>
      <c r="J470" t="s">
        <v>258</v>
      </c>
    </row>
    <row r="471" spans="1:10">
      <c r="A471" t="s">
        <v>1004</v>
      </c>
      <c r="B471" t="s">
        <v>1005</v>
      </c>
      <c r="D471" t="s">
        <v>123</v>
      </c>
      <c r="H471" t="s">
        <v>1025</v>
      </c>
      <c r="I471" t="s">
        <v>1026</v>
      </c>
      <c r="J471" t="s">
        <v>236</v>
      </c>
    </row>
    <row r="472" spans="1:10">
      <c r="A472" t="s">
        <v>1006</v>
      </c>
      <c r="B472" t="s">
        <v>1006</v>
      </c>
      <c r="D472" t="s">
        <v>236</v>
      </c>
      <c r="H472" t="s">
        <v>1027</v>
      </c>
      <c r="I472" t="s">
        <v>1028</v>
      </c>
      <c r="J472" t="s">
        <v>1100</v>
      </c>
    </row>
    <row r="473" spans="1:10">
      <c r="A473" t="s">
        <v>1007</v>
      </c>
      <c r="B473" t="s">
        <v>1008</v>
      </c>
      <c r="D473" t="s">
        <v>1474</v>
      </c>
      <c r="H473" t="s">
        <v>1029</v>
      </c>
      <c r="I473" t="s">
        <v>1030</v>
      </c>
      <c r="J473" t="s">
        <v>118</v>
      </c>
    </row>
    <row r="474" spans="1:10">
      <c r="A474" t="s">
        <v>1009</v>
      </c>
      <c r="B474" t="s">
        <v>1010</v>
      </c>
      <c r="D474" t="s">
        <v>1474</v>
      </c>
      <c r="H474" t="s">
        <v>1031</v>
      </c>
      <c r="I474" t="s">
        <v>1032</v>
      </c>
      <c r="J474" t="s">
        <v>1108</v>
      </c>
    </row>
    <row r="475" spans="1:10">
      <c r="A475" t="s">
        <v>1011</v>
      </c>
      <c r="B475" t="s">
        <v>1012</v>
      </c>
      <c r="D475" t="s">
        <v>1474</v>
      </c>
      <c r="H475" t="s">
        <v>1033</v>
      </c>
      <c r="I475" t="s">
        <v>1034</v>
      </c>
      <c r="J475" t="s">
        <v>116</v>
      </c>
    </row>
    <row r="476" spans="1:10">
      <c r="A476" t="s">
        <v>1013</v>
      </c>
      <c r="B476" t="s">
        <v>1014</v>
      </c>
      <c r="D476" t="s">
        <v>118</v>
      </c>
      <c r="H476" t="s">
        <v>1035</v>
      </c>
      <c r="I476" t="s">
        <v>1036</v>
      </c>
      <c r="J476" t="s">
        <v>1107</v>
      </c>
    </row>
    <row r="477" spans="1:10">
      <c r="A477" t="s">
        <v>1015</v>
      </c>
      <c r="B477" t="s">
        <v>1016</v>
      </c>
      <c r="D477" t="s">
        <v>118</v>
      </c>
      <c r="H477" t="s">
        <v>1037</v>
      </c>
      <c r="I477" t="s">
        <v>1038</v>
      </c>
      <c r="J477" t="s">
        <v>1108</v>
      </c>
    </row>
    <row r="478" spans="1:10">
      <c r="A478" t="s">
        <v>92</v>
      </c>
      <c r="B478" t="s">
        <v>1017</v>
      </c>
      <c r="D478" t="s">
        <v>118</v>
      </c>
      <c r="H478" t="s">
        <v>1039</v>
      </c>
      <c r="I478" t="s">
        <v>1040</v>
      </c>
      <c r="J478" t="s">
        <v>116</v>
      </c>
    </row>
    <row r="479" spans="1:10">
      <c r="A479" t="s">
        <v>1018</v>
      </c>
      <c r="B479" t="s">
        <v>1019</v>
      </c>
      <c r="D479" t="s">
        <v>118</v>
      </c>
      <c r="H479" t="s">
        <v>93</v>
      </c>
      <c r="I479" t="s">
        <v>1041</v>
      </c>
      <c r="J479" t="s">
        <v>1100</v>
      </c>
    </row>
    <row r="480" spans="1:10">
      <c r="A480" t="s">
        <v>91</v>
      </c>
      <c r="B480" t="s">
        <v>1020</v>
      </c>
      <c r="D480" t="s">
        <v>116</v>
      </c>
      <c r="H480" t="s">
        <v>1042</v>
      </c>
      <c r="I480" t="s">
        <v>1043</v>
      </c>
      <c r="J480" t="s">
        <v>236</v>
      </c>
    </row>
    <row r="481" spans="1:10">
      <c r="A481" t="s">
        <v>1021</v>
      </c>
      <c r="B481" t="s">
        <v>1022</v>
      </c>
      <c r="D481" t="s">
        <v>116</v>
      </c>
      <c r="H481" t="s">
        <v>1044</v>
      </c>
      <c r="I481" t="s">
        <v>1045</v>
      </c>
      <c r="J481" t="s">
        <v>117</v>
      </c>
    </row>
    <row r="482" spans="1:10">
      <c r="A482" t="s">
        <v>1023</v>
      </c>
      <c r="B482" t="s">
        <v>1024</v>
      </c>
      <c r="D482" t="s">
        <v>258</v>
      </c>
      <c r="H482" t="s">
        <v>1046</v>
      </c>
      <c r="I482" t="s">
        <v>1047</v>
      </c>
      <c r="J482" t="s">
        <v>123</v>
      </c>
    </row>
    <row r="483" spans="1:10">
      <c r="A483" t="s">
        <v>1025</v>
      </c>
      <c r="B483" t="s">
        <v>1026</v>
      </c>
      <c r="D483" t="s">
        <v>236</v>
      </c>
      <c r="H483" t="s">
        <v>1048</v>
      </c>
      <c r="I483" t="s">
        <v>1049</v>
      </c>
      <c r="J483" t="s">
        <v>118</v>
      </c>
    </row>
    <row r="484" spans="1:10">
      <c r="A484" t="s">
        <v>1027</v>
      </c>
      <c r="B484" t="s">
        <v>1028</v>
      </c>
      <c r="D484" t="s">
        <v>1471</v>
      </c>
      <c r="H484" t="s">
        <v>1050</v>
      </c>
      <c r="I484" t="s">
        <v>1051</v>
      </c>
      <c r="J484" t="s">
        <v>118</v>
      </c>
    </row>
    <row r="485" spans="1:10">
      <c r="A485" t="s">
        <v>1029</v>
      </c>
      <c r="B485" t="s">
        <v>1030</v>
      </c>
      <c r="D485" t="s">
        <v>118</v>
      </c>
      <c r="H485" t="s">
        <v>1052</v>
      </c>
      <c r="I485" t="s">
        <v>1053</v>
      </c>
      <c r="J485" t="s">
        <v>1109</v>
      </c>
    </row>
    <row r="486" spans="1:10">
      <c r="A486" t="s">
        <v>1031</v>
      </c>
      <c r="B486" t="s">
        <v>1032</v>
      </c>
      <c r="D486" t="s">
        <v>1472</v>
      </c>
      <c r="H486" t="s">
        <v>1054</v>
      </c>
      <c r="I486" t="s">
        <v>1055</v>
      </c>
      <c r="J486" t="s">
        <v>1109</v>
      </c>
    </row>
    <row r="487" spans="1:10">
      <c r="A487" t="s">
        <v>1033</v>
      </c>
      <c r="B487" t="s">
        <v>1034</v>
      </c>
      <c r="D487" t="s">
        <v>116</v>
      </c>
      <c r="H487" t="s">
        <v>1056</v>
      </c>
      <c r="I487" t="s">
        <v>1057</v>
      </c>
      <c r="J487" t="s">
        <v>118</v>
      </c>
    </row>
    <row r="488" spans="1:10">
      <c r="A488" t="s">
        <v>1035</v>
      </c>
      <c r="B488" t="s">
        <v>1036</v>
      </c>
      <c r="D488" t="s">
        <v>1474</v>
      </c>
      <c r="H488" t="s">
        <v>1058</v>
      </c>
      <c r="I488" t="s">
        <v>1059</v>
      </c>
      <c r="J488" t="s">
        <v>116</v>
      </c>
    </row>
    <row r="489" spans="1:10">
      <c r="A489" t="s">
        <v>1037</v>
      </c>
      <c r="B489" t="s">
        <v>1038</v>
      </c>
      <c r="D489" t="s">
        <v>1472</v>
      </c>
      <c r="H489" t="s">
        <v>1060</v>
      </c>
      <c r="I489" t="s">
        <v>1061</v>
      </c>
      <c r="J489" t="s">
        <v>235</v>
      </c>
    </row>
    <row r="490" spans="1:10">
      <c r="A490" t="s">
        <v>1039</v>
      </c>
      <c r="B490" t="s">
        <v>1040</v>
      </c>
      <c r="D490" t="s">
        <v>116</v>
      </c>
      <c r="H490" t="s">
        <v>94</v>
      </c>
      <c r="I490" t="s">
        <v>1062</v>
      </c>
      <c r="J490" t="s">
        <v>123</v>
      </c>
    </row>
    <row r="491" spans="1:10">
      <c r="A491" t="s">
        <v>93</v>
      </c>
      <c r="B491" t="s">
        <v>1041</v>
      </c>
      <c r="D491" t="s">
        <v>1471</v>
      </c>
      <c r="H491" t="s">
        <v>1063</v>
      </c>
      <c r="I491" t="s">
        <v>1064</v>
      </c>
      <c r="J491" t="s">
        <v>236</v>
      </c>
    </row>
    <row r="492" spans="1:10">
      <c r="A492" t="s">
        <v>1042</v>
      </c>
      <c r="B492" t="s">
        <v>1043</v>
      </c>
      <c r="D492" t="s">
        <v>236</v>
      </c>
      <c r="H492" t="s">
        <v>1065</v>
      </c>
      <c r="I492" t="s">
        <v>1066</v>
      </c>
      <c r="J492" t="s">
        <v>116</v>
      </c>
    </row>
    <row r="493" spans="1:10">
      <c r="A493" t="s">
        <v>1044</v>
      </c>
      <c r="B493" t="s">
        <v>1045</v>
      </c>
      <c r="D493" t="s">
        <v>117</v>
      </c>
      <c r="H493" t="s">
        <v>1067</v>
      </c>
      <c r="I493" t="s">
        <v>1068</v>
      </c>
      <c r="J493" t="s">
        <v>1100</v>
      </c>
    </row>
    <row r="494" spans="1:10">
      <c r="A494" t="s">
        <v>1046</v>
      </c>
      <c r="B494" t="s">
        <v>1047</v>
      </c>
      <c r="D494" t="s">
        <v>123</v>
      </c>
      <c r="H494" t="s">
        <v>1069</v>
      </c>
      <c r="I494" t="s">
        <v>1070</v>
      </c>
      <c r="J494" t="s">
        <v>1100</v>
      </c>
    </row>
    <row r="495" spans="1:10">
      <c r="A495" t="s">
        <v>1048</v>
      </c>
      <c r="B495" t="s">
        <v>1049</v>
      </c>
      <c r="D495" t="s">
        <v>118</v>
      </c>
      <c r="H495" t="s">
        <v>1071</v>
      </c>
      <c r="I495" t="s">
        <v>1072</v>
      </c>
      <c r="J495" t="s">
        <v>117</v>
      </c>
    </row>
    <row r="496" spans="1:10">
      <c r="A496" t="s">
        <v>1050</v>
      </c>
      <c r="B496" t="s">
        <v>1051</v>
      </c>
      <c r="D496" t="s">
        <v>118</v>
      </c>
      <c r="H496" t="s">
        <v>1073</v>
      </c>
      <c r="I496" t="s">
        <v>1074</v>
      </c>
      <c r="J496" t="s">
        <v>236</v>
      </c>
    </row>
    <row r="497" spans="1:10">
      <c r="A497" t="s">
        <v>1052</v>
      </c>
      <c r="B497" t="s">
        <v>1053</v>
      </c>
      <c r="D497" t="s">
        <v>1473</v>
      </c>
      <c r="H497" t="s">
        <v>1075</v>
      </c>
      <c r="I497" t="s">
        <v>1076</v>
      </c>
      <c r="J497" t="s">
        <v>1107</v>
      </c>
    </row>
    <row r="498" spans="1:10">
      <c r="A498" t="s">
        <v>1054</v>
      </c>
      <c r="B498" t="s">
        <v>1055</v>
      </c>
      <c r="D498" t="s">
        <v>1473</v>
      </c>
      <c r="H498" t="s">
        <v>1077</v>
      </c>
      <c r="I498" t="s">
        <v>1078</v>
      </c>
      <c r="J498" t="s">
        <v>258</v>
      </c>
    </row>
    <row r="499" spans="1:10">
      <c r="A499" t="s">
        <v>1056</v>
      </c>
      <c r="B499" t="s">
        <v>1057</v>
      </c>
      <c r="D499" t="s">
        <v>118</v>
      </c>
      <c r="H499" t="s">
        <v>1079</v>
      </c>
      <c r="I499" t="s">
        <v>1080</v>
      </c>
      <c r="J499" t="s">
        <v>123</v>
      </c>
    </row>
    <row r="500" spans="1:10">
      <c r="A500" t="s">
        <v>1058</v>
      </c>
      <c r="B500" t="s">
        <v>1059</v>
      </c>
      <c r="D500" t="s">
        <v>116</v>
      </c>
      <c r="H500" t="s">
        <v>1081</v>
      </c>
      <c r="I500" t="s">
        <v>1082</v>
      </c>
      <c r="J500" t="s">
        <v>1107</v>
      </c>
    </row>
    <row r="501" spans="1:10">
      <c r="A501" t="s">
        <v>1060</v>
      </c>
      <c r="B501" t="s">
        <v>1061</v>
      </c>
      <c r="D501" t="s">
        <v>235</v>
      </c>
      <c r="H501" t="s">
        <v>1083</v>
      </c>
      <c r="I501" t="s">
        <v>1084</v>
      </c>
      <c r="J501" t="s">
        <v>235</v>
      </c>
    </row>
    <row r="502" spans="1:10">
      <c r="A502" t="s">
        <v>94</v>
      </c>
      <c r="B502" t="s">
        <v>1062</v>
      </c>
      <c r="D502" t="s">
        <v>123</v>
      </c>
      <c r="H502" t="s">
        <v>1085</v>
      </c>
      <c r="I502" t="s">
        <v>1086</v>
      </c>
      <c r="J502" t="s">
        <v>1100</v>
      </c>
    </row>
    <row r="503" spans="1:10">
      <c r="A503" t="s">
        <v>1063</v>
      </c>
      <c r="B503" t="s">
        <v>1064</v>
      </c>
      <c r="D503" t="s">
        <v>236</v>
      </c>
      <c r="H503" t="s">
        <v>1087</v>
      </c>
      <c r="I503" t="s">
        <v>1088</v>
      </c>
      <c r="J503" t="s">
        <v>118</v>
      </c>
    </row>
    <row r="504" spans="1:10">
      <c r="A504" t="s">
        <v>1065</v>
      </c>
      <c r="B504" t="s">
        <v>1066</v>
      </c>
      <c r="D504" t="s">
        <v>116</v>
      </c>
      <c r="H504" t="s">
        <v>1089</v>
      </c>
      <c r="I504" t="s">
        <v>1090</v>
      </c>
      <c r="J504" t="s">
        <v>1107</v>
      </c>
    </row>
    <row r="505" spans="1:10">
      <c r="A505" t="s">
        <v>1067</v>
      </c>
      <c r="B505" t="s">
        <v>1068</v>
      </c>
      <c r="D505" t="s">
        <v>1471</v>
      </c>
      <c r="H505" t="s">
        <v>1091</v>
      </c>
      <c r="I505" t="s">
        <v>1092</v>
      </c>
      <c r="J505" t="s">
        <v>1100</v>
      </c>
    </row>
    <row r="506" spans="1:10">
      <c r="A506" t="s">
        <v>1069</v>
      </c>
      <c r="B506" t="s">
        <v>1070</v>
      </c>
      <c r="D506" t="s">
        <v>1471</v>
      </c>
      <c r="H506" t="s">
        <v>1093</v>
      </c>
      <c r="I506" t="s">
        <v>1094</v>
      </c>
      <c r="J506" t="s">
        <v>116</v>
      </c>
    </row>
    <row r="507" spans="1:10">
      <c r="A507" t="s">
        <v>1071</v>
      </c>
      <c r="B507" t="s">
        <v>1072</v>
      </c>
      <c r="D507" t="s">
        <v>117</v>
      </c>
      <c r="H507" t="s">
        <v>1095</v>
      </c>
      <c r="I507" t="s">
        <v>1096</v>
      </c>
      <c r="J507" t="s">
        <v>123</v>
      </c>
    </row>
    <row r="508" spans="1:10">
      <c r="A508" t="s">
        <v>1073</v>
      </c>
      <c r="B508" t="s">
        <v>1074</v>
      </c>
      <c r="D508" t="s">
        <v>236</v>
      </c>
      <c r="H508" t="s">
        <v>1097</v>
      </c>
      <c r="I508" t="s">
        <v>1098</v>
      </c>
      <c r="J508" t="s">
        <v>116</v>
      </c>
    </row>
    <row r="509" spans="1:10">
      <c r="A509" t="s">
        <v>1075</v>
      </c>
      <c r="B509" t="s">
        <v>1076</v>
      </c>
      <c r="D509" t="s">
        <v>1474</v>
      </c>
      <c r="H509" t="s">
        <v>73</v>
      </c>
      <c r="J509" t="s">
        <v>1107</v>
      </c>
    </row>
    <row r="510" spans="1:10">
      <c r="A510" t="s">
        <v>1077</v>
      </c>
      <c r="B510" t="s">
        <v>1078</v>
      </c>
      <c r="D510" t="s">
        <v>258</v>
      </c>
      <c r="H510" t="s">
        <v>71</v>
      </c>
      <c r="J510" t="s">
        <v>1100</v>
      </c>
    </row>
    <row r="511" spans="1:10">
      <c r="A511" t="s">
        <v>1079</v>
      </c>
      <c r="B511" t="s">
        <v>1080</v>
      </c>
      <c r="D511" t="s">
        <v>123</v>
      </c>
      <c r="H511" t="s">
        <v>49</v>
      </c>
      <c r="J511" t="s">
        <v>123</v>
      </c>
    </row>
    <row r="512" spans="1:10">
      <c r="A512" t="s">
        <v>1081</v>
      </c>
      <c r="B512" t="s">
        <v>1082</v>
      </c>
      <c r="D512" t="s">
        <v>1474</v>
      </c>
      <c r="H512" t="s">
        <v>72</v>
      </c>
      <c r="J512" t="s">
        <v>1107</v>
      </c>
    </row>
    <row r="513" spans="1:4">
      <c r="A513" t="s">
        <v>1083</v>
      </c>
      <c r="B513" t="s">
        <v>1084</v>
      </c>
      <c r="D513" t="s">
        <v>235</v>
      </c>
    </row>
    <row r="514" spans="1:4">
      <c r="A514" t="s">
        <v>1085</v>
      </c>
      <c r="B514" t="s">
        <v>1086</v>
      </c>
      <c r="D514" t="s">
        <v>1471</v>
      </c>
    </row>
    <row r="515" spans="1:4">
      <c r="A515" t="s">
        <v>1087</v>
      </c>
      <c r="B515" t="s">
        <v>1088</v>
      </c>
      <c r="D515" t="s">
        <v>118</v>
      </c>
    </row>
    <row r="516" spans="1:4">
      <c r="A516" t="s">
        <v>1089</v>
      </c>
      <c r="B516" t="s">
        <v>1090</v>
      </c>
      <c r="D516" t="s">
        <v>1474</v>
      </c>
    </row>
    <row r="517" spans="1:4">
      <c r="A517" t="s">
        <v>1091</v>
      </c>
      <c r="B517" t="s">
        <v>1092</v>
      </c>
      <c r="D517" t="s">
        <v>1471</v>
      </c>
    </row>
    <row r="518" spans="1:4">
      <c r="A518" t="s">
        <v>1093</v>
      </c>
      <c r="B518" t="s">
        <v>1094</v>
      </c>
      <c r="D518" t="s">
        <v>116</v>
      </c>
    </row>
    <row r="519" spans="1:4">
      <c r="A519" t="s">
        <v>1095</v>
      </c>
      <c r="B519" t="s">
        <v>1096</v>
      </c>
      <c r="D519" t="s">
        <v>123</v>
      </c>
    </row>
    <row r="520" spans="1:4">
      <c r="A520" t="s">
        <v>1097</v>
      </c>
      <c r="B520" t="s">
        <v>1098</v>
      </c>
      <c r="D520" t="s">
        <v>116</v>
      </c>
    </row>
  </sheetData>
  <autoFilter ref="A2:D2" xr:uid="{00000000-0001-0000-0300-000000000000}"/>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43B7-8AF1-4E86-995F-666C5DFD337C}">
  <dimension ref="A1:T74"/>
  <sheetViews>
    <sheetView topLeftCell="A6" zoomScale="85" zoomScaleNormal="85" workbookViewId="0">
      <selection activeCell="F36" sqref="F36"/>
    </sheetView>
  </sheetViews>
  <sheetFormatPr defaultColWidth="9.140625" defaultRowHeight="15"/>
  <cols>
    <col min="1" max="1" width="3.7109375" customWidth="1"/>
    <col min="2" max="2" width="15.7109375" style="33" customWidth="1"/>
    <col min="3" max="3" width="23.140625" style="38" bestFit="1" customWidth="1"/>
    <col min="4" max="4" width="9.28515625" style="39" bestFit="1" customWidth="1"/>
    <col min="5" max="5" width="52.28515625" style="38" customWidth="1"/>
    <col min="6" max="6" width="3.7109375" style="39" customWidth="1"/>
    <col min="7" max="8" width="15.7109375" style="40" customWidth="1"/>
    <col min="9" max="9" width="3.7109375" style="40" customWidth="1"/>
    <col min="10" max="10" width="17.28515625" style="40" customWidth="1"/>
    <col min="11" max="11" width="15.7109375" style="40" customWidth="1"/>
    <col min="12" max="12" width="3.7109375" style="40" customWidth="1"/>
    <col min="13" max="14" width="15.7109375" style="40" customWidth="1"/>
    <col min="15" max="15" width="3.7109375" style="40" customWidth="1"/>
    <col min="16" max="17" width="15.7109375" style="40" customWidth="1"/>
    <col min="18" max="18" width="3.7109375" style="40" customWidth="1"/>
    <col min="19" max="20" width="15.7109375" style="40" customWidth="1"/>
    <col min="21" max="21" width="2" customWidth="1"/>
  </cols>
  <sheetData>
    <row r="1" spans="1:20">
      <c r="B1" s="101"/>
      <c r="E1" s="139"/>
    </row>
    <row r="2" spans="1:20">
      <c r="D2" s="140"/>
      <c r="E2" s="139"/>
      <c r="G2" s="41"/>
      <c r="J2" s="41"/>
      <c r="M2" s="41"/>
      <c r="P2" s="41"/>
      <c r="S2" s="41"/>
    </row>
    <row r="3" spans="1:20">
      <c r="C3" s="141"/>
      <c r="D3" s="140"/>
      <c r="E3" s="142"/>
      <c r="G3" s="42"/>
      <c r="H3" t="s">
        <v>138</v>
      </c>
      <c r="J3" s="42"/>
      <c r="K3" t="s">
        <v>97</v>
      </c>
      <c r="N3" t="s">
        <v>95</v>
      </c>
      <c r="Q3" t="s">
        <v>98</v>
      </c>
      <c r="T3" t="s">
        <v>96</v>
      </c>
    </row>
    <row r="4" spans="1:20" ht="15.75" thickBot="1">
      <c r="A4" s="43"/>
      <c r="B4" s="44"/>
      <c r="C4" s="44"/>
      <c r="D4" s="143"/>
      <c r="E4" s="144"/>
      <c r="F4" s="45"/>
      <c r="G4" s="46"/>
      <c r="H4" s="47" t="s">
        <v>138</v>
      </c>
      <c r="I4" s="48"/>
      <c r="J4" s="46"/>
      <c r="K4" s="47" t="s">
        <v>97</v>
      </c>
      <c r="L4" s="49"/>
      <c r="M4" s="46"/>
      <c r="N4" s="47" t="s">
        <v>95</v>
      </c>
      <c r="O4" s="49"/>
      <c r="P4" s="46"/>
      <c r="Q4" s="47" t="s">
        <v>98</v>
      </c>
      <c r="R4" s="49"/>
      <c r="S4" s="46"/>
      <c r="T4" s="47"/>
    </row>
    <row r="5" spans="1:20" ht="16.5" thickTop="1" thickBot="1"/>
    <row r="6" spans="1:20" ht="15.75" thickBot="1">
      <c r="B6" s="129"/>
      <c r="C6" s="130"/>
      <c r="D6" s="130" t="s">
        <v>156</v>
      </c>
      <c r="E6" s="131" t="s">
        <v>161</v>
      </c>
      <c r="F6" s="50"/>
      <c r="G6" s="51"/>
      <c r="H6" s="52">
        <v>0.02</v>
      </c>
      <c r="J6" s="51"/>
      <c r="K6" s="52">
        <v>0.02</v>
      </c>
      <c r="M6" s="51"/>
      <c r="N6" s="52">
        <v>0.02</v>
      </c>
      <c r="P6" s="51"/>
      <c r="Q6" s="52">
        <v>0.02</v>
      </c>
      <c r="S6" s="51"/>
      <c r="T6" s="52">
        <v>0.02</v>
      </c>
    </row>
    <row r="7" spans="1:20" ht="15.75" thickBot="1"/>
    <row r="8" spans="1:20">
      <c r="B8" s="163" t="s">
        <v>129</v>
      </c>
      <c r="C8" s="102" t="s">
        <v>162</v>
      </c>
      <c r="D8" s="53"/>
      <c r="E8" s="54"/>
      <c r="G8" s="67"/>
      <c r="H8" s="55"/>
      <c r="J8" s="67"/>
      <c r="K8" s="55"/>
      <c r="M8" s="67"/>
      <c r="N8" s="55"/>
      <c r="P8" s="67"/>
      <c r="Q8" s="55"/>
      <c r="S8" s="67"/>
      <c r="T8" s="55"/>
    </row>
    <row r="9" spans="1:20">
      <c r="B9" s="164"/>
      <c r="C9" s="59" t="s">
        <v>163</v>
      </c>
      <c r="D9" s="56"/>
      <c r="E9" s="57"/>
      <c r="G9" s="60"/>
      <c r="H9" s="58"/>
      <c r="J9" s="60"/>
      <c r="K9" s="58"/>
      <c r="M9" s="60"/>
      <c r="N9" s="58"/>
      <c r="P9" s="60"/>
      <c r="Q9" s="58"/>
      <c r="S9" s="120"/>
      <c r="T9" s="58"/>
    </row>
    <row r="10" spans="1:20">
      <c r="B10" s="164"/>
      <c r="C10" s="59" t="s">
        <v>164</v>
      </c>
      <c r="D10" s="56"/>
      <c r="E10" s="57"/>
      <c r="G10" s="60"/>
      <c r="H10" s="58"/>
      <c r="J10" s="60"/>
      <c r="K10" s="58"/>
      <c r="M10" s="60"/>
      <c r="N10" s="58"/>
      <c r="P10" s="60"/>
      <c r="Q10" s="58"/>
      <c r="S10" s="60"/>
      <c r="T10" s="58"/>
    </row>
    <row r="11" spans="1:20" ht="15.75" thickBot="1">
      <c r="B11" s="164"/>
      <c r="C11" s="59" t="s">
        <v>165</v>
      </c>
      <c r="D11" s="56"/>
      <c r="E11" s="57"/>
      <c r="G11" s="60"/>
      <c r="H11" s="58"/>
      <c r="J11" s="60"/>
      <c r="K11" s="58"/>
      <c r="M11" s="60"/>
      <c r="N11" s="58"/>
      <c r="P11" s="60"/>
      <c r="Q11" s="58"/>
      <c r="S11" s="60"/>
      <c r="T11" s="58"/>
    </row>
    <row r="12" spans="1:20">
      <c r="B12" s="164"/>
      <c r="C12" s="38" t="s">
        <v>1476</v>
      </c>
      <c r="D12" s="56" t="s">
        <v>1170</v>
      </c>
      <c r="E12" s="59" t="s">
        <v>1171</v>
      </c>
      <c r="G12" s="120"/>
      <c r="H12" s="145">
        <v>0.04</v>
      </c>
      <c r="J12" s="120"/>
      <c r="K12" s="145">
        <v>0.04</v>
      </c>
      <c r="M12" s="120"/>
      <c r="N12" s="145">
        <v>0.04</v>
      </c>
      <c r="P12" s="120"/>
      <c r="Q12" s="145">
        <v>0.01</v>
      </c>
      <c r="S12" s="120"/>
      <c r="T12" s="145">
        <v>0</v>
      </c>
    </row>
    <row r="13" spans="1:20">
      <c r="B13" s="164"/>
      <c r="C13" s="38" t="s">
        <v>1477</v>
      </c>
      <c r="D13" s="56" t="s">
        <v>1173</v>
      </c>
      <c r="E13" s="59" t="s">
        <v>1174</v>
      </c>
      <c r="G13" s="120"/>
      <c r="H13" s="146">
        <v>0.04</v>
      </c>
      <c r="J13" s="120"/>
      <c r="K13" s="146">
        <v>0.04</v>
      </c>
      <c r="M13" s="120"/>
      <c r="N13" s="146">
        <v>0.04</v>
      </c>
      <c r="P13" s="120"/>
      <c r="Q13" s="146">
        <v>0.04</v>
      </c>
      <c r="S13" s="120"/>
      <c r="T13" s="79">
        <v>0</v>
      </c>
    </row>
    <row r="14" spans="1:20">
      <c r="B14" s="164"/>
      <c r="C14" s="59" t="s">
        <v>130</v>
      </c>
      <c r="D14" s="56" t="s">
        <v>1175</v>
      </c>
      <c r="E14" s="59" t="s">
        <v>1176</v>
      </c>
      <c r="G14" s="60"/>
      <c r="H14" s="146">
        <v>0.35</v>
      </c>
      <c r="J14" s="60"/>
      <c r="K14" s="146">
        <v>0.25</v>
      </c>
      <c r="M14" s="60"/>
      <c r="N14" s="146">
        <v>0.15</v>
      </c>
      <c r="P14" s="60"/>
      <c r="Q14" s="146">
        <v>0.08</v>
      </c>
      <c r="S14" s="60"/>
      <c r="T14" s="146">
        <v>0.01</v>
      </c>
    </row>
    <row r="15" spans="1:20" ht="15.75" thickBot="1">
      <c r="B15" s="165"/>
      <c r="C15" s="119" t="s">
        <v>1475</v>
      </c>
      <c r="D15" s="56" t="s">
        <v>1177</v>
      </c>
      <c r="E15" s="59" t="s">
        <v>1178</v>
      </c>
      <c r="G15" s="61"/>
      <c r="H15" s="147">
        <v>0.35</v>
      </c>
      <c r="J15" s="61"/>
      <c r="K15" s="147">
        <v>0.25</v>
      </c>
      <c r="M15" s="61"/>
      <c r="N15" s="147">
        <v>0.15</v>
      </c>
      <c r="P15" s="61"/>
      <c r="Q15" s="147">
        <v>0.1</v>
      </c>
      <c r="S15" s="61"/>
      <c r="T15" s="147">
        <v>0.02</v>
      </c>
    </row>
    <row r="16" spans="1:20" ht="15.75" thickBot="1">
      <c r="B16"/>
      <c r="C16"/>
      <c r="D16"/>
      <c r="E16"/>
      <c r="F16"/>
      <c r="G16"/>
      <c r="H16"/>
      <c r="I16"/>
      <c r="J16"/>
      <c r="K16"/>
      <c r="L16"/>
      <c r="M16"/>
      <c r="N16"/>
      <c r="O16"/>
      <c r="P16"/>
      <c r="Q16"/>
      <c r="R16"/>
      <c r="S16"/>
      <c r="T16"/>
    </row>
    <row r="17" spans="2:20" ht="15.75" thickBot="1">
      <c r="B17" s="121"/>
      <c r="C17" s="122"/>
      <c r="D17" s="122"/>
      <c r="E17" s="123" t="s">
        <v>132</v>
      </c>
      <c r="F17" s="45"/>
      <c r="G17" s="64"/>
      <c r="H17" s="64">
        <f>SUM(H8:H15)</f>
        <v>0.78</v>
      </c>
      <c r="I17" s="49"/>
      <c r="J17" s="64"/>
      <c r="K17" s="64">
        <f>SUM(K8:K15)</f>
        <v>0.58000000000000007</v>
      </c>
      <c r="L17" s="49"/>
      <c r="M17" s="64"/>
      <c r="N17" s="64">
        <f>SUM(N8:N15)</f>
        <v>0.38</v>
      </c>
      <c r="O17" s="49"/>
      <c r="P17" s="64"/>
      <c r="Q17" s="64">
        <f>SUM(Q8:Q15)</f>
        <v>0.23</v>
      </c>
      <c r="R17" s="49"/>
      <c r="S17" s="64"/>
      <c r="T17" s="64">
        <f>SUM(T8:T15)</f>
        <v>0.03</v>
      </c>
    </row>
    <row r="18" spans="2:20" ht="15.75" thickBot="1">
      <c r="B18"/>
      <c r="C18"/>
      <c r="D18"/>
      <c r="E18"/>
      <c r="F18"/>
      <c r="G18"/>
      <c r="H18"/>
      <c r="I18"/>
      <c r="J18"/>
      <c r="K18"/>
      <c r="L18"/>
      <c r="M18"/>
      <c r="N18"/>
      <c r="O18"/>
      <c r="P18"/>
      <c r="Q18"/>
      <c r="R18"/>
      <c r="S18"/>
      <c r="T18"/>
    </row>
    <row r="19" spans="2:20">
      <c r="B19" s="160" t="s">
        <v>1478</v>
      </c>
      <c r="C19" s="65"/>
      <c r="D19" s="98" t="s">
        <v>177</v>
      </c>
      <c r="E19" s="99" t="s">
        <v>200</v>
      </c>
      <c r="G19" s="67"/>
      <c r="H19" s="55">
        <v>5.0000000000000001E-3</v>
      </c>
      <c r="J19" s="67"/>
      <c r="K19" s="55">
        <v>8.0000000000000002E-3</v>
      </c>
      <c r="L19" s="35"/>
      <c r="M19" s="67"/>
      <c r="N19" s="55">
        <v>0.01</v>
      </c>
      <c r="P19" s="67"/>
      <c r="Q19" s="55">
        <v>1.4999999999999999E-2</v>
      </c>
      <c r="S19" s="67"/>
      <c r="T19" s="55">
        <v>1.7500000000000002E-2</v>
      </c>
    </row>
    <row r="20" spans="2:20">
      <c r="B20" s="161"/>
      <c r="C20" s="68"/>
      <c r="D20" t="s">
        <v>178</v>
      </c>
      <c r="E20" s="138" t="s">
        <v>201</v>
      </c>
      <c r="G20" s="60"/>
      <c r="H20" s="58">
        <v>5.0000000000000001E-3</v>
      </c>
      <c r="J20" s="60"/>
      <c r="K20" s="58">
        <v>8.0000000000000002E-3</v>
      </c>
      <c r="L20" s="35"/>
      <c r="M20" s="60"/>
      <c r="N20" s="58">
        <v>0.01</v>
      </c>
      <c r="P20" s="60"/>
      <c r="Q20" s="58">
        <v>1.4999999999999999E-2</v>
      </c>
      <c r="S20" s="60"/>
      <c r="T20" s="58">
        <v>1.7500000000000002E-2</v>
      </c>
    </row>
    <row r="21" spans="2:20">
      <c r="B21" s="161"/>
      <c r="C21" s="68"/>
      <c r="D21" t="s">
        <v>115</v>
      </c>
      <c r="E21" s="138" t="s">
        <v>125</v>
      </c>
      <c r="G21" s="60"/>
      <c r="H21" s="58">
        <v>5.0000000000000001E-3</v>
      </c>
      <c r="J21" s="60"/>
      <c r="K21" s="58">
        <v>8.0000000000000002E-3</v>
      </c>
      <c r="L21" s="35"/>
      <c r="M21" s="60"/>
      <c r="N21" s="58">
        <v>0.01</v>
      </c>
      <c r="P21" s="60"/>
      <c r="Q21" s="58">
        <v>1.4999999999999999E-2</v>
      </c>
      <c r="S21" s="60"/>
      <c r="T21" s="58">
        <v>1.7500000000000002E-2</v>
      </c>
    </row>
    <row r="22" spans="2:20">
      <c r="B22" s="161"/>
      <c r="C22" s="68"/>
      <c r="D22" t="s">
        <v>179</v>
      </c>
      <c r="E22" s="138" t="s">
        <v>202</v>
      </c>
      <c r="G22" s="60"/>
      <c r="H22" s="58">
        <v>5.0000000000000001E-3</v>
      </c>
      <c r="J22" s="60"/>
      <c r="K22" s="58">
        <v>8.0000000000000002E-3</v>
      </c>
      <c r="L22" s="35"/>
      <c r="M22" s="60"/>
      <c r="N22" s="58">
        <v>0.01</v>
      </c>
      <c r="P22" s="60"/>
      <c r="Q22" s="58">
        <v>1.4999999999999999E-2</v>
      </c>
      <c r="S22" s="60"/>
      <c r="T22" s="58">
        <v>1.7500000000000002E-2</v>
      </c>
    </row>
    <row r="23" spans="2:20">
      <c r="B23" s="161"/>
      <c r="C23" s="68"/>
      <c r="D23" t="s">
        <v>180</v>
      </c>
      <c r="E23" s="138" t="s">
        <v>203</v>
      </c>
      <c r="G23" s="60"/>
      <c r="H23" s="58">
        <v>5.0000000000000001E-3</v>
      </c>
      <c r="J23" s="60"/>
      <c r="K23" s="58">
        <v>8.0000000000000002E-3</v>
      </c>
      <c r="L23" s="35"/>
      <c r="M23" s="60"/>
      <c r="N23" s="58">
        <v>0.01</v>
      </c>
      <c r="P23" s="60"/>
      <c r="Q23" s="58">
        <v>1.4999999999999999E-2</v>
      </c>
      <c r="S23" s="60"/>
      <c r="T23" s="58">
        <v>1.7500000000000002E-2</v>
      </c>
    </row>
    <row r="24" spans="2:20">
      <c r="B24" s="161"/>
      <c r="C24" s="68"/>
      <c r="D24" t="s">
        <v>181</v>
      </c>
      <c r="E24" s="138" t="s">
        <v>204</v>
      </c>
      <c r="G24" s="60"/>
      <c r="H24" s="58">
        <v>5.0000000000000001E-3</v>
      </c>
      <c r="J24" s="60"/>
      <c r="K24" s="58">
        <v>8.0000000000000002E-3</v>
      </c>
      <c r="L24" s="35"/>
      <c r="M24" s="60"/>
      <c r="N24" s="58">
        <v>0.01</v>
      </c>
      <c r="P24" s="60"/>
      <c r="Q24" s="58">
        <v>1.4999999999999999E-2</v>
      </c>
      <c r="S24" s="60"/>
      <c r="T24" s="58">
        <v>1.7500000000000002E-2</v>
      </c>
    </row>
    <row r="25" spans="2:20">
      <c r="B25" s="161"/>
      <c r="C25" s="68"/>
      <c r="D25" t="s">
        <v>33</v>
      </c>
      <c r="E25" s="138" t="s">
        <v>205</v>
      </c>
      <c r="G25" s="60"/>
      <c r="H25" s="58">
        <v>5.0000000000000001E-3</v>
      </c>
      <c r="J25" s="60"/>
      <c r="K25" s="58">
        <v>8.0000000000000002E-3</v>
      </c>
      <c r="L25" s="35"/>
      <c r="M25" s="60"/>
      <c r="N25" s="58">
        <v>0.01</v>
      </c>
      <c r="P25" s="60"/>
      <c r="Q25" s="58">
        <v>1.4999999999999999E-2</v>
      </c>
      <c r="S25" s="60"/>
      <c r="T25" s="58">
        <v>1.7500000000000002E-2</v>
      </c>
    </row>
    <row r="26" spans="2:20">
      <c r="B26" s="161"/>
      <c r="C26" s="68"/>
      <c r="D26" t="s">
        <v>182</v>
      </c>
      <c r="E26" s="138" t="s">
        <v>182</v>
      </c>
      <c r="G26" s="69"/>
      <c r="H26" s="58">
        <v>5.0000000000000001E-3</v>
      </c>
      <c r="J26" s="69"/>
      <c r="K26" s="58">
        <v>8.0000000000000002E-3</v>
      </c>
      <c r="L26" s="35"/>
      <c r="M26" s="69"/>
      <c r="N26" s="58">
        <v>0.01</v>
      </c>
      <c r="P26" s="69"/>
      <c r="Q26" s="58">
        <v>1.4999999999999999E-2</v>
      </c>
      <c r="S26" s="69"/>
      <c r="T26" s="58">
        <v>1.7500000000000002E-2</v>
      </c>
    </row>
    <row r="27" spans="2:20">
      <c r="B27" s="161"/>
      <c r="C27" s="68"/>
      <c r="D27" t="s">
        <v>27</v>
      </c>
      <c r="E27" s="138" t="s">
        <v>206</v>
      </c>
      <c r="G27" s="60"/>
      <c r="H27" s="58">
        <v>5.0000000000000001E-3</v>
      </c>
      <c r="J27" s="60"/>
      <c r="K27" s="58">
        <v>8.0000000000000002E-3</v>
      </c>
      <c r="L27" s="35"/>
      <c r="M27" s="60"/>
      <c r="N27" s="58">
        <v>0.01</v>
      </c>
      <c r="P27" s="60"/>
      <c r="Q27" s="58">
        <v>1.4999999999999999E-2</v>
      </c>
      <c r="S27" s="60"/>
      <c r="T27" s="58">
        <v>1.7500000000000002E-2</v>
      </c>
    </row>
    <row r="28" spans="2:20">
      <c r="B28" s="161"/>
      <c r="C28" s="68"/>
      <c r="D28" t="s">
        <v>183</v>
      </c>
      <c r="E28" s="138" t="s">
        <v>207</v>
      </c>
      <c r="G28" s="60"/>
      <c r="H28" s="58">
        <v>5.0000000000000001E-3</v>
      </c>
      <c r="J28" s="60"/>
      <c r="K28" s="58">
        <v>8.0000000000000002E-3</v>
      </c>
      <c r="L28" s="35"/>
      <c r="M28" s="60"/>
      <c r="N28" s="58">
        <v>0.01</v>
      </c>
      <c r="P28" s="60"/>
      <c r="Q28" s="58">
        <v>1.4999999999999999E-2</v>
      </c>
      <c r="S28" s="60"/>
      <c r="T28" s="58">
        <v>1.7500000000000002E-2</v>
      </c>
    </row>
    <row r="29" spans="2:20">
      <c r="B29" s="161"/>
      <c r="C29" s="68"/>
      <c r="D29" t="s">
        <v>29</v>
      </c>
      <c r="E29" s="138" t="s">
        <v>208</v>
      </c>
      <c r="F29" s="70"/>
      <c r="G29" s="60"/>
      <c r="H29" s="58">
        <v>5.0000000000000001E-3</v>
      </c>
      <c r="J29" s="60"/>
      <c r="K29" s="58">
        <v>8.0000000000000002E-3</v>
      </c>
      <c r="L29" s="35"/>
      <c r="M29" s="60"/>
      <c r="N29" s="58">
        <v>0.01</v>
      </c>
      <c r="P29" s="60"/>
      <c r="Q29" s="58">
        <v>1.4999999999999999E-2</v>
      </c>
      <c r="S29" s="60"/>
      <c r="T29" s="58">
        <v>1.7500000000000002E-2</v>
      </c>
    </row>
    <row r="30" spans="2:20">
      <c r="B30" s="161"/>
      <c r="C30" s="68"/>
      <c r="D30" t="s">
        <v>184</v>
      </c>
      <c r="E30" s="138" t="s">
        <v>209</v>
      </c>
      <c r="G30" s="60"/>
      <c r="H30" s="58">
        <v>5.0000000000000001E-3</v>
      </c>
      <c r="J30" s="60"/>
      <c r="K30" s="58">
        <v>8.0000000000000002E-3</v>
      </c>
      <c r="L30" s="35"/>
      <c r="M30" s="60"/>
      <c r="N30" s="58">
        <v>0.01</v>
      </c>
      <c r="P30" s="60"/>
      <c r="Q30" s="58">
        <v>1.4999999999999999E-2</v>
      </c>
      <c r="S30" s="60"/>
      <c r="T30" s="58">
        <v>1.7500000000000002E-2</v>
      </c>
    </row>
    <row r="31" spans="2:20">
      <c r="B31" s="161"/>
      <c r="C31" s="68"/>
      <c r="D31" t="s">
        <v>185</v>
      </c>
      <c r="E31" s="138" t="s">
        <v>210</v>
      </c>
      <c r="F31" s="70"/>
      <c r="G31" s="60"/>
      <c r="H31" s="58">
        <v>5.0000000000000001E-3</v>
      </c>
      <c r="J31" s="60"/>
      <c r="K31" s="58">
        <v>8.0000000000000002E-3</v>
      </c>
      <c r="L31" s="35"/>
      <c r="M31" s="60"/>
      <c r="N31" s="58">
        <v>0.01</v>
      </c>
      <c r="P31" s="60"/>
      <c r="Q31" s="58">
        <v>1.4999999999999999E-2</v>
      </c>
      <c r="S31" s="60"/>
      <c r="T31" s="58">
        <v>1.7500000000000002E-2</v>
      </c>
    </row>
    <row r="32" spans="2:20">
      <c r="B32" s="161"/>
      <c r="C32" s="68"/>
      <c r="D32" t="s">
        <v>186</v>
      </c>
      <c r="E32" s="138" t="s">
        <v>211</v>
      </c>
      <c r="F32" s="70"/>
      <c r="G32" s="60"/>
      <c r="H32" s="58">
        <v>5.0000000000000001E-3</v>
      </c>
      <c r="J32" s="60"/>
      <c r="K32" s="58">
        <v>8.0000000000000002E-3</v>
      </c>
      <c r="L32" s="35"/>
      <c r="M32" s="60"/>
      <c r="N32" s="58">
        <v>0.01</v>
      </c>
      <c r="P32" s="60"/>
      <c r="Q32" s="58">
        <v>1.4999999999999999E-2</v>
      </c>
      <c r="S32" s="60"/>
      <c r="T32" s="58">
        <v>1.7500000000000002E-2</v>
      </c>
    </row>
    <row r="33" spans="2:20">
      <c r="B33" s="161"/>
      <c r="C33" s="68"/>
      <c r="D33" t="s">
        <v>187</v>
      </c>
      <c r="E33" s="138" t="s">
        <v>212</v>
      </c>
      <c r="F33" s="70"/>
      <c r="G33" s="60"/>
      <c r="H33" s="58">
        <v>5.0000000000000001E-3</v>
      </c>
      <c r="J33" s="60"/>
      <c r="K33" s="58">
        <v>8.0000000000000002E-3</v>
      </c>
      <c r="L33" s="35"/>
      <c r="M33" s="60"/>
      <c r="N33" s="58">
        <v>0.01</v>
      </c>
      <c r="P33" s="60"/>
      <c r="Q33" s="58">
        <v>1.4999999999999999E-2</v>
      </c>
      <c r="S33" s="60"/>
      <c r="T33" s="58">
        <v>1.7500000000000002E-2</v>
      </c>
    </row>
    <row r="34" spans="2:20">
      <c r="B34" s="161"/>
      <c r="C34" s="68"/>
      <c r="D34" t="s">
        <v>188</v>
      </c>
      <c r="E34" s="138" t="s">
        <v>213</v>
      </c>
      <c r="G34" s="60"/>
      <c r="H34" s="58">
        <v>5.0000000000000001E-3</v>
      </c>
      <c r="J34" s="60"/>
      <c r="K34" s="58">
        <v>8.0000000000000002E-3</v>
      </c>
      <c r="L34" s="35"/>
      <c r="M34" s="60"/>
      <c r="N34" s="58">
        <v>0.01</v>
      </c>
      <c r="P34" s="60"/>
      <c r="Q34" s="58">
        <v>1.4999999999999999E-2</v>
      </c>
      <c r="S34" s="60"/>
      <c r="T34" s="58">
        <v>1.7500000000000002E-2</v>
      </c>
    </row>
    <row r="35" spans="2:20">
      <c r="B35" s="161"/>
      <c r="C35" s="68"/>
      <c r="D35" t="s">
        <v>151</v>
      </c>
      <c r="E35" s="138" t="s">
        <v>214</v>
      </c>
      <c r="F35" s="70"/>
      <c r="G35" s="60"/>
      <c r="H35" s="58">
        <v>5.0000000000000001E-3</v>
      </c>
      <c r="J35" s="60"/>
      <c r="K35" s="58">
        <v>8.0000000000000002E-3</v>
      </c>
      <c r="L35" s="35"/>
      <c r="M35" s="60"/>
      <c r="N35" s="58">
        <v>0.01</v>
      </c>
      <c r="P35" s="60"/>
      <c r="Q35" s="58">
        <v>1.4999999999999999E-2</v>
      </c>
      <c r="S35" s="60"/>
      <c r="T35" s="58">
        <v>1.7500000000000002E-2</v>
      </c>
    </row>
    <row r="36" spans="2:20">
      <c r="B36" s="161"/>
      <c r="C36" s="68"/>
      <c r="D36" t="s">
        <v>189</v>
      </c>
      <c r="E36" s="138" t="s">
        <v>215</v>
      </c>
      <c r="F36" s="70"/>
      <c r="G36" s="60"/>
      <c r="H36" s="58">
        <v>5.0000000000000001E-3</v>
      </c>
      <c r="J36" s="60"/>
      <c r="K36" s="58">
        <v>8.0000000000000002E-3</v>
      </c>
      <c r="L36" s="35"/>
      <c r="M36" s="60"/>
      <c r="N36" s="58">
        <v>0.01</v>
      </c>
      <c r="P36" s="60"/>
      <c r="Q36" s="58">
        <v>1.4999999999999999E-2</v>
      </c>
      <c r="S36" s="60"/>
      <c r="T36" s="58">
        <v>1.7500000000000002E-2</v>
      </c>
    </row>
    <row r="37" spans="2:20">
      <c r="B37" s="161"/>
      <c r="C37" s="68"/>
      <c r="D37" t="s">
        <v>32</v>
      </c>
      <c r="E37" s="138" t="s">
        <v>216</v>
      </c>
      <c r="F37" s="70"/>
      <c r="G37" s="60"/>
      <c r="H37" s="58">
        <v>5.0000000000000001E-3</v>
      </c>
      <c r="J37" s="60"/>
      <c r="K37" s="58">
        <v>8.0000000000000002E-3</v>
      </c>
      <c r="L37" s="35"/>
      <c r="M37" s="60"/>
      <c r="N37" s="58">
        <v>0.01</v>
      </c>
      <c r="P37" s="60"/>
      <c r="Q37" s="58">
        <v>1.4999999999999999E-2</v>
      </c>
      <c r="S37" s="60"/>
      <c r="T37" s="58">
        <v>1.7500000000000002E-2</v>
      </c>
    </row>
    <row r="38" spans="2:20">
      <c r="B38" s="161"/>
      <c r="C38" s="68"/>
      <c r="D38" t="s">
        <v>190</v>
      </c>
      <c r="E38" s="138" t="s">
        <v>217</v>
      </c>
      <c r="F38" s="70"/>
      <c r="G38" s="60"/>
      <c r="H38" s="58">
        <v>5.0000000000000001E-3</v>
      </c>
      <c r="J38" s="60"/>
      <c r="K38" s="58">
        <v>8.0000000000000002E-3</v>
      </c>
      <c r="L38" s="35"/>
      <c r="M38" s="60"/>
      <c r="N38" s="58">
        <v>0.01</v>
      </c>
      <c r="P38" s="60"/>
      <c r="Q38" s="58">
        <v>1.4999999999999999E-2</v>
      </c>
      <c r="S38" s="60"/>
      <c r="T38" s="58">
        <v>1.7500000000000002E-2</v>
      </c>
    </row>
    <row r="39" spans="2:20">
      <c r="B39" s="161"/>
      <c r="C39" s="68"/>
      <c r="D39" t="s">
        <v>191</v>
      </c>
      <c r="E39" s="138" t="s">
        <v>218</v>
      </c>
      <c r="F39" s="70"/>
      <c r="G39" s="60"/>
      <c r="H39" s="58">
        <v>5.0000000000000001E-3</v>
      </c>
      <c r="J39" s="60"/>
      <c r="K39" s="58">
        <v>8.0000000000000002E-3</v>
      </c>
      <c r="L39" s="35"/>
      <c r="M39" s="60"/>
      <c r="N39" s="58">
        <v>0.01</v>
      </c>
      <c r="P39" s="60"/>
      <c r="Q39" s="58">
        <v>1.4999999999999999E-2</v>
      </c>
      <c r="S39" s="60"/>
      <c r="T39" s="58">
        <v>1.7500000000000002E-2</v>
      </c>
    </row>
    <row r="40" spans="2:20">
      <c r="B40" s="161"/>
      <c r="C40" s="68"/>
      <c r="D40" t="s">
        <v>192</v>
      </c>
      <c r="E40" s="138" t="s">
        <v>219</v>
      </c>
      <c r="G40" s="60"/>
      <c r="H40" s="58">
        <v>5.0000000000000001E-3</v>
      </c>
      <c r="J40" s="60"/>
      <c r="K40" s="58">
        <v>8.0000000000000002E-3</v>
      </c>
      <c r="L40" s="35"/>
      <c r="M40" s="60"/>
      <c r="N40" s="58">
        <v>0.01</v>
      </c>
      <c r="P40" s="60"/>
      <c r="Q40" s="58">
        <v>1.4999999999999999E-2</v>
      </c>
      <c r="S40" s="60"/>
      <c r="T40" s="58">
        <v>1.7500000000000002E-2</v>
      </c>
    </row>
    <row r="41" spans="2:20">
      <c r="B41" s="161"/>
      <c r="C41" s="68"/>
      <c r="D41" t="s">
        <v>193</v>
      </c>
      <c r="E41" s="138" t="s">
        <v>220</v>
      </c>
      <c r="G41" s="60"/>
      <c r="H41" s="58">
        <v>5.0000000000000001E-3</v>
      </c>
      <c r="J41" s="60"/>
      <c r="K41" s="58">
        <v>8.0000000000000002E-3</v>
      </c>
      <c r="L41" s="35"/>
      <c r="M41" s="60"/>
      <c r="N41" s="58">
        <v>0.01</v>
      </c>
      <c r="P41" s="60"/>
      <c r="Q41" s="58">
        <v>1.4999999999999999E-2</v>
      </c>
      <c r="S41" s="60"/>
      <c r="T41" s="58">
        <v>1.7500000000000002E-2</v>
      </c>
    </row>
    <row r="42" spans="2:20">
      <c r="B42" s="161"/>
      <c r="C42" s="68"/>
      <c r="D42" t="s">
        <v>54</v>
      </c>
      <c r="E42" s="138" t="s">
        <v>221</v>
      </c>
      <c r="G42" s="60"/>
      <c r="H42" s="58">
        <v>5.0000000000000001E-3</v>
      </c>
      <c r="J42" s="60"/>
      <c r="K42" s="58">
        <v>8.0000000000000002E-3</v>
      </c>
      <c r="L42" s="35"/>
      <c r="M42" s="60"/>
      <c r="N42" s="58">
        <v>0.01</v>
      </c>
      <c r="P42" s="60"/>
      <c r="Q42" s="58">
        <v>1.4999999999999999E-2</v>
      </c>
      <c r="S42" s="60"/>
      <c r="T42" s="58">
        <v>1.7500000000000002E-2</v>
      </c>
    </row>
    <row r="43" spans="2:20">
      <c r="B43" s="161"/>
      <c r="C43" s="68"/>
      <c r="D43" t="s">
        <v>53</v>
      </c>
      <c r="E43" s="138" t="s">
        <v>222</v>
      </c>
      <c r="G43" s="60"/>
      <c r="H43" s="58">
        <v>5.0000000000000001E-3</v>
      </c>
      <c r="J43" s="60"/>
      <c r="K43" s="58">
        <v>8.0000000000000002E-3</v>
      </c>
      <c r="L43" s="35"/>
      <c r="M43" s="60"/>
      <c r="N43" s="58">
        <v>0.01</v>
      </c>
      <c r="P43" s="60"/>
      <c r="Q43" s="58">
        <v>1.4999999999999999E-2</v>
      </c>
      <c r="S43" s="60"/>
      <c r="T43" s="58">
        <v>1.7500000000000002E-2</v>
      </c>
    </row>
    <row r="44" spans="2:20">
      <c r="B44" s="161"/>
      <c r="C44" s="68"/>
      <c r="D44" t="s">
        <v>155</v>
      </c>
      <c r="E44" s="138" t="s">
        <v>223</v>
      </c>
      <c r="F44" s="70"/>
      <c r="G44" s="60"/>
      <c r="H44" s="58">
        <v>5.0000000000000001E-3</v>
      </c>
      <c r="J44" s="60"/>
      <c r="K44" s="58">
        <v>8.0000000000000002E-3</v>
      </c>
      <c r="L44" s="35"/>
      <c r="M44" s="60"/>
      <c r="N44" s="58">
        <v>0.01</v>
      </c>
      <c r="P44" s="60"/>
      <c r="Q44" s="58">
        <v>1.4999999999999999E-2</v>
      </c>
      <c r="S44" s="60"/>
      <c r="T44" s="58">
        <v>1.7500000000000002E-2</v>
      </c>
    </row>
    <row r="45" spans="2:20">
      <c r="B45" s="161"/>
      <c r="C45" s="68"/>
      <c r="D45" t="s">
        <v>31</v>
      </c>
      <c r="E45" s="138" t="s">
        <v>224</v>
      </c>
      <c r="F45" s="70"/>
      <c r="G45" s="60"/>
      <c r="H45" s="58">
        <v>5.0000000000000001E-3</v>
      </c>
      <c r="J45" s="60"/>
      <c r="K45" s="58">
        <v>8.0000000000000002E-3</v>
      </c>
      <c r="L45" s="35"/>
      <c r="M45" s="60"/>
      <c r="N45" s="58">
        <v>0.01</v>
      </c>
      <c r="P45" s="60"/>
      <c r="Q45" s="58">
        <v>1.4999999999999999E-2</v>
      </c>
      <c r="S45" s="60"/>
      <c r="T45" s="58">
        <v>1.7500000000000002E-2</v>
      </c>
    </row>
    <row r="46" spans="2:20">
      <c r="B46" s="161"/>
      <c r="C46" s="68"/>
      <c r="D46" t="s">
        <v>194</v>
      </c>
      <c r="E46" s="138" t="s">
        <v>225</v>
      </c>
      <c r="F46" s="70"/>
      <c r="G46" s="60"/>
      <c r="H46" s="58">
        <v>5.0000000000000001E-3</v>
      </c>
      <c r="J46" s="60"/>
      <c r="K46" s="58">
        <v>8.0000000000000002E-3</v>
      </c>
      <c r="L46" s="35"/>
      <c r="M46" s="60"/>
      <c r="N46" s="58">
        <v>0.01</v>
      </c>
      <c r="P46" s="60"/>
      <c r="Q46" s="58">
        <v>1.4999999999999999E-2</v>
      </c>
      <c r="S46" s="60"/>
      <c r="T46" s="58">
        <v>1.7500000000000002E-2</v>
      </c>
    </row>
    <row r="47" spans="2:20">
      <c r="B47" s="161"/>
      <c r="C47" s="68"/>
      <c r="D47" t="s">
        <v>195</v>
      </c>
      <c r="E47" s="138" t="s">
        <v>226</v>
      </c>
      <c r="G47" s="60"/>
      <c r="H47" s="58">
        <v>5.0000000000000001E-3</v>
      </c>
      <c r="J47" s="60"/>
      <c r="K47" s="58">
        <v>8.0000000000000002E-3</v>
      </c>
      <c r="L47" s="35"/>
      <c r="M47" s="60"/>
      <c r="N47" s="58">
        <v>0.01</v>
      </c>
      <c r="P47" s="60"/>
      <c r="Q47" s="58">
        <v>1.4999999999999999E-2</v>
      </c>
      <c r="S47" s="60"/>
      <c r="T47" s="58">
        <v>1.7500000000000002E-2</v>
      </c>
    </row>
    <row r="48" spans="2:20">
      <c r="B48" s="161"/>
      <c r="C48" s="68"/>
      <c r="D48" t="s">
        <v>196</v>
      </c>
      <c r="E48" s="138" t="s">
        <v>227</v>
      </c>
      <c r="G48" s="60"/>
      <c r="H48" s="58">
        <v>5.0000000000000001E-3</v>
      </c>
      <c r="J48" s="60"/>
      <c r="K48" s="58">
        <v>8.0000000000000002E-3</v>
      </c>
      <c r="L48" s="35"/>
      <c r="M48" s="60"/>
      <c r="N48" s="58">
        <v>0.01</v>
      </c>
      <c r="P48" s="60"/>
      <c r="Q48" s="58">
        <v>1.4999999999999999E-2</v>
      </c>
      <c r="S48" s="60"/>
      <c r="T48" s="58">
        <v>1.7500000000000002E-2</v>
      </c>
    </row>
    <row r="49" spans="2:20">
      <c r="B49" s="161"/>
      <c r="C49" s="68"/>
      <c r="D49" t="s">
        <v>197</v>
      </c>
      <c r="E49" s="138" t="s">
        <v>228</v>
      </c>
      <c r="G49" s="60"/>
      <c r="H49" s="58">
        <v>5.0000000000000001E-3</v>
      </c>
      <c r="J49" s="60"/>
      <c r="K49" s="58">
        <v>8.0000000000000002E-3</v>
      </c>
      <c r="L49" s="35"/>
      <c r="M49" s="60"/>
      <c r="N49" s="58">
        <v>0.01</v>
      </c>
      <c r="P49" s="60"/>
      <c r="Q49" s="58">
        <v>1.4999999999999999E-2</v>
      </c>
      <c r="S49" s="60"/>
      <c r="T49" s="58">
        <v>1.7500000000000002E-2</v>
      </c>
    </row>
    <row r="50" spans="2:20">
      <c r="B50" s="161"/>
      <c r="C50" s="68"/>
      <c r="D50" t="s">
        <v>34</v>
      </c>
      <c r="E50" s="138" t="s">
        <v>229</v>
      </c>
      <c r="F50" s="70"/>
      <c r="G50" s="60"/>
      <c r="H50" s="58">
        <v>5.0000000000000001E-3</v>
      </c>
      <c r="J50" s="60"/>
      <c r="K50" s="58">
        <v>8.0000000000000002E-3</v>
      </c>
      <c r="L50" s="35"/>
      <c r="M50" s="60"/>
      <c r="N50" s="58">
        <v>0.01</v>
      </c>
      <c r="P50" s="60"/>
      <c r="Q50" s="58">
        <v>1.4999999999999999E-2</v>
      </c>
      <c r="S50" s="60"/>
      <c r="T50" s="58">
        <v>1.7500000000000002E-2</v>
      </c>
    </row>
    <row r="51" spans="2:20">
      <c r="B51" s="161"/>
      <c r="C51" s="68"/>
      <c r="D51" t="s">
        <v>198</v>
      </c>
      <c r="E51" s="138" t="s">
        <v>230</v>
      </c>
      <c r="F51" s="70"/>
      <c r="G51" s="60"/>
      <c r="H51" s="58">
        <v>5.0000000000000001E-3</v>
      </c>
      <c r="J51" s="60"/>
      <c r="K51" s="58">
        <v>8.0000000000000002E-3</v>
      </c>
      <c r="L51" s="35"/>
      <c r="M51" s="60"/>
      <c r="N51" s="58">
        <v>0.01</v>
      </c>
      <c r="P51" s="60"/>
      <c r="Q51" s="58">
        <v>1.4999999999999999E-2</v>
      </c>
      <c r="S51" s="60"/>
      <c r="T51" s="58">
        <v>1.7500000000000002E-2</v>
      </c>
    </row>
    <row r="52" spans="2:20">
      <c r="B52" s="161"/>
      <c r="C52" s="68"/>
      <c r="D52" t="s">
        <v>199</v>
      </c>
      <c r="E52" s="138" t="s">
        <v>231</v>
      </c>
      <c r="F52" s="70"/>
      <c r="G52" s="60"/>
      <c r="H52" s="58">
        <v>5.0000000000000001E-3</v>
      </c>
      <c r="J52" s="60"/>
      <c r="K52" s="58">
        <v>8.0000000000000002E-3</v>
      </c>
      <c r="L52" s="35"/>
      <c r="M52" s="60"/>
      <c r="N52" s="58">
        <v>0.01</v>
      </c>
      <c r="P52" s="60"/>
      <c r="Q52" s="58">
        <v>1.4999999999999999E-2</v>
      </c>
      <c r="S52" s="60"/>
      <c r="T52" s="58">
        <v>1.7500000000000002E-2</v>
      </c>
    </row>
    <row r="53" spans="2:20" ht="15.75" thickBot="1">
      <c r="B53" s="162"/>
      <c r="C53" s="71"/>
      <c r="D53" s="72"/>
      <c r="E53" s="73"/>
      <c r="G53" s="74"/>
      <c r="H53" s="75">
        <f>SUM(H19:H52)</f>
        <v>0.17000000000000007</v>
      </c>
      <c r="J53" s="74"/>
      <c r="K53" s="75">
        <f>SUM(K19:K52)</f>
        <v>0.27200000000000019</v>
      </c>
      <c r="M53" s="74"/>
      <c r="N53" s="75">
        <f>SUM(N19:N52)</f>
        <v>0.34000000000000014</v>
      </c>
      <c r="P53" s="74"/>
      <c r="Q53" s="75">
        <f>SUM(Q19:Q52)</f>
        <v>0.51000000000000034</v>
      </c>
      <c r="S53" s="74"/>
      <c r="T53" s="75">
        <f>SUM(T19:T52)</f>
        <v>0.59500000000000008</v>
      </c>
    </row>
    <row r="54" spans="2:20" ht="15.75" thickBot="1">
      <c r="B54"/>
      <c r="C54"/>
      <c r="D54"/>
      <c r="E54"/>
      <c r="F54"/>
      <c r="G54"/>
      <c r="H54"/>
      <c r="I54"/>
      <c r="J54"/>
      <c r="K54"/>
      <c r="L54"/>
      <c r="M54"/>
      <c r="N54"/>
      <c r="O54"/>
      <c r="P54"/>
      <c r="Q54"/>
      <c r="R54"/>
      <c r="S54"/>
      <c r="T54"/>
    </row>
    <row r="55" spans="2:20" ht="15.75" thickBot="1">
      <c r="B55" s="127"/>
      <c r="C55" s="128"/>
      <c r="D55" s="128"/>
      <c r="E55" s="128" t="s">
        <v>106</v>
      </c>
      <c r="G55" s="80"/>
      <c r="H55" s="80">
        <f>H53</f>
        <v>0.17000000000000007</v>
      </c>
      <c r="I55" s="81"/>
      <c r="J55" s="80"/>
      <c r="K55" s="80">
        <f>K53</f>
        <v>0.27200000000000019</v>
      </c>
      <c r="L55" s="49"/>
      <c r="M55" s="80"/>
      <c r="N55" s="80">
        <f>N53</f>
        <v>0.34000000000000014</v>
      </c>
      <c r="O55" s="49"/>
      <c r="P55" s="80"/>
      <c r="Q55" s="80">
        <f>Q53</f>
        <v>0.51000000000000034</v>
      </c>
      <c r="R55" s="49"/>
      <c r="S55" s="80"/>
      <c r="T55" s="80">
        <f>T53</f>
        <v>0.59500000000000008</v>
      </c>
    </row>
    <row r="56" spans="2:20" ht="15.75" thickBot="1">
      <c r="B56"/>
      <c r="C56"/>
      <c r="D56"/>
      <c r="E56"/>
      <c r="F56"/>
      <c r="G56"/>
      <c r="H56"/>
      <c r="I56"/>
      <c r="J56"/>
      <c r="K56"/>
      <c r="L56"/>
      <c r="M56"/>
      <c r="N56"/>
      <c r="O56"/>
      <c r="P56"/>
      <c r="Q56"/>
      <c r="R56"/>
      <c r="S56"/>
      <c r="T56"/>
    </row>
    <row r="57" spans="2:20">
      <c r="B57" s="160" t="s">
        <v>133</v>
      </c>
      <c r="C57" s="178" t="s">
        <v>134</v>
      </c>
      <c r="D57" s="77" t="s">
        <v>1148</v>
      </c>
      <c r="E57" s="66" t="s">
        <v>1149</v>
      </c>
      <c r="F57" s="170"/>
      <c r="G57" s="189"/>
      <c r="H57" s="151">
        <v>0</v>
      </c>
      <c r="I57" s="173"/>
      <c r="J57" s="166"/>
      <c r="K57" s="151">
        <v>0.02</v>
      </c>
      <c r="L57" s="173"/>
      <c r="M57" s="166"/>
      <c r="N57" s="151">
        <v>0.04</v>
      </c>
      <c r="O57" s="173"/>
      <c r="P57" s="166"/>
      <c r="Q57" s="151">
        <v>0.04</v>
      </c>
      <c r="R57" s="173"/>
      <c r="S57" s="166"/>
      <c r="T57" s="154">
        <v>0.05</v>
      </c>
    </row>
    <row r="58" spans="2:20">
      <c r="B58" s="161"/>
      <c r="C58" s="188"/>
      <c r="D58" s="82" t="s">
        <v>1151</v>
      </c>
      <c r="E58" s="148" t="s">
        <v>1152</v>
      </c>
      <c r="F58" s="170"/>
      <c r="G58" s="172"/>
      <c r="H58" s="152">
        <v>0</v>
      </c>
      <c r="I58" s="173"/>
      <c r="J58" s="167"/>
      <c r="K58" s="152">
        <v>0.01</v>
      </c>
      <c r="L58" s="173"/>
      <c r="M58" s="167"/>
      <c r="N58" s="152">
        <v>0.02</v>
      </c>
      <c r="O58" s="173"/>
      <c r="P58" s="167"/>
      <c r="Q58" s="152">
        <v>0.02</v>
      </c>
      <c r="R58" s="173"/>
      <c r="S58" s="167"/>
      <c r="T58" s="155">
        <v>0.04</v>
      </c>
    </row>
    <row r="59" spans="2:20">
      <c r="B59" s="161"/>
      <c r="C59" s="168" t="s">
        <v>1479</v>
      </c>
      <c r="D59" s="83" t="s">
        <v>1154</v>
      </c>
      <c r="E59" s="84" t="s">
        <v>1155</v>
      </c>
      <c r="F59" s="170"/>
      <c r="G59" s="171"/>
      <c r="H59" s="152">
        <v>0</v>
      </c>
      <c r="I59" s="173"/>
      <c r="J59" s="167"/>
      <c r="K59" s="152">
        <v>0.01</v>
      </c>
      <c r="L59" s="173"/>
      <c r="M59" s="167"/>
      <c r="N59" s="152">
        <v>0.02</v>
      </c>
      <c r="O59" s="173"/>
      <c r="P59" s="167"/>
      <c r="Q59" s="152">
        <v>0.02</v>
      </c>
      <c r="R59" s="173"/>
      <c r="S59" s="167"/>
      <c r="T59" s="155">
        <v>0.04</v>
      </c>
    </row>
    <row r="60" spans="2:20">
      <c r="B60" s="161"/>
      <c r="C60" s="169"/>
      <c r="D60" s="85" t="s">
        <v>1157</v>
      </c>
      <c r="E60" s="86" t="s">
        <v>1158</v>
      </c>
      <c r="F60" s="170"/>
      <c r="G60" s="172"/>
      <c r="H60" s="152">
        <v>0.03</v>
      </c>
      <c r="I60" s="173"/>
      <c r="J60" s="167"/>
      <c r="K60" s="152">
        <v>0.03</v>
      </c>
      <c r="L60" s="173"/>
      <c r="M60" s="167"/>
      <c r="N60" s="152">
        <v>0.06</v>
      </c>
      <c r="O60" s="173"/>
      <c r="P60" s="167"/>
      <c r="Q60" s="152">
        <v>0.06</v>
      </c>
      <c r="R60" s="173"/>
      <c r="S60" s="167"/>
      <c r="T60" s="155">
        <v>0.08</v>
      </c>
    </row>
    <row r="61" spans="2:20">
      <c r="B61" s="161"/>
      <c r="C61" s="174" t="s">
        <v>1480</v>
      </c>
      <c r="D61" s="83" t="s">
        <v>1160</v>
      </c>
      <c r="E61" s="84" t="s">
        <v>1161</v>
      </c>
      <c r="G61" s="171"/>
      <c r="H61" s="152">
        <v>0</v>
      </c>
      <c r="J61" s="167"/>
      <c r="K61" s="152">
        <v>0.02</v>
      </c>
      <c r="M61" s="167"/>
      <c r="N61" s="152">
        <v>0.04</v>
      </c>
      <c r="P61" s="167"/>
      <c r="Q61" s="152">
        <v>0.04</v>
      </c>
      <c r="S61" s="167"/>
      <c r="T61" s="155">
        <v>0.05</v>
      </c>
    </row>
    <row r="62" spans="2:20" ht="15.75" thickBot="1">
      <c r="B62" s="162"/>
      <c r="C62" s="175"/>
      <c r="D62" s="85" t="s">
        <v>1163</v>
      </c>
      <c r="E62" s="86" t="s">
        <v>1164</v>
      </c>
      <c r="G62" s="176"/>
      <c r="H62" s="153">
        <v>0</v>
      </c>
      <c r="I62" s="79"/>
      <c r="J62" s="177"/>
      <c r="K62" s="153">
        <v>0.02</v>
      </c>
      <c r="L62" s="79"/>
      <c r="M62" s="177"/>
      <c r="N62" s="153">
        <v>0.04</v>
      </c>
      <c r="O62" s="79"/>
      <c r="P62" s="177"/>
      <c r="Q62" s="153">
        <v>0.04</v>
      </c>
      <c r="R62" s="79"/>
      <c r="S62" s="177"/>
      <c r="T62" s="156">
        <v>0.05</v>
      </c>
    </row>
    <row r="63" spans="2:20" ht="15.75" thickBot="1">
      <c r="B63"/>
      <c r="C63"/>
      <c r="D63" s="149" t="s">
        <v>80</v>
      </c>
      <c r="E63" s="150" t="s">
        <v>1166</v>
      </c>
      <c r="F63"/>
      <c r="G63"/>
      <c r="H63" s="153">
        <v>0</v>
      </c>
      <c r="I63"/>
      <c r="J63"/>
      <c r="K63" s="153">
        <v>0.02</v>
      </c>
      <c r="L63"/>
      <c r="M63"/>
      <c r="N63" s="153">
        <v>0.04</v>
      </c>
      <c r="O63"/>
      <c r="P63"/>
      <c r="Q63" s="153">
        <v>0.02</v>
      </c>
      <c r="R63"/>
      <c r="S63"/>
      <c r="T63" s="156">
        <v>0.04</v>
      </c>
    </row>
    <row r="64" spans="2:20" ht="15.75" thickBot="1">
      <c r="B64" s="124"/>
      <c r="C64" s="125"/>
      <c r="D64" s="125"/>
      <c r="E64" s="126" t="s">
        <v>107</v>
      </c>
      <c r="F64" s="50"/>
      <c r="G64" s="87"/>
      <c r="H64" s="88">
        <f>SUM(H57:H62)</f>
        <v>0.03</v>
      </c>
      <c r="I64" s="81"/>
      <c r="J64" s="87"/>
      <c r="K64" s="88">
        <f>SUM(K57:K62)</f>
        <v>0.11000000000000001</v>
      </c>
      <c r="L64" s="81"/>
      <c r="M64" s="87"/>
      <c r="N64" s="88">
        <f>SUM(N57:N62)</f>
        <v>0.22000000000000003</v>
      </c>
      <c r="O64" s="81"/>
      <c r="P64" s="87"/>
      <c r="Q64" s="88">
        <f>SUM(Q57:Q62)</f>
        <v>0.22000000000000003</v>
      </c>
      <c r="R64" s="81"/>
      <c r="S64" s="87"/>
      <c r="T64" s="88">
        <f>SUM(T57:T62)</f>
        <v>0.31</v>
      </c>
    </row>
    <row r="65" spans="2:20" ht="15.75" thickBot="1">
      <c r="B65"/>
      <c r="C65"/>
      <c r="D65"/>
      <c r="E65"/>
      <c r="F65"/>
      <c r="G65"/>
      <c r="H65"/>
      <c r="I65"/>
      <c r="J65"/>
      <c r="K65"/>
      <c r="L65"/>
      <c r="M65"/>
      <c r="N65"/>
      <c r="O65"/>
      <c r="P65"/>
      <c r="Q65"/>
      <c r="R65"/>
      <c r="S65"/>
      <c r="T65"/>
    </row>
    <row r="66" spans="2:20">
      <c r="B66" s="163" t="s">
        <v>113</v>
      </c>
      <c r="C66" s="178" t="s">
        <v>135</v>
      </c>
      <c r="D66" s="77" t="s">
        <v>1179</v>
      </c>
      <c r="E66" s="66" t="s">
        <v>1180</v>
      </c>
      <c r="G66" s="67"/>
      <c r="H66" s="55">
        <v>0</v>
      </c>
      <c r="J66" s="67"/>
      <c r="K66" s="55">
        <v>0</v>
      </c>
      <c r="M66" s="67"/>
      <c r="N66" s="55">
        <v>0.01</v>
      </c>
      <c r="P66" s="67"/>
      <c r="Q66" s="55">
        <v>0.02</v>
      </c>
      <c r="S66" s="67"/>
      <c r="T66" s="55">
        <v>0.02</v>
      </c>
    </row>
    <row r="67" spans="2:20" ht="15.75" thickBot="1">
      <c r="B67" s="165"/>
      <c r="C67" s="175"/>
      <c r="D67" s="78"/>
      <c r="E67" s="76"/>
      <c r="G67" s="61"/>
      <c r="H67" s="62" t="s">
        <v>131</v>
      </c>
      <c r="J67" s="61"/>
      <c r="K67" s="62"/>
      <c r="M67" s="61"/>
      <c r="N67" s="62"/>
      <c r="P67" s="61"/>
      <c r="Q67" s="62"/>
      <c r="S67" s="61"/>
      <c r="T67" s="62"/>
    </row>
    <row r="68" spans="2:20" ht="15.75" thickBot="1">
      <c r="B68"/>
      <c r="C68"/>
      <c r="D68"/>
      <c r="E68"/>
      <c r="F68"/>
      <c r="G68"/>
      <c r="H68"/>
      <c r="I68"/>
      <c r="J68"/>
      <c r="K68"/>
      <c r="L68"/>
      <c r="M68"/>
      <c r="N68"/>
      <c r="O68"/>
      <c r="P68"/>
      <c r="Q68"/>
      <c r="R68"/>
      <c r="S68"/>
      <c r="T68"/>
    </row>
    <row r="69" spans="2:20" ht="15.75" thickBot="1">
      <c r="B69" s="179" t="s">
        <v>113</v>
      </c>
      <c r="C69" s="180"/>
      <c r="D69" s="180"/>
      <c r="E69" s="181"/>
      <c r="F69" s="45"/>
      <c r="G69" s="89"/>
      <c r="H69" s="89">
        <f>SUM(H66:H67)</f>
        <v>0</v>
      </c>
      <c r="I69" s="49"/>
      <c r="J69" s="89"/>
      <c r="K69" s="89">
        <f>SUM(K66:K67)</f>
        <v>0</v>
      </c>
      <c r="L69" s="49"/>
      <c r="M69" s="89"/>
      <c r="N69" s="89">
        <f>SUM(N66:N67)</f>
        <v>0.01</v>
      </c>
      <c r="O69" s="49"/>
      <c r="P69" s="89"/>
      <c r="Q69" s="89">
        <f>SUM(Q66:Q67)</f>
        <v>0.02</v>
      </c>
      <c r="R69" s="49"/>
      <c r="S69" s="89"/>
      <c r="T69" s="89">
        <f>SUM(T66:T67)</f>
        <v>0.02</v>
      </c>
    </row>
    <row r="70" spans="2:20">
      <c r="B70" s="38"/>
      <c r="D70" s="63"/>
      <c r="G70" s="81"/>
      <c r="H70" s="81"/>
      <c r="J70" s="81"/>
      <c r="K70" s="81"/>
      <c r="M70" s="81"/>
      <c r="N70" s="81"/>
      <c r="O70" s="81"/>
      <c r="P70" s="81"/>
      <c r="Q70" s="81"/>
      <c r="R70" s="81"/>
      <c r="S70" s="81"/>
      <c r="T70" s="81"/>
    </row>
    <row r="71" spans="2:20" ht="15.75" thickBot="1">
      <c r="B71" s="38"/>
    </row>
    <row r="72" spans="2:20" ht="15.75" thickBot="1">
      <c r="B72" s="182" t="s">
        <v>136</v>
      </c>
      <c r="C72" s="183"/>
      <c r="D72" s="183"/>
      <c r="E72" s="184"/>
      <c r="F72" s="45"/>
      <c r="G72" s="90"/>
      <c r="H72" s="90">
        <f>+H55+H64+H69</f>
        <v>0.20000000000000007</v>
      </c>
      <c r="I72" s="49"/>
      <c r="J72" s="90"/>
      <c r="K72" s="90">
        <f>+K55+K64+K69</f>
        <v>0.38200000000000023</v>
      </c>
      <c r="L72" s="49"/>
      <c r="M72" s="90"/>
      <c r="N72" s="90">
        <f>+N55+N64+N69</f>
        <v>0.57000000000000017</v>
      </c>
      <c r="O72" s="49"/>
      <c r="P72" s="90"/>
      <c r="Q72" s="90">
        <f>+Q55+Q64+Q69</f>
        <v>0.75000000000000044</v>
      </c>
      <c r="R72" s="49"/>
      <c r="S72" s="90"/>
      <c r="T72" s="90">
        <f>+T55+T64+T69</f>
        <v>0.92500000000000004</v>
      </c>
    </row>
    <row r="73" spans="2:20" ht="15.75" thickBot="1">
      <c r="B73" s="38"/>
    </row>
    <row r="74" spans="2:20" ht="15.75" thickBot="1">
      <c r="B74" s="185" t="s">
        <v>111</v>
      </c>
      <c r="C74" s="186"/>
      <c r="D74" s="186"/>
      <c r="E74" s="187"/>
      <c r="F74" s="45"/>
      <c r="G74" s="91"/>
      <c r="H74" s="91">
        <f>+H17+H72</f>
        <v>0.98000000000000009</v>
      </c>
      <c r="I74" s="49"/>
      <c r="J74" s="91"/>
      <c r="K74" s="91">
        <f>+K17+K72</f>
        <v>0.9620000000000003</v>
      </c>
      <c r="L74" s="49"/>
      <c r="M74" s="91"/>
      <c r="N74" s="91">
        <f>+N17+N72</f>
        <v>0.95000000000000018</v>
      </c>
      <c r="O74" s="49"/>
      <c r="P74" s="91"/>
      <c r="Q74" s="91">
        <f>+Q17+Q72</f>
        <v>0.98000000000000043</v>
      </c>
      <c r="R74" s="49"/>
      <c r="S74" s="91"/>
      <c r="T74" s="91">
        <f>+T17+T72</f>
        <v>0.95500000000000007</v>
      </c>
    </row>
  </sheetData>
  <mergeCells count="36">
    <mergeCell ref="C66:C67"/>
    <mergeCell ref="B69:E69"/>
    <mergeCell ref="B72:E72"/>
    <mergeCell ref="B74:E74"/>
    <mergeCell ref="R59:R60"/>
    <mergeCell ref="B57:B62"/>
    <mergeCell ref="C57:C58"/>
    <mergeCell ref="F57:F58"/>
    <mergeCell ref="G57:G58"/>
    <mergeCell ref="I57:I58"/>
    <mergeCell ref="B66:B67"/>
    <mergeCell ref="P57:P58"/>
    <mergeCell ref="R57:R58"/>
    <mergeCell ref="S59:S60"/>
    <mergeCell ref="C61:C62"/>
    <mergeCell ref="G61:G62"/>
    <mergeCell ref="J61:J62"/>
    <mergeCell ref="M61:M62"/>
    <mergeCell ref="P61:P62"/>
    <mergeCell ref="S61:S62"/>
    <mergeCell ref="B19:B53"/>
    <mergeCell ref="B8:B15"/>
    <mergeCell ref="S57:S58"/>
    <mergeCell ref="C59:C60"/>
    <mergeCell ref="F59:F60"/>
    <mergeCell ref="G59:G60"/>
    <mergeCell ref="I59:I60"/>
    <mergeCell ref="J59:J60"/>
    <mergeCell ref="L59:L60"/>
    <mergeCell ref="M59:M60"/>
    <mergeCell ref="O59:O60"/>
    <mergeCell ref="P59:P60"/>
    <mergeCell ref="J57:J58"/>
    <mergeCell ref="L57:L58"/>
    <mergeCell ref="M57:M58"/>
    <mergeCell ref="O57:O5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Props1.xml><?xml version="1.0" encoding="utf-8"?>
<ds:datastoreItem xmlns:ds="http://schemas.openxmlformats.org/officeDocument/2006/customXml" ds:itemID="{62089834-970D-4FAD-B8AD-CA2EB58F9266}">
  <ds:schemaRefs>
    <ds:schemaRef ds:uri="http://schemas.microsoft.com/sharepoint/v3/contenttype/forms"/>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Dashboard</vt:lpstr>
      <vt:lpstr>Schwab Positions</vt:lpstr>
      <vt:lpstr>Schwab Balances</vt:lpstr>
      <vt:lpstr>Risk Tolerance</vt:lpstr>
      <vt:lpstr>Security Type</vt:lpstr>
      <vt:lpstr>2022 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2023-02-16T23:14:11Z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