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vantexe1-my.sharepoint.com/personal/jake_kressley_advantexe_com/Documents/"/>
    </mc:Choice>
  </mc:AlternateContent>
  <xr:revisionPtr revIDLastSave="2586" documentId="8_{C9CDCBFE-B07E-47A4-9863-1CB80BC83328}" xr6:coauthVersionLast="47" xr6:coauthVersionMax="47" xr10:uidLastSave="{E2275F21-71D8-4854-8585-BD79C0373B06}"/>
  <bookViews>
    <workbookView xWindow="-110" yWindow="-110" windowWidth="19420" windowHeight="10420" tabRatio="610" xr2:uid="{7A28AF07-9DBA-4605-8781-F108D4BD97DC}"/>
  </bookViews>
  <sheets>
    <sheet name="Sheet1" sheetId="1" r:id="rId1"/>
    <sheet name="Sheet2" sheetId="2" r:id="rId2"/>
    <sheet name="price forecast sheet" sheetId="3" r:id="rId3"/>
  </sheets>
  <definedNames>
    <definedName name="amajonDecision">Sheet1!$B$67:$H$67</definedName>
    <definedName name="BaseTotalUnitsSold">Sheet1!$B$26:$H$26</definedName>
    <definedName name="billboardDecision">Sheet1!$B$65:$H$65</definedName>
    <definedName name="COGS">Sheet1!$B$164:$H$164</definedName>
    <definedName name="commercialDecision">Sheet1!$B$61:$H$61</definedName>
    <definedName name="ContradictingLevers">Sheet1!$B$55:$H$55</definedName>
    <definedName name="createProductsDecision">Sheet1!$B$74:$H$74</definedName>
    <definedName name="decreasePackDecision">Sheet1!$B$49:$H$49</definedName>
    <definedName name="decreasePriceDecision">Sheet1!$B$48:$H$48</definedName>
    <definedName name="efficientDecision">Sheet1!$B$75:$H$75</definedName>
    <definedName name="europeDecision">Sheet1!$B$50:$H$50</definedName>
    <definedName name="eventDecision">Sheet1!$B$62:$H$62</definedName>
    <definedName name="ExpensesBudget">Sheet1!$B$85:$H$85</definedName>
    <definedName name="GrossMargin">Sheet1!$B$166:$H$166</definedName>
    <definedName name="GrossProfit">Sheet1!$B$165:$H$165</definedName>
    <definedName name="increasePriceDecision">Sheet1!$B$45:$H$45</definedName>
    <definedName name="InflationAllocation">Sheet1!$B$86:$H$86</definedName>
    <definedName name="InflationBudget">Sheet1!$B$91:$H$91</definedName>
    <definedName name="InflationChange">Sheet1!$B$95:$H$95</definedName>
    <definedName name="InflationExpenses">Sheet1!$B$117:$H$117</definedName>
    <definedName name="influencerDecision">Sheet1!$B$59:$H$59</definedName>
    <definedName name="KleanGirlBasePrice">Sheet1!$B$13:$H$13</definedName>
    <definedName name="KleanGirlBaseUnitsSold">Sheet1!$B$25:$H$25</definedName>
    <definedName name="KleanGirlCOGS">Sheet1!$B$40:$H$40</definedName>
    <definedName name="KleanGirlRevenue">Sheet1!$B$35:$H$35</definedName>
    <definedName name="KleanGirlUnitsSold">Sheet1!$B$30:$H$30</definedName>
    <definedName name="KressStickBasePrice">Sheet1!$B$12:$H$12</definedName>
    <definedName name="KressStickBaseUnitsSold">Sheet1!$B$24:$H$24</definedName>
    <definedName name="KressStickCOGS">Sheet1!$B$39:$H$39</definedName>
    <definedName name="KressStickPrice">Sheet1!$B$16:$H$16</definedName>
    <definedName name="KressStickRevenue">Sheet1!$B$34:$H$34</definedName>
    <definedName name="KressStickUnitsSold">Sheet1!$B$29:$H$29</definedName>
    <definedName name="layoffDecision">Sheet1!$B$47:$H$47</definedName>
    <definedName name="magazineDecision">Sheet1!$B$63:$H$63</definedName>
    <definedName name="mailDecision">Sheet1!$B$64:$H$64</definedName>
    <definedName name="MarketingAllocation">Sheet1!$B$87:$H$87</definedName>
    <definedName name="MarketingBudget">Sheet1!$B$92:$H$92</definedName>
    <definedName name="MarketingChange">Sheet1!$B$96:$H$96</definedName>
    <definedName name="ObKressedBasePrice">Sheet1!$B$11:$H$11</definedName>
    <definedName name="ObKressedBaseUnitsSold">Sheet1!$B$23:$H$23</definedName>
    <definedName name="ObKressedPrice">Sheet1!$B$15:$H$15</definedName>
    <definedName name="ObKressedRevenue">Sheet1!$B$33:$H$33</definedName>
    <definedName name="ObKressedUnitsSold">Sheet1!$B$28:$H$28</definedName>
    <definedName name="OperatingProfit">Sheet1!$B$169:$H$169</definedName>
    <definedName name="PNLNetincome">Sheet1!$B$171:$H$171</definedName>
    <definedName name="PNLNetRevenueTotal">Sheet1!$B$163:$H$163</definedName>
    <definedName name="previous2Step">Sheet1!$B$5</definedName>
    <definedName name="previous3Step">Sheet1!$B$6</definedName>
    <definedName name="previousStep">Sheet1!$B$4</definedName>
    <definedName name="ProperLeverNumbers">Sheet1!$B$78:$H$78</definedName>
    <definedName name="RDAllocation">Sheet1!$B$88:$H$88</definedName>
    <definedName name="RDBudget">Sheet1!$B$93:$H$93</definedName>
    <definedName name="RDCHange">Sheet1!$B$97:$H$97</definedName>
    <definedName name="relocateDecision">Sheet1!$B$46:$H$46</definedName>
    <definedName name="revampDecision">Sheet1!$B$72:$H$72</definedName>
    <definedName name="socialMediaDecision">Sheet1!$B$58:$H$58</definedName>
    <definedName name="sportsDecision">Sheet1!$B$68:$H$68</definedName>
    <definedName name="StartingStep">Sheet1!$B$2</definedName>
    <definedName name="Step">Sheet1!$B$3</definedName>
    <definedName name="storesDecision">Sheet1!$B$66:$H$66</definedName>
    <definedName name="sustainableDecision">Sheet1!$B$51:$H$51</definedName>
    <definedName name="Taxes">Sheet1!$B$170:$H$170</definedName>
    <definedName name="teamNameDecision">Sheet1!$B$8</definedName>
    <definedName name="testingDecision">Sheet1!$B$73:$H$73</definedName>
    <definedName name="Time">Sheet1!$B$1:$H$1</definedName>
    <definedName name="TotalAllocation">Sheet1!$B$89:$H$89</definedName>
    <definedName name="TotalCOGS">Sheet1!$B$41:$H$41</definedName>
    <definedName name="TotalInflationLevers">Sheet1!$B$52:$H$52</definedName>
    <definedName name="TotalMarketingExpenses">Sheet1!$B$145:$H$145</definedName>
    <definedName name="TotalMarketingLevers">Sheet1!$B$69:$H$69</definedName>
    <definedName name="TotalOperatingExpenses">Sheet1!$B$167:$H$167</definedName>
    <definedName name="TotalRDExpenses">Sheet1!$B$159:$H$159</definedName>
    <definedName name="TotalRDLevers">Sheet1!$B$76:$H$76</definedName>
    <definedName name="TotalRevenue">Sheet1!$B$36:$H$36</definedName>
    <definedName name="TotalUnitsSold">Sheet1!$B$31:$H$31</definedName>
    <definedName name="webAdsDecision">Sheet1!$B$60:$H$60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" l="1"/>
  <c r="C55" i="1"/>
  <c r="D55" i="1"/>
  <c r="F55" i="1"/>
  <c r="G55" i="1"/>
  <c r="H55" i="1"/>
  <c r="E55" i="1"/>
  <c r="C76" i="1"/>
  <c r="D76" i="1"/>
  <c r="E76" i="1"/>
  <c r="F76" i="1"/>
  <c r="G76" i="1"/>
  <c r="H76" i="1"/>
  <c r="B76" i="1"/>
  <c r="C69" i="1"/>
  <c r="D69" i="1"/>
  <c r="E69" i="1"/>
  <c r="F69" i="1"/>
  <c r="G69" i="1"/>
  <c r="H69" i="1"/>
  <c r="B69" i="1"/>
  <c r="B78" i="1" s="1"/>
  <c r="C52" i="1"/>
  <c r="C78" i="1" s="1"/>
  <c r="D52" i="1"/>
  <c r="D78" i="1" s="1"/>
  <c r="E52" i="1"/>
  <c r="E78" i="1" s="1"/>
  <c r="F52" i="1"/>
  <c r="F78" i="1" s="1"/>
  <c r="G52" i="1"/>
  <c r="G78" i="1" s="1"/>
  <c r="H52" i="1"/>
  <c r="B52" i="1"/>
  <c r="D128" i="1"/>
  <c r="D123" i="1"/>
  <c r="D126" i="1"/>
  <c r="D120" i="1"/>
  <c r="D155" i="1"/>
  <c r="D148" i="1"/>
  <c r="D142" i="1"/>
  <c r="D141" i="1"/>
  <c r="D137" i="1"/>
  <c r="D134" i="1"/>
  <c r="D114" i="1"/>
  <c r="D112" i="1"/>
  <c r="D111" i="1"/>
  <c r="D104" i="1"/>
  <c r="F105" i="1"/>
  <c r="G105" i="1"/>
  <c r="H105" i="1"/>
  <c r="F106" i="1"/>
  <c r="G106" i="1"/>
  <c r="H106" i="1"/>
  <c r="F116" i="1"/>
  <c r="G116" i="1"/>
  <c r="H116" i="1"/>
  <c r="F121" i="1"/>
  <c r="G121" i="1"/>
  <c r="H121" i="1"/>
  <c r="F128" i="1"/>
  <c r="G128" i="1"/>
  <c r="H128" i="1"/>
  <c r="F129" i="1"/>
  <c r="G129" i="1"/>
  <c r="H129" i="1"/>
  <c r="E92" i="1"/>
  <c r="E93" i="1"/>
  <c r="E91" i="1"/>
  <c r="F95" i="1"/>
  <c r="G95" i="1"/>
  <c r="H95" i="1"/>
  <c r="F97" i="1"/>
  <c r="G97" i="1"/>
  <c r="H97" i="1"/>
  <c r="C97" i="1"/>
  <c r="D97" i="1"/>
  <c r="E97" i="1"/>
  <c r="C96" i="1"/>
  <c r="D96" i="1"/>
  <c r="F96" i="1"/>
  <c r="G96" i="1"/>
  <c r="H96" i="1"/>
  <c r="E96" i="1"/>
  <c r="C95" i="1"/>
  <c r="D95" i="1"/>
  <c r="E95" i="1"/>
  <c r="C89" i="1"/>
  <c r="D89" i="1"/>
  <c r="E89" i="1"/>
  <c r="F89" i="1"/>
  <c r="G89" i="1"/>
  <c r="H89" i="1"/>
  <c r="B89" i="1"/>
  <c r="F85" i="1"/>
  <c r="F92" i="1" s="1"/>
  <c r="D85" i="1"/>
  <c r="C85" i="1" s="1"/>
  <c r="B85" i="1" s="1"/>
  <c r="B93" i="1" s="1"/>
  <c r="C111" i="1"/>
  <c r="B111" i="1"/>
  <c r="C126" i="1"/>
  <c r="B144" i="1"/>
  <c r="H155" i="1"/>
  <c r="G155" i="1"/>
  <c r="F155" i="1"/>
  <c r="B155" i="1"/>
  <c r="C155" i="1"/>
  <c r="B140" i="1"/>
  <c r="C140" i="1"/>
  <c r="D140" i="1"/>
  <c r="F140" i="1"/>
  <c r="G140" i="1"/>
  <c r="H140" i="1"/>
  <c r="F139" i="1"/>
  <c r="G139" i="1"/>
  <c r="H139" i="1"/>
  <c r="B139" i="1"/>
  <c r="C139" i="1"/>
  <c r="D139" i="1"/>
  <c r="F114" i="1"/>
  <c r="G114" i="1"/>
  <c r="H114" i="1"/>
  <c r="B114" i="1"/>
  <c r="C114" i="1"/>
  <c r="E121" i="1"/>
  <c r="E128" i="1"/>
  <c r="E129" i="1"/>
  <c r="E105" i="1"/>
  <c r="E106" i="1"/>
  <c r="E104" i="1"/>
  <c r="E114" i="1"/>
  <c r="F104" i="1"/>
  <c r="G104" i="1"/>
  <c r="H104" i="1"/>
  <c r="B104" i="1"/>
  <c r="C104" i="1"/>
  <c r="E102" i="1"/>
  <c r="E100" i="1"/>
  <c r="E20" i="1"/>
  <c r="F20" i="1" s="1"/>
  <c r="G20" i="1" s="1"/>
  <c r="H20" i="1" s="1"/>
  <c r="E21" i="1"/>
  <c r="F21" i="1" s="1"/>
  <c r="G21" i="1" s="1"/>
  <c r="H21" i="1" s="1"/>
  <c r="E19" i="1"/>
  <c r="F19" i="1" s="1"/>
  <c r="G19" i="1" s="1"/>
  <c r="H19" i="1" s="1"/>
  <c r="B143" i="1"/>
  <c r="C143" i="1"/>
  <c r="D143" i="1"/>
  <c r="G143" i="1"/>
  <c r="H143" i="1"/>
  <c r="F123" i="1"/>
  <c r="G123" i="1"/>
  <c r="H123" i="1"/>
  <c r="B123" i="1"/>
  <c r="C123" i="1"/>
  <c r="F124" i="1"/>
  <c r="G124" i="1"/>
  <c r="H124" i="1"/>
  <c r="B124" i="1"/>
  <c r="C124" i="1"/>
  <c r="D124" i="1"/>
  <c r="E124" i="1"/>
  <c r="B130" i="1"/>
  <c r="C130" i="1"/>
  <c r="D130" i="1"/>
  <c r="F130" i="1"/>
  <c r="G130" i="1"/>
  <c r="H130" i="1"/>
  <c r="E130" i="1"/>
  <c r="B128" i="1"/>
  <c r="C128" i="1"/>
  <c r="B121" i="1"/>
  <c r="C121" i="1"/>
  <c r="D121" i="1"/>
  <c r="E139" i="1"/>
  <c r="E140" i="1"/>
  <c r="E123" i="1"/>
  <c r="E127" i="1"/>
  <c r="E126" i="1"/>
  <c r="B126" i="1"/>
  <c r="F126" i="1"/>
  <c r="G126" i="1"/>
  <c r="H126" i="1"/>
  <c r="C144" i="1"/>
  <c r="D144" i="1"/>
  <c r="F144" i="1"/>
  <c r="G144" i="1"/>
  <c r="H144" i="1"/>
  <c r="E144" i="1"/>
  <c r="B141" i="1"/>
  <c r="C141" i="1"/>
  <c r="F141" i="1"/>
  <c r="G141" i="1"/>
  <c r="H141" i="1"/>
  <c r="E141" i="1"/>
  <c r="B137" i="1"/>
  <c r="C137" i="1"/>
  <c r="F137" i="1"/>
  <c r="G137" i="1"/>
  <c r="H137" i="1"/>
  <c r="E137" i="1"/>
  <c r="E116" i="1"/>
  <c r="F115" i="1"/>
  <c r="G115" i="1"/>
  <c r="H115" i="1"/>
  <c r="B115" i="1"/>
  <c r="C115" i="1"/>
  <c r="D115" i="1"/>
  <c r="E115" i="1"/>
  <c r="B106" i="1"/>
  <c r="C106" i="1"/>
  <c r="D106" i="1"/>
  <c r="B105" i="1"/>
  <c r="C105" i="1"/>
  <c r="D105" i="1"/>
  <c r="B116" i="1"/>
  <c r="C116" i="1"/>
  <c r="D116" i="1"/>
  <c r="B82" i="1"/>
  <c r="B81" i="1"/>
  <c r="C138" i="1"/>
  <c r="D138" i="1"/>
  <c r="E138" i="1"/>
  <c r="F138" i="1"/>
  <c r="G138" i="1"/>
  <c r="H138" i="1"/>
  <c r="B138" i="1"/>
  <c r="C142" i="1"/>
  <c r="E142" i="1"/>
  <c r="F142" i="1"/>
  <c r="G142" i="1"/>
  <c r="H142" i="1"/>
  <c r="B142" i="1"/>
  <c r="E155" i="1"/>
  <c r="C156" i="1"/>
  <c r="D156" i="1"/>
  <c r="E156" i="1"/>
  <c r="F156" i="1"/>
  <c r="G156" i="1"/>
  <c r="H156" i="1"/>
  <c r="C157" i="1"/>
  <c r="D157" i="1"/>
  <c r="E157" i="1"/>
  <c r="F157" i="1"/>
  <c r="G157" i="1"/>
  <c r="H157" i="1"/>
  <c r="C158" i="1"/>
  <c r="D158" i="1"/>
  <c r="E158" i="1"/>
  <c r="F158" i="1"/>
  <c r="G158" i="1"/>
  <c r="H158" i="1"/>
  <c r="C148" i="1"/>
  <c r="E148" i="1"/>
  <c r="F148" i="1"/>
  <c r="G148" i="1"/>
  <c r="H148" i="1"/>
  <c r="C149" i="1"/>
  <c r="D149" i="1"/>
  <c r="E149" i="1"/>
  <c r="F149" i="1"/>
  <c r="G149" i="1"/>
  <c r="H149" i="1"/>
  <c r="C150" i="1"/>
  <c r="D150" i="1"/>
  <c r="E150" i="1"/>
  <c r="F150" i="1"/>
  <c r="G150" i="1"/>
  <c r="H150" i="1"/>
  <c r="C151" i="1"/>
  <c r="D151" i="1"/>
  <c r="E151" i="1"/>
  <c r="F151" i="1"/>
  <c r="G151" i="1"/>
  <c r="H151" i="1"/>
  <c r="C134" i="1"/>
  <c r="E134" i="1"/>
  <c r="F134" i="1"/>
  <c r="G134" i="1"/>
  <c r="H134" i="1"/>
  <c r="C135" i="1"/>
  <c r="D135" i="1"/>
  <c r="E135" i="1"/>
  <c r="F135" i="1"/>
  <c r="G135" i="1"/>
  <c r="H135" i="1"/>
  <c r="C136" i="1"/>
  <c r="D136" i="1"/>
  <c r="E136" i="1"/>
  <c r="F136" i="1"/>
  <c r="G136" i="1"/>
  <c r="H136" i="1"/>
  <c r="C122" i="1"/>
  <c r="D122" i="1"/>
  <c r="E122" i="1"/>
  <c r="F122" i="1"/>
  <c r="G122" i="1"/>
  <c r="H122" i="1"/>
  <c r="C125" i="1"/>
  <c r="D125" i="1"/>
  <c r="E125" i="1"/>
  <c r="F125" i="1"/>
  <c r="G125" i="1"/>
  <c r="H125" i="1"/>
  <c r="C127" i="1"/>
  <c r="D127" i="1"/>
  <c r="F127" i="1"/>
  <c r="G127" i="1"/>
  <c r="H127" i="1"/>
  <c r="C129" i="1"/>
  <c r="D129" i="1"/>
  <c r="C120" i="1"/>
  <c r="E120" i="1"/>
  <c r="F120" i="1"/>
  <c r="G120" i="1"/>
  <c r="H120" i="1"/>
  <c r="C113" i="1"/>
  <c r="D113" i="1"/>
  <c r="E113" i="1"/>
  <c r="F113" i="1"/>
  <c r="G113" i="1"/>
  <c r="H113" i="1"/>
  <c r="H112" i="1"/>
  <c r="C112" i="1"/>
  <c r="E112" i="1"/>
  <c r="F112" i="1"/>
  <c r="G112" i="1"/>
  <c r="E111" i="1"/>
  <c r="F111" i="1"/>
  <c r="G111" i="1"/>
  <c r="H111" i="1"/>
  <c r="C110" i="1"/>
  <c r="D110" i="1"/>
  <c r="E110" i="1"/>
  <c r="F110" i="1"/>
  <c r="G110" i="1"/>
  <c r="H110" i="1"/>
  <c r="C103" i="1"/>
  <c r="D103" i="1"/>
  <c r="E103" i="1"/>
  <c r="F103" i="1"/>
  <c r="G103" i="1"/>
  <c r="H103" i="1"/>
  <c r="C102" i="1"/>
  <c r="F102" i="1"/>
  <c r="G102" i="1"/>
  <c r="H102" i="1"/>
  <c r="C101" i="1"/>
  <c r="D101" i="1"/>
  <c r="E101" i="1"/>
  <c r="F101" i="1"/>
  <c r="G101" i="1"/>
  <c r="H101" i="1"/>
  <c r="C100" i="1"/>
  <c r="D100" i="1"/>
  <c r="F100" i="1"/>
  <c r="G100" i="1"/>
  <c r="H100" i="1"/>
  <c r="C82" i="1"/>
  <c r="D82" i="1"/>
  <c r="E82" i="1"/>
  <c r="F82" i="1"/>
  <c r="G82" i="1"/>
  <c r="H82" i="1"/>
  <c r="C81" i="1"/>
  <c r="D81" i="1"/>
  <c r="E81" i="1"/>
  <c r="F81" i="1"/>
  <c r="G81" i="1"/>
  <c r="H81" i="1"/>
  <c r="B158" i="1"/>
  <c r="B157" i="1"/>
  <c r="B156" i="1"/>
  <c r="P2" i="3"/>
  <c r="B150" i="1"/>
  <c r="B151" i="1"/>
  <c r="B149" i="1"/>
  <c r="B148" i="1"/>
  <c r="B136" i="1"/>
  <c r="B135" i="1"/>
  <c r="B134" i="1"/>
  <c r="B129" i="1"/>
  <c r="B127" i="1"/>
  <c r="B125" i="1"/>
  <c r="B122" i="1"/>
  <c r="B120" i="1"/>
  <c r="B113" i="1"/>
  <c r="B112" i="1"/>
  <c r="B110" i="1"/>
  <c r="K5" i="2"/>
  <c r="B103" i="1"/>
  <c r="B102" i="1"/>
  <c r="B101" i="1"/>
  <c r="B100" i="1"/>
  <c r="J4" i="2"/>
  <c r="F25" i="1"/>
  <c r="F24" i="1"/>
  <c r="F23" i="1"/>
  <c r="E26" i="1"/>
  <c r="D25" i="1"/>
  <c r="C25" i="1" s="1"/>
  <c r="B25" i="1" s="1"/>
  <c r="D24" i="1"/>
  <c r="C24" i="1" s="1"/>
  <c r="B24" i="1" s="1"/>
  <c r="D23" i="1"/>
  <c r="G31" i="2"/>
  <c r="G34" i="2"/>
  <c r="G33" i="2"/>
  <c r="G32" i="2"/>
  <c r="I4" i="3"/>
  <c r="I3" i="3"/>
  <c r="I2" i="3"/>
  <c r="J8" i="2"/>
  <c r="J25" i="2"/>
  <c r="J21" i="2"/>
  <c r="K21" i="2"/>
  <c r="K9" i="2"/>
  <c r="J9" i="2"/>
  <c r="J18" i="2"/>
  <c r="K23" i="2"/>
  <c r="K22" i="2"/>
  <c r="K20" i="2"/>
  <c r="K18" i="2"/>
  <c r="K10" i="2"/>
  <c r="K8" i="2"/>
  <c r="K7" i="2"/>
  <c r="K6" i="2"/>
  <c r="K4" i="2"/>
  <c r="K25" i="2"/>
  <c r="K19" i="2"/>
  <c r="K24" i="2"/>
  <c r="K27" i="2"/>
  <c r="K17" i="2"/>
  <c r="D5" i="2"/>
  <c r="J10" i="2"/>
  <c r="L3" i="3"/>
  <c r="L4" i="3"/>
  <c r="L2" i="3"/>
  <c r="B5" i="3"/>
  <c r="J26" i="2"/>
  <c r="J24" i="2"/>
  <c r="J23" i="2"/>
  <c r="J27" i="2"/>
  <c r="J22" i="2"/>
  <c r="J17" i="2"/>
  <c r="J20" i="2"/>
  <c r="J19" i="2"/>
  <c r="J7" i="2"/>
  <c r="J6" i="2"/>
  <c r="J5" i="2"/>
  <c r="G2" i="3"/>
  <c r="G3" i="3"/>
  <c r="G4" i="3"/>
  <c r="G5" i="3"/>
  <c r="E3" i="3"/>
  <c r="E4" i="3"/>
  <c r="E2" i="3"/>
  <c r="C35" i="2"/>
  <c r="D35" i="2"/>
  <c r="C34" i="2"/>
  <c r="C33" i="2"/>
  <c r="C32" i="2"/>
  <c r="D32" i="2"/>
  <c r="D33" i="2"/>
  <c r="D31" i="2"/>
  <c r="C31" i="2"/>
  <c r="B31" i="2"/>
  <c r="B32" i="2" s="1"/>
  <c r="B33" i="2" s="1"/>
  <c r="B34" i="2" s="1"/>
  <c r="B35" i="2" s="1"/>
  <c r="C27" i="2"/>
  <c r="D27" i="2" s="1"/>
  <c r="H27" i="2" s="1"/>
  <c r="C26" i="2"/>
  <c r="D26" i="2" s="1"/>
  <c r="H26" i="2" s="1"/>
  <c r="C25" i="2"/>
  <c r="D25" i="2" s="1"/>
  <c r="H25" i="2" s="1"/>
  <c r="C24" i="2"/>
  <c r="D24" i="2" s="1"/>
  <c r="H24" i="2" s="1"/>
  <c r="C23" i="2"/>
  <c r="D23" i="2" s="1"/>
  <c r="H23" i="2" s="1"/>
  <c r="C22" i="2"/>
  <c r="D22" i="2" s="1"/>
  <c r="H22" i="2" s="1"/>
  <c r="C21" i="2"/>
  <c r="D21" i="2" s="1"/>
  <c r="H21" i="2" s="1"/>
  <c r="C20" i="2"/>
  <c r="D20" i="2" s="1"/>
  <c r="H20" i="2" s="1"/>
  <c r="C19" i="2"/>
  <c r="D19" i="2" s="1"/>
  <c r="H19" i="2" s="1"/>
  <c r="C17" i="2"/>
  <c r="D17" i="2" s="1"/>
  <c r="H17" i="2" s="1"/>
  <c r="C18" i="2"/>
  <c r="D18" i="2" s="1"/>
  <c r="H18" i="2" s="1"/>
  <c r="D16" i="2"/>
  <c r="H16" i="2" s="1"/>
  <c r="C10" i="2"/>
  <c r="E10" i="2" s="1"/>
  <c r="D10" i="2"/>
  <c r="D9" i="2"/>
  <c r="C9" i="2"/>
  <c r="B9" i="2"/>
  <c r="C8" i="2"/>
  <c r="D8" i="2"/>
  <c r="B8" i="2"/>
  <c r="F7" i="2"/>
  <c r="D7" i="2"/>
  <c r="C7" i="2"/>
  <c r="B7" i="2"/>
  <c r="C6" i="2"/>
  <c r="D6" i="2"/>
  <c r="B6" i="2"/>
  <c r="C5" i="2"/>
  <c r="B5" i="2"/>
  <c r="D4" i="2"/>
  <c r="C4" i="2"/>
  <c r="E3" i="2"/>
  <c r="G3" i="2" s="1"/>
  <c r="B4" i="2"/>
  <c r="B4" i="1"/>
  <c r="B5" i="1" s="1"/>
  <c r="B6" i="1" s="1"/>
  <c r="H78" i="1" l="1"/>
  <c r="G107" i="1"/>
  <c r="H107" i="1"/>
  <c r="C92" i="1"/>
  <c r="G131" i="1"/>
  <c r="F91" i="1"/>
  <c r="F93" i="1"/>
  <c r="H131" i="1"/>
  <c r="D91" i="1"/>
  <c r="D93" i="1"/>
  <c r="C91" i="1"/>
  <c r="C93" i="1"/>
  <c r="B92" i="1"/>
  <c r="B91" i="1"/>
  <c r="D92" i="1"/>
  <c r="F131" i="1"/>
  <c r="F107" i="1"/>
  <c r="G85" i="1"/>
  <c r="F15" i="1"/>
  <c r="H15" i="1"/>
  <c r="G15" i="1"/>
  <c r="D15" i="1"/>
  <c r="E15" i="1"/>
  <c r="E131" i="1"/>
  <c r="E107" i="1"/>
  <c r="C16" i="1"/>
  <c r="G152" i="1"/>
  <c r="D117" i="1"/>
  <c r="C15" i="1"/>
  <c r="G117" i="1"/>
  <c r="C117" i="1"/>
  <c r="H117" i="1"/>
  <c r="D107" i="1"/>
  <c r="F117" i="1"/>
  <c r="C131" i="1"/>
  <c r="C107" i="1"/>
  <c r="E117" i="1"/>
  <c r="H152" i="1"/>
  <c r="F152" i="1"/>
  <c r="D152" i="1"/>
  <c r="H159" i="1"/>
  <c r="F159" i="1"/>
  <c r="D159" i="1"/>
  <c r="E152" i="1"/>
  <c r="C152" i="1"/>
  <c r="G159" i="1"/>
  <c r="E159" i="1"/>
  <c r="C159" i="1"/>
  <c r="H145" i="1"/>
  <c r="G145" i="1"/>
  <c r="D131" i="1"/>
  <c r="D16" i="1"/>
  <c r="B17" i="1"/>
  <c r="G17" i="1"/>
  <c r="E16" i="1"/>
  <c r="B16" i="1"/>
  <c r="B15" i="1"/>
  <c r="H16" i="1"/>
  <c r="G16" i="1"/>
  <c r="F17" i="1"/>
  <c r="H17" i="1"/>
  <c r="F16" i="1"/>
  <c r="E17" i="1"/>
  <c r="D17" i="1"/>
  <c r="C17" i="1"/>
  <c r="B159" i="1"/>
  <c r="B152" i="1"/>
  <c r="B131" i="1"/>
  <c r="B117" i="1"/>
  <c r="K12" i="2"/>
  <c r="B107" i="1"/>
  <c r="B35" i="1"/>
  <c r="D34" i="1"/>
  <c r="G23" i="1"/>
  <c r="C34" i="1"/>
  <c r="G24" i="1"/>
  <c r="G25" i="1"/>
  <c r="D35" i="1"/>
  <c r="B34" i="1"/>
  <c r="C35" i="1"/>
  <c r="F26" i="1"/>
  <c r="D26" i="1"/>
  <c r="C23" i="1"/>
  <c r="H2" i="3"/>
  <c r="H4" i="3"/>
  <c r="J12" i="2"/>
  <c r="J29" i="2"/>
  <c r="O2" i="3"/>
  <c r="H3" i="3"/>
  <c r="E5" i="3"/>
  <c r="H5" i="3" s="1"/>
  <c r="D34" i="2"/>
  <c r="E9" i="2"/>
  <c r="G9" i="2" s="1"/>
  <c r="E4" i="2"/>
  <c r="G4" i="2" s="1"/>
  <c r="E6" i="2"/>
  <c r="G6" i="2" s="1"/>
  <c r="G10" i="2"/>
  <c r="E8" i="2"/>
  <c r="G8" i="2" s="1"/>
  <c r="E7" i="2"/>
  <c r="G7" i="2" s="1"/>
  <c r="E5" i="2"/>
  <c r="G5" i="2" s="1"/>
  <c r="G93" i="1" l="1"/>
  <c r="G91" i="1"/>
  <c r="G92" i="1"/>
  <c r="F161" i="1"/>
  <c r="H85" i="1"/>
  <c r="E161" i="1"/>
  <c r="E29" i="1" s="1"/>
  <c r="H161" i="1"/>
  <c r="G161" i="1"/>
  <c r="G30" i="1" s="1"/>
  <c r="G40" i="1" s="1"/>
  <c r="C161" i="1"/>
  <c r="C29" i="1" s="1"/>
  <c r="C39" i="1" s="1"/>
  <c r="D161" i="1"/>
  <c r="D29" i="1" s="1"/>
  <c r="D39" i="1" s="1"/>
  <c r="H167" i="1"/>
  <c r="G167" i="1"/>
  <c r="D145" i="1"/>
  <c r="D167" i="1" s="1"/>
  <c r="B161" i="1"/>
  <c r="B29" i="1" s="1"/>
  <c r="B39" i="1" s="1"/>
  <c r="H23" i="1"/>
  <c r="H24" i="1"/>
  <c r="H25" i="1"/>
  <c r="G26" i="1"/>
  <c r="C26" i="1"/>
  <c r="B23" i="1"/>
  <c r="J33" i="2"/>
  <c r="J4" i="3" s="1"/>
  <c r="H93" i="1" l="1"/>
  <c r="H91" i="1"/>
  <c r="H92" i="1"/>
  <c r="G35" i="1"/>
  <c r="E34" i="1"/>
  <c r="E39" i="1"/>
  <c r="G28" i="1"/>
  <c r="G38" i="1" s="1"/>
  <c r="G29" i="1"/>
  <c r="D28" i="1"/>
  <c r="D38" i="1" s="1"/>
  <c r="D30" i="1"/>
  <c r="D40" i="1" s="1"/>
  <c r="C30" i="1"/>
  <c r="C40" i="1" s="1"/>
  <c r="H30" i="1"/>
  <c r="H29" i="1"/>
  <c r="C28" i="1"/>
  <c r="C33" i="1" s="1"/>
  <c r="C36" i="1" s="1"/>
  <c r="C163" i="1" s="1"/>
  <c r="B30" i="1"/>
  <c r="B40" i="1" s="1"/>
  <c r="E28" i="1"/>
  <c r="E38" i="1" s="1"/>
  <c r="E30" i="1"/>
  <c r="H28" i="1"/>
  <c r="H38" i="1" s="1"/>
  <c r="F28" i="1"/>
  <c r="F38" i="1" s="1"/>
  <c r="F29" i="1"/>
  <c r="F30" i="1"/>
  <c r="C145" i="1"/>
  <c r="C167" i="1" s="1"/>
  <c r="B28" i="1"/>
  <c r="J2" i="3"/>
  <c r="M2" i="3" s="1"/>
  <c r="B26" i="1"/>
  <c r="H26" i="1"/>
  <c r="J3" i="3"/>
  <c r="K3" i="3" s="1"/>
  <c r="K4" i="3"/>
  <c r="M4" i="3"/>
  <c r="H39" i="1" l="1"/>
  <c r="H34" i="1"/>
  <c r="G39" i="1"/>
  <c r="G34" i="1"/>
  <c r="H40" i="1"/>
  <c r="H35" i="1"/>
  <c r="F39" i="1"/>
  <c r="F34" i="1"/>
  <c r="F40" i="1"/>
  <c r="F35" i="1"/>
  <c r="G33" i="1"/>
  <c r="G41" i="1"/>
  <c r="E35" i="1"/>
  <c r="E40" i="1"/>
  <c r="E41" i="1" s="1"/>
  <c r="E164" i="1" s="1"/>
  <c r="G31" i="1"/>
  <c r="D41" i="1"/>
  <c r="D164" i="1" s="1"/>
  <c r="D33" i="1"/>
  <c r="D36" i="1" s="1"/>
  <c r="D163" i="1" s="1"/>
  <c r="D31" i="1"/>
  <c r="C31" i="1"/>
  <c r="C38" i="1"/>
  <c r="C41" i="1" s="1"/>
  <c r="C164" i="1" s="1"/>
  <c r="E33" i="1"/>
  <c r="E31" i="1"/>
  <c r="F31" i="1"/>
  <c r="F33" i="1"/>
  <c r="H33" i="1"/>
  <c r="H31" i="1"/>
  <c r="B145" i="1"/>
  <c r="B167" i="1" s="1"/>
  <c r="B31" i="1"/>
  <c r="B38" i="1"/>
  <c r="B41" i="1" s="1"/>
  <c r="B164" i="1" s="1"/>
  <c r="B33" i="1"/>
  <c r="B36" i="1" s="1"/>
  <c r="B163" i="1" s="1"/>
  <c r="K2" i="3"/>
  <c r="K5" i="3" s="1"/>
  <c r="J5" i="3"/>
  <c r="K26" i="2"/>
  <c r="N2" i="3" s="1"/>
  <c r="M3" i="3"/>
  <c r="M5" i="3" s="1"/>
  <c r="H41" i="1" l="1"/>
  <c r="H164" i="1" s="1"/>
  <c r="G36" i="1"/>
  <c r="G163" i="1" s="1"/>
  <c r="H36" i="1"/>
  <c r="H163" i="1" s="1"/>
  <c r="F41" i="1"/>
  <c r="F164" i="1" s="1"/>
  <c r="F36" i="1"/>
  <c r="F163" i="1" s="1"/>
  <c r="F143" i="1" s="1"/>
  <c r="F145" i="1" s="1"/>
  <c r="F167" i="1" s="1"/>
  <c r="G164" i="1"/>
  <c r="E36" i="1"/>
  <c r="E163" i="1" s="1"/>
  <c r="E143" i="1" s="1"/>
  <c r="E145" i="1" s="1"/>
  <c r="E167" i="1" s="1"/>
  <c r="D165" i="1"/>
  <c r="D166" i="1" s="1"/>
  <c r="C165" i="1"/>
  <c r="B165" i="1"/>
  <c r="B166" i="1" s="1"/>
  <c r="Q2" i="3"/>
  <c r="H165" i="1" l="1"/>
  <c r="H166" i="1" s="1"/>
  <c r="G165" i="1"/>
  <c r="G169" i="1" s="1"/>
  <c r="G170" i="1" s="1"/>
  <c r="G171" i="1" s="1"/>
  <c r="F165" i="1"/>
  <c r="F169" i="1" s="1"/>
  <c r="F170" i="1" s="1"/>
  <c r="F171" i="1" s="1"/>
  <c r="E165" i="1"/>
  <c r="E169" i="1" s="1"/>
  <c r="E170" i="1" s="1"/>
  <c r="E171" i="1" s="1"/>
  <c r="D169" i="1"/>
  <c r="D170" i="1" s="1"/>
  <c r="D171" i="1" s="1"/>
  <c r="C169" i="1"/>
  <c r="C170" i="1" s="1"/>
  <c r="C171" i="1" s="1"/>
  <c r="C166" i="1"/>
  <c r="B169" i="1"/>
  <c r="B170" i="1" s="1"/>
  <c r="B171" i="1" s="1"/>
  <c r="H169" i="1" l="1"/>
  <c r="H170" i="1" s="1"/>
  <c r="H171" i="1" s="1"/>
  <c r="G166" i="1"/>
  <c r="F166" i="1"/>
  <c r="E166" i="1"/>
</calcChain>
</file>

<file path=xl/sharedStrings.xml><?xml version="1.0" encoding="utf-8"?>
<sst xmlns="http://schemas.openxmlformats.org/spreadsheetml/2006/main" count="220" uniqueCount="185">
  <si>
    <t>time</t>
  </si>
  <si>
    <t>layoffDecision</t>
  </si>
  <si>
    <t>relocateDecision</t>
  </si>
  <si>
    <t>increasePriceDecision</t>
  </si>
  <si>
    <t>decreasePriceDecision</t>
  </si>
  <si>
    <t>decreasePackDecision</t>
  </si>
  <si>
    <t>europeDecision</t>
  </si>
  <si>
    <t>sustainableDecision</t>
  </si>
  <si>
    <t>Marketing Decisions</t>
  </si>
  <si>
    <t>Inflation Decisions</t>
  </si>
  <si>
    <t>socialMediaDecision</t>
  </si>
  <si>
    <t>influencerDecision</t>
  </si>
  <si>
    <t>webAdsDecision</t>
  </si>
  <si>
    <t>commercialDecision</t>
  </si>
  <si>
    <t>eventDecision</t>
  </si>
  <si>
    <t>magazineDecision</t>
  </si>
  <si>
    <t>mailDecision</t>
  </si>
  <si>
    <t>billboardDecision</t>
  </si>
  <si>
    <t>storesDecision</t>
  </si>
  <si>
    <t>amajonDecision</t>
  </si>
  <si>
    <t>R&amp;D Decisions</t>
  </si>
  <si>
    <t>revampDecision</t>
  </si>
  <si>
    <t>testingDecision</t>
  </si>
  <si>
    <t>createProductsDecision</t>
  </si>
  <si>
    <t>efficientDecision</t>
  </si>
  <si>
    <t>aestheticVibeDecision</t>
  </si>
  <si>
    <t>sportsDecision</t>
  </si>
  <si>
    <t>StartingStep</t>
  </si>
  <si>
    <t>step</t>
  </si>
  <si>
    <t>previousStep</t>
  </si>
  <si>
    <t>previous2Step</t>
  </si>
  <si>
    <t>COGS</t>
  </si>
  <si>
    <t>Revenue</t>
  </si>
  <si>
    <t>Cogs</t>
  </si>
  <si>
    <t>Sales</t>
  </si>
  <si>
    <t>Base</t>
  </si>
  <si>
    <t>Price</t>
  </si>
  <si>
    <t>increasePriceDecision (10%)</t>
  </si>
  <si>
    <t>Decision Cost</t>
  </si>
  <si>
    <t>decreasePriceDecision(10%)</t>
  </si>
  <si>
    <t>Net Income</t>
  </si>
  <si>
    <t>Marketing</t>
  </si>
  <si>
    <t>Marketing Expenses</t>
  </si>
  <si>
    <t>Brand Loyalty % Change</t>
  </si>
  <si>
    <t>newProductsTestingDecision</t>
  </si>
  <si>
    <t>Product Name</t>
  </si>
  <si>
    <t>Base Price</t>
  </si>
  <si>
    <t>Base number of units sold</t>
  </si>
  <si>
    <t>Base Revenue</t>
  </si>
  <si>
    <t>Base COGS</t>
  </si>
  <si>
    <t>BASE NET INCOME</t>
  </si>
  <si>
    <t>SIM PRICE</t>
  </si>
  <si>
    <t>SIM UNITS SOLD</t>
  </si>
  <si>
    <t>inflation sales impact</t>
  </si>
  <si>
    <t>marketing sales impact</t>
  </si>
  <si>
    <t>SIM REVENUE</t>
  </si>
  <si>
    <t>Sales % Change Inflation</t>
  </si>
  <si>
    <t>Sales % Change Marketing</t>
  </si>
  <si>
    <t>Base Prodution Cost</t>
  </si>
  <si>
    <t>Total COGS Impact</t>
  </si>
  <si>
    <t>Total Sales impact</t>
  </si>
  <si>
    <t>SIM PRODUCTION COST</t>
  </si>
  <si>
    <t>SIM PROD COGS</t>
  </si>
  <si>
    <t>4 Selections</t>
  </si>
  <si>
    <t>3 selections</t>
  </si>
  <si>
    <t>TOTAL MARKETING EXPENSE</t>
  </si>
  <si>
    <t>DECISION COSTS MARK</t>
  </si>
  <si>
    <t>INFLATION EXPENSES</t>
  </si>
  <si>
    <t>DECISION COST INFLATION</t>
  </si>
  <si>
    <t>NET INCOME</t>
  </si>
  <si>
    <t>OPERATING EXPENSES</t>
  </si>
  <si>
    <t>R&amp;D SALES IMPACT</t>
  </si>
  <si>
    <t>R&amp;D COST</t>
  </si>
  <si>
    <t>teamNameDecision</t>
  </si>
  <si>
    <t>Team 1</t>
  </si>
  <si>
    <t>ObKressed</t>
  </si>
  <si>
    <t>Kress Stick</t>
  </si>
  <si>
    <t>Klean Girl</t>
  </si>
  <si>
    <t>ObKressedUnitsSold</t>
  </si>
  <si>
    <t>KressStickUnitsSold</t>
  </si>
  <si>
    <t>KleanGirlUnitsSold</t>
  </si>
  <si>
    <t>TotalUnitsSold</t>
  </si>
  <si>
    <t>ObKressedPrice</t>
  </si>
  <si>
    <t>KleanGirlPrice</t>
  </si>
  <si>
    <t>ObKressedProductionCost</t>
  </si>
  <si>
    <t>KressStickProductionCost</t>
  </si>
  <si>
    <t>KressStickPrice</t>
  </si>
  <si>
    <t>KleanGirlProductionCost</t>
  </si>
  <si>
    <t>ObKressedRevenue</t>
  </si>
  <si>
    <t>KressStickRevenue</t>
  </si>
  <si>
    <t>KleanGirlRevenue</t>
  </si>
  <si>
    <t>TotalRevenue</t>
  </si>
  <si>
    <t>ObKressedCOGS</t>
  </si>
  <si>
    <t>KressStickCOGS</t>
  </si>
  <si>
    <t>KleanGirlCOGS</t>
  </si>
  <si>
    <t>TotalCOGS</t>
  </si>
  <si>
    <t>IncreasePriceSalesEffect</t>
  </si>
  <si>
    <t>IncreasePriceExpenses</t>
  </si>
  <si>
    <t>relocateSalesEffect</t>
  </si>
  <si>
    <t>LayoffSalesEffect</t>
  </si>
  <si>
    <t>DecreasePriceSalesEffect</t>
  </si>
  <si>
    <t>DecreasePackSalesEffect</t>
  </si>
  <si>
    <t>EuropeSalesEffect</t>
  </si>
  <si>
    <t>relocateExpenses</t>
  </si>
  <si>
    <t>Inflation Decision Sales Effects</t>
  </si>
  <si>
    <t>Inflation Decision Expenses</t>
  </si>
  <si>
    <t>layoffExpenses</t>
  </si>
  <si>
    <t>EuropeExpenses</t>
  </si>
  <si>
    <t>DecreasePackExpenses</t>
  </si>
  <si>
    <t>DecreasePriceExpenses</t>
  </si>
  <si>
    <t>SustainableExpenses</t>
  </si>
  <si>
    <t>SustainableSalesEffect</t>
  </si>
  <si>
    <t>Total inflation expenses</t>
  </si>
  <si>
    <t>socialMediaSalesEffect</t>
  </si>
  <si>
    <t>influencerSalesEffect</t>
  </si>
  <si>
    <t>webAdsSalesEffect</t>
  </si>
  <si>
    <t>commercialSalesEffect</t>
  </si>
  <si>
    <t>eventSalesEffect</t>
  </si>
  <si>
    <t>magazineSalesEffect</t>
  </si>
  <si>
    <t>mailSalesEffect</t>
  </si>
  <si>
    <t>billboardSalesEffect</t>
  </si>
  <si>
    <t>storesSalesEffect</t>
  </si>
  <si>
    <t>amajonSalesEffect</t>
  </si>
  <si>
    <t>sportsSalesEffect</t>
  </si>
  <si>
    <t>Marketing Sales Impact</t>
  </si>
  <si>
    <t>Marketing Decision Sales Effects</t>
  </si>
  <si>
    <t>Marketing Decision Expenses</t>
  </si>
  <si>
    <t>socialMediaExpenses</t>
  </si>
  <si>
    <t>influencerExpenses</t>
  </si>
  <si>
    <t>webAdsExpenses</t>
  </si>
  <si>
    <t>commercialExpenses</t>
  </si>
  <si>
    <t>eventExpenses</t>
  </si>
  <si>
    <t>magazineExpenses</t>
  </si>
  <si>
    <t>mailExpenses</t>
  </si>
  <si>
    <t>billboardExpenses</t>
  </si>
  <si>
    <t>storesExpenses</t>
  </si>
  <si>
    <t>amajonSales</t>
  </si>
  <si>
    <t>sportsExpeses</t>
  </si>
  <si>
    <t>Total Marketing Expenses</t>
  </si>
  <si>
    <t>KressStickBaseUnitsSold</t>
  </si>
  <si>
    <t>ObKressedBaseUnitsSold</t>
  </si>
  <si>
    <t>KressStickBasePrice</t>
  </si>
  <si>
    <t>KleanGirlBasePrice</t>
  </si>
  <si>
    <t>ObKressedBasePrice</t>
  </si>
  <si>
    <t>BaseTotalUnitsSold</t>
  </si>
  <si>
    <t>R&amp;D Sales Effects</t>
  </si>
  <si>
    <t>efficiencySalesEffect</t>
  </si>
  <si>
    <t>createProductsSalesEffect</t>
  </si>
  <si>
    <t>testingSalesEffect</t>
  </si>
  <si>
    <t>revampSalesEffect</t>
  </si>
  <si>
    <t>R&amp;D Sales Impact</t>
  </si>
  <si>
    <t>R&amp;D Decision Expenses</t>
  </si>
  <si>
    <t>revampExpenses</t>
  </si>
  <si>
    <t>testingExpenses</t>
  </si>
  <si>
    <t>efficiencyExpenses</t>
  </si>
  <si>
    <t>createProductsExpenses</t>
  </si>
  <si>
    <t>Total R&amp;D Expenses</t>
  </si>
  <si>
    <t>Total Operating Expenses</t>
  </si>
  <si>
    <t>Gross Profit</t>
  </si>
  <si>
    <t>Gross Margin</t>
  </si>
  <si>
    <t>Operating Profit(EBIT)</t>
  </si>
  <si>
    <t>Taxes</t>
  </si>
  <si>
    <t>Net Income (Profit)</t>
  </si>
  <si>
    <t>Price Change Effects</t>
  </si>
  <si>
    <t>Increase Price</t>
  </si>
  <si>
    <t>Decrease Price</t>
  </si>
  <si>
    <t>Total Sales Impact</t>
  </si>
  <si>
    <t>previous3Step</t>
  </si>
  <si>
    <t>Budgeting</t>
  </si>
  <si>
    <t>Expenses Budget</t>
  </si>
  <si>
    <t>Inflation Allocation</t>
  </si>
  <si>
    <t>Marketing Allocation</t>
  </si>
  <si>
    <t>R&amp;D Allocation</t>
  </si>
  <si>
    <t>Total Allocation</t>
  </si>
  <si>
    <t>R&amp;D Budget</t>
  </si>
  <si>
    <t>Marketing Budget</t>
  </si>
  <si>
    <t>Inflation Budget</t>
  </si>
  <si>
    <t>Inflation Change</t>
  </si>
  <si>
    <t>Marketing Change</t>
  </si>
  <si>
    <t>R&amp;D Change</t>
  </si>
  <si>
    <t>Total Inflation Levers</t>
  </si>
  <si>
    <t>Total Marketing Levers</t>
  </si>
  <si>
    <t>Total R&amp;D Levers</t>
  </si>
  <si>
    <t>Proper Lever Numbers?</t>
  </si>
  <si>
    <t>contradicting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</si>
</sst>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&quot;$&quot;#,##0"/>
    <numFmt numFmtId="167" formatCode="_(&quot;$&quot;* #,##0_);_(&quot;$&quot;* \(#,##0\);_(&quot;$&quot;* &quot;-&quot;??_);_(@_)"/>
    <numFmt numFmtId="168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9" fontId="0" fillId="0" borderId="0" xfId="0" applyNumberFormat="1"/>
    <xf numFmtId="9" fontId="0" fillId="0" borderId="0" xfId="3" applyFont="1"/>
    <xf numFmtId="0" fontId="0" fillId="2" borderId="0" xfId="0" applyFill="1"/>
    <xf numFmtId="3" fontId="0" fillId="0" borderId="0" xfId="0" applyNumberFormat="1"/>
    <xf numFmtId="164" fontId="0" fillId="0" borderId="0" xfId="0" applyNumberFormat="1"/>
    <xf numFmtId="44" fontId="0" fillId="0" borderId="0" xfId="2" applyFont="1"/>
    <xf numFmtId="10" fontId="0" fillId="0" borderId="0" xfId="3" applyNumberFormat="1" applyFont="1"/>
    <xf numFmtId="165" fontId="0" fillId="0" borderId="0" xfId="1" applyNumberFormat="1" applyFont="1"/>
    <xf numFmtId="44" fontId="2" fillId="0" borderId="0" xfId="2" applyFont="1"/>
    <xf numFmtId="164" fontId="2" fillId="0" borderId="0" xfId="0" applyNumberFormat="1" applyFont="1"/>
    <xf numFmtId="3" fontId="2" fillId="0" borderId="0" xfId="0" applyNumberFormat="1" applyFont="1"/>
    <xf numFmtId="165" fontId="2" fillId="0" borderId="0" xfId="0" applyNumberFormat="1" applyFont="1"/>
    <xf numFmtId="44" fontId="0" fillId="0" borderId="0" xfId="0" applyNumberFormat="1"/>
    <xf numFmtId="164" fontId="0" fillId="0" borderId="0" xfId="2" applyNumberFormat="1" applyFont="1"/>
    <xf numFmtId="164" fontId="0" fillId="0" borderId="0" xfId="3" applyNumberFormat="1" applyFont="1"/>
    <xf numFmtId="166" fontId="2" fillId="0" borderId="0" xfId="0" applyNumberFormat="1" applyFont="1"/>
    <xf numFmtId="44" fontId="2" fillId="0" borderId="0" xfId="0" applyNumberFormat="1" applyFont="1"/>
    <xf numFmtId="1" fontId="0" fillId="0" borderId="0" xfId="0" applyNumberFormat="1"/>
    <xf numFmtId="167" fontId="0" fillId="0" borderId="0" xfId="2" applyNumberFormat="1" applyFont="1"/>
    <xf numFmtId="167" fontId="0" fillId="0" borderId="0" xfId="0" applyNumberFormat="1"/>
    <xf numFmtId="1" fontId="0" fillId="0" borderId="0" xfId="2" applyNumberFormat="1" applyFont="1"/>
    <xf numFmtId="168" fontId="0" fillId="0" borderId="0" xfId="3" applyNumberFormat="1" applyFont="1"/>
    <xf numFmtId="2" fontId="0" fillId="0" borderId="0" xfId="0" applyNumberFormat="1"/>
    <xf numFmtId="9" fontId="0" fillId="0" borderId="0" xfId="2" applyNumberFormat="1" applyFont="1"/>
    <xf numFmtId="1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BA69-E250-4735-A975-E98403913A6E}">
  <dimension ref="A1:I171"/>
  <sheetViews>
    <sheetView tabSelected="1" topLeftCell="A43" workbookViewId="0">
      <selection activeCell="B55" sqref="B55:H55"/>
    </sheetView>
  </sheetViews>
  <sheetFormatPr defaultRowHeight="14.5" x14ac:dyDescent="0.35"/>
  <cols>
    <col min="1" max="1" width="28" bestFit="1" customWidth="1"/>
    <col min="2" max="2" width="17.1796875" bestFit="1" customWidth="1"/>
    <col min="3" max="8" width="15.6328125" bestFit="1" customWidth="1"/>
    <col min="11" max="11" width="12.6328125" bestFit="1" customWidth="1"/>
    <col min="12" max="12" width="22.7265625" bestFit="1" customWidth="1"/>
    <col min="15" max="15" width="14.54296875" bestFit="1" customWidth="1"/>
    <col min="16" max="16" width="19.26953125" bestFit="1" customWidth="1"/>
    <col min="17" max="17" width="15.81640625" bestFit="1" customWidth="1"/>
    <col min="18" max="18" width="16.26953125" bestFit="1" customWidth="1"/>
    <col min="20" max="20" width="14.36328125" bestFit="1" customWidth="1"/>
    <col min="21" max="21" width="15.81640625" bestFit="1" customWidth="1"/>
    <col min="23" max="23" width="14.54296875" bestFit="1" customWidth="1"/>
    <col min="26" max="26" width="9.36328125" bestFit="1" customWidth="1"/>
    <col min="27" max="27" width="15.81640625" bestFit="1" customWidth="1"/>
  </cols>
  <sheetData>
    <row r="1" spans="1:8" x14ac:dyDescent="0.35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</row>
    <row r="2" spans="1:8" x14ac:dyDescent="0.35">
      <c r="A2" t="s">
        <v>27</v>
      </c>
      <c r="B2">
        <v>3</v>
      </c>
    </row>
    <row r="3" spans="1:8" x14ac:dyDescent="0.35">
      <c r="A3" t="s">
        <v>28</v>
      </c>
      <c r="B3">
        <v>3</v>
      </c>
    </row>
    <row r="4" spans="1:8" x14ac:dyDescent="0.35">
      <c r="A4" t="s">
        <v>29</v>
      </c>
      <c r="B4">
        <f>B3 - 1</f>
        <v>2</v>
      </c>
    </row>
    <row r="5" spans="1:8" x14ac:dyDescent="0.35">
      <c r="A5" t="s">
        <v>30</v>
      </c>
      <c r="B5">
        <f>B4-1</f>
        <v>1</v>
      </c>
    </row>
    <row r="6" spans="1:8" x14ac:dyDescent="0.35">
      <c r="A6" t="s">
        <v>167</v>
      </c>
      <c r="B6">
        <f>B5-1</f>
        <v>0</v>
      </c>
    </row>
    <row r="8" spans="1:8" x14ac:dyDescent="0.35">
      <c r="A8" t="s">
        <v>73</v>
      </c>
      <c r="B8" t="s">
        <v>74</v>
      </c>
    </row>
    <row r="11" spans="1:8" x14ac:dyDescent="0.35">
      <c r="A11" t="s">
        <v>143</v>
      </c>
      <c r="B11" s="7">
        <v>20</v>
      </c>
      <c r="C11" s="7">
        <v>20</v>
      </c>
      <c r="D11" s="7">
        <v>20</v>
      </c>
      <c r="E11" s="7">
        <v>20</v>
      </c>
      <c r="F11" s="7">
        <v>20</v>
      </c>
      <c r="G11" s="7">
        <v>20</v>
      </c>
      <c r="H11" s="7">
        <v>20</v>
      </c>
    </row>
    <row r="12" spans="1:8" x14ac:dyDescent="0.35">
      <c r="A12" t="s">
        <v>141</v>
      </c>
      <c r="B12" s="7">
        <v>32</v>
      </c>
      <c r="C12" s="7">
        <v>32</v>
      </c>
      <c r="D12" s="7">
        <v>32</v>
      </c>
      <c r="E12" s="7">
        <v>32</v>
      </c>
      <c r="F12" s="7">
        <v>32</v>
      </c>
      <c r="G12" s="7">
        <v>32</v>
      </c>
      <c r="H12" s="7">
        <v>32</v>
      </c>
    </row>
    <row r="13" spans="1:8" x14ac:dyDescent="0.35">
      <c r="A13" t="s">
        <v>142</v>
      </c>
      <c r="B13" s="7">
        <v>45</v>
      </c>
      <c r="C13" s="7">
        <v>45</v>
      </c>
      <c r="D13" s="7">
        <v>45</v>
      </c>
      <c r="E13" s="7">
        <v>45</v>
      </c>
      <c r="F13" s="7">
        <v>45</v>
      </c>
      <c r="G13" s="7">
        <v>45</v>
      </c>
      <c r="H13" s="7">
        <v>45</v>
      </c>
    </row>
    <row r="14" spans="1:8" x14ac:dyDescent="0.35">
      <c r="B14" s="7"/>
      <c r="C14" s="7"/>
      <c r="D14" s="7"/>
      <c r="E14" s="7"/>
      <c r="F14" s="7"/>
      <c r="G14" s="7"/>
      <c r="H14" s="7"/>
    </row>
    <row r="15" spans="1:8" x14ac:dyDescent="0.35">
      <c r="A15" t="s">
        <v>82</v>
      </c>
      <c r="B15" s="7">
        <f t="shared" ref="B15:H15" si="0">B11*AVERAGE(B81:B82)</f>
        <v>20</v>
      </c>
      <c r="C15" s="7">
        <f t="shared" si="0"/>
        <v>20</v>
      </c>
      <c r="D15" s="7">
        <f t="shared" si="0"/>
        <v>20</v>
      </c>
      <c r="E15" s="7">
        <f t="shared" si="0"/>
        <v>20</v>
      </c>
      <c r="F15" s="7">
        <f t="shared" si="0"/>
        <v>20</v>
      </c>
      <c r="G15" s="7">
        <f t="shared" si="0"/>
        <v>20</v>
      </c>
      <c r="H15" s="7">
        <f t="shared" si="0"/>
        <v>20</v>
      </c>
    </row>
    <row r="16" spans="1:8" x14ac:dyDescent="0.35">
      <c r="A16" t="s">
        <v>86</v>
      </c>
      <c r="B16" s="7">
        <f t="shared" ref="B16:H16" si="1">B12*AVERAGE(B81:B82)</f>
        <v>32</v>
      </c>
      <c r="C16" s="7">
        <f t="shared" si="1"/>
        <v>32</v>
      </c>
      <c r="D16" s="7">
        <f t="shared" si="1"/>
        <v>32</v>
      </c>
      <c r="E16" s="7">
        <f t="shared" si="1"/>
        <v>32</v>
      </c>
      <c r="F16" s="7">
        <f t="shared" si="1"/>
        <v>32</v>
      </c>
      <c r="G16" s="7">
        <f t="shared" si="1"/>
        <v>32</v>
      </c>
      <c r="H16" s="7">
        <f t="shared" si="1"/>
        <v>32</v>
      </c>
    </row>
    <row r="17" spans="1:8" x14ac:dyDescent="0.35">
      <c r="A17" t="s">
        <v>83</v>
      </c>
      <c r="B17" s="7">
        <f t="shared" ref="B17:H17" si="2">B13*AVERAGE(B81:B82)</f>
        <v>45</v>
      </c>
      <c r="C17" s="7">
        <f t="shared" si="2"/>
        <v>45</v>
      </c>
      <c r="D17" s="7">
        <f t="shared" si="2"/>
        <v>45</v>
      </c>
      <c r="E17" s="7">
        <f t="shared" si="2"/>
        <v>45</v>
      </c>
      <c r="F17" s="7">
        <f t="shared" si="2"/>
        <v>45</v>
      </c>
      <c r="G17" s="7">
        <f t="shared" si="2"/>
        <v>45</v>
      </c>
      <c r="H17" s="7">
        <f t="shared" si="2"/>
        <v>45</v>
      </c>
    </row>
    <row r="19" spans="1:8" x14ac:dyDescent="0.35">
      <c r="A19" t="s">
        <v>84</v>
      </c>
      <c r="B19" s="7">
        <v>8</v>
      </c>
      <c r="C19" s="7">
        <v>8</v>
      </c>
      <c r="D19" s="7">
        <v>8</v>
      </c>
      <c r="E19" s="7">
        <f>D19*1.05</f>
        <v>8.4</v>
      </c>
      <c r="F19" s="7">
        <f>E19</f>
        <v>8.4</v>
      </c>
      <c r="G19" s="7">
        <f t="shared" ref="G19:H19" si="3">F19</f>
        <v>8.4</v>
      </c>
      <c r="H19" s="7">
        <f t="shared" si="3"/>
        <v>8.4</v>
      </c>
    </row>
    <row r="20" spans="1:8" x14ac:dyDescent="0.35">
      <c r="A20" t="s">
        <v>85</v>
      </c>
      <c r="B20" s="7">
        <v>12</v>
      </c>
      <c r="C20" s="7">
        <v>12</v>
      </c>
      <c r="D20" s="7">
        <v>12</v>
      </c>
      <c r="E20" s="7">
        <f t="shared" ref="E20:E21" si="4">D20*1.05</f>
        <v>12.600000000000001</v>
      </c>
      <c r="F20" s="7">
        <f t="shared" ref="F20:H21" si="5">E20</f>
        <v>12.600000000000001</v>
      </c>
      <c r="G20" s="7">
        <f t="shared" si="5"/>
        <v>12.600000000000001</v>
      </c>
      <c r="H20" s="7">
        <f t="shared" si="5"/>
        <v>12.600000000000001</v>
      </c>
    </row>
    <row r="21" spans="1:8" x14ac:dyDescent="0.35">
      <c r="A21" t="s">
        <v>87</v>
      </c>
      <c r="B21" s="7">
        <v>19</v>
      </c>
      <c r="C21" s="7">
        <v>19</v>
      </c>
      <c r="D21" s="7">
        <v>19</v>
      </c>
      <c r="E21" s="7">
        <f t="shared" si="4"/>
        <v>19.95</v>
      </c>
      <c r="F21" s="7">
        <f t="shared" si="5"/>
        <v>19.95</v>
      </c>
      <c r="G21" s="7">
        <f t="shared" si="5"/>
        <v>19.95</v>
      </c>
      <c r="H21" s="7">
        <f t="shared" si="5"/>
        <v>19.95</v>
      </c>
    </row>
    <row r="23" spans="1:8" x14ac:dyDescent="0.35">
      <c r="A23" t="s">
        <v>140</v>
      </c>
      <c r="B23" s="22">
        <f t="shared" ref="B23:C23" si="6">C23*0.98</f>
        <v>7529536</v>
      </c>
      <c r="C23" s="22">
        <f t="shared" si="6"/>
        <v>7683200</v>
      </c>
      <c r="D23" s="22">
        <f>E23*0.98</f>
        <v>7840000</v>
      </c>
      <c r="E23" s="22">
        <v>8000000</v>
      </c>
      <c r="F23" s="22">
        <f>E23*1.02</f>
        <v>8160000</v>
      </c>
      <c r="G23" s="22">
        <f t="shared" ref="G23:H23" si="7">F23*1.02</f>
        <v>8323200</v>
      </c>
      <c r="H23" s="22">
        <f t="shared" si="7"/>
        <v>8489664</v>
      </c>
    </row>
    <row r="24" spans="1:8" x14ac:dyDescent="0.35">
      <c r="A24" t="s">
        <v>139</v>
      </c>
      <c r="B24" s="22">
        <f t="shared" ref="B24:C24" si="8">C24*0.98</f>
        <v>6211867.2000000002</v>
      </c>
      <c r="C24" s="22">
        <f t="shared" si="8"/>
        <v>6338640</v>
      </c>
      <c r="D24" s="22">
        <f>E24*0.98</f>
        <v>6468000</v>
      </c>
      <c r="E24" s="22">
        <v>6600000</v>
      </c>
      <c r="F24" s="22">
        <f>E24*1.02</f>
        <v>6732000</v>
      </c>
      <c r="G24" s="22">
        <f t="shared" ref="G24:H24" si="9">F24*1.02</f>
        <v>6866640</v>
      </c>
      <c r="H24" s="22">
        <f t="shared" si="9"/>
        <v>7003972.7999999998</v>
      </c>
    </row>
    <row r="25" spans="1:8" x14ac:dyDescent="0.35">
      <c r="A25" t="s">
        <v>80</v>
      </c>
      <c r="B25" s="19">
        <f t="shared" ref="B25:C25" si="10">C25*0.98</f>
        <v>4423602.4000000004</v>
      </c>
      <c r="C25" s="19">
        <f t="shared" si="10"/>
        <v>4513880</v>
      </c>
      <c r="D25" s="19">
        <f>E25*0.98</f>
        <v>4606000</v>
      </c>
      <c r="E25" s="22">
        <v>4700000</v>
      </c>
      <c r="F25" s="22">
        <f>E25*1.02</f>
        <v>4794000</v>
      </c>
      <c r="G25" s="22">
        <f t="shared" ref="G25:H25" si="11">F25*1.02</f>
        <v>4889880</v>
      </c>
      <c r="H25" s="22">
        <f t="shared" si="11"/>
        <v>4987677.5999999996</v>
      </c>
    </row>
    <row r="26" spans="1:8" x14ac:dyDescent="0.35">
      <c r="A26" t="s">
        <v>144</v>
      </c>
      <c r="B26" s="19">
        <f>SUM(B23:B25)</f>
        <v>18165005.600000001</v>
      </c>
      <c r="C26" s="19">
        <f t="shared" ref="C26:E26" si="12">SUM(C23:C25)</f>
        <v>18535720</v>
      </c>
      <c r="D26" s="19">
        <f t="shared" si="12"/>
        <v>18914000</v>
      </c>
      <c r="E26" s="19">
        <f t="shared" si="12"/>
        <v>19300000</v>
      </c>
      <c r="F26" s="19">
        <f t="shared" ref="F26" si="13">SUM(F23:F25)</f>
        <v>19686000</v>
      </c>
      <c r="G26" s="19">
        <f t="shared" ref="G26" si="14">SUM(G23:G25)</f>
        <v>20079720</v>
      </c>
      <c r="H26" s="19">
        <f t="shared" ref="H26" si="15">SUM(H23:H25)</f>
        <v>20481314.399999999</v>
      </c>
    </row>
    <row r="27" spans="1:8" x14ac:dyDescent="0.35">
      <c r="B27" s="19"/>
      <c r="C27" s="19"/>
      <c r="D27" s="19"/>
      <c r="E27" s="19"/>
      <c r="F27" s="19"/>
      <c r="G27" s="19"/>
      <c r="H27" s="19"/>
    </row>
    <row r="28" spans="1:8" x14ac:dyDescent="0.35">
      <c r="A28" t="s">
        <v>78</v>
      </c>
      <c r="B28" s="19">
        <f t="shared" ref="B28:H28" si="16">B23*(1+ B161)</f>
        <v>6513048.6399999997</v>
      </c>
      <c r="C28" s="19">
        <f t="shared" si="16"/>
        <v>8028943.9999999991</v>
      </c>
      <c r="D28" s="19">
        <f t="shared" si="16"/>
        <v>8428000</v>
      </c>
      <c r="E28" s="19">
        <f t="shared" si="16"/>
        <v>8000000</v>
      </c>
      <c r="F28" s="19">
        <f t="shared" si="16"/>
        <v>8160000</v>
      </c>
      <c r="G28" s="19">
        <f t="shared" si="16"/>
        <v>8323200</v>
      </c>
      <c r="H28" s="19">
        <f t="shared" si="16"/>
        <v>8489664</v>
      </c>
    </row>
    <row r="29" spans="1:8" x14ac:dyDescent="0.35">
      <c r="A29" t="s">
        <v>79</v>
      </c>
      <c r="B29" s="19">
        <f t="shared" ref="B29:H29" si="17">B24*(1+ B161)</f>
        <v>5373265.1280000005</v>
      </c>
      <c r="C29" s="19">
        <f t="shared" si="17"/>
        <v>6623878.7999999998</v>
      </c>
      <c r="D29" s="19">
        <f t="shared" si="17"/>
        <v>6953100</v>
      </c>
      <c r="E29" s="19">
        <f t="shared" si="17"/>
        <v>6600000</v>
      </c>
      <c r="F29" s="19">
        <f t="shared" si="17"/>
        <v>6732000</v>
      </c>
      <c r="G29" s="19">
        <f t="shared" si="17"/>
        <v>6866640</v>
      </c>
      <c r="H29" s="19">
        <f t="shared" si="17"/>
        <v>7003972.7999999998</v>
      </c>
    </row>
    <row r="30" spans="1:8" x14ac:dyDescent="0.35">
      <c r="A30" t="s">
        <v>80</v>
      </c>
      <c r="B30" s="19">
        <f t="shared" ref="B30:H30" si="18">B25*(1+ B161)</f>
        <v>3826416.0760000004</v>
      </c>
      <c r="C30" s="19">
        <f t="shared" si="18"/>
        <v>4717004.5999999996</v>
      </c>
      <c r="D30" s="19">
        <f t="shared" si="18"/>
        <v>4951450</v>
      </c>
      <c r="E30" s="19">
        <f t="shared" si="18"/>
        <v>4700000</v>
      </c>
      <c r="F30" s="19">
        <f t="shared" si="18"/>
        <v>4794000</v>
      </c>
      <c r="G30" s="19">
        <f t="shared" si="18"/>
        <v>4889880</v>
      </c>
      <c r="H30" s="19">
        <f t="shared" si="18"/>
        <v>4987677.5999999996</v>
      </c>
    </row>
    <row r="31" spans="1:8" x14ac:dyDescent="0.35">
      <c r="A31" t="s">
        <v>81</v>
      </c>
      <c r="B31" s="19">
        <f>SUM(B28:B30)</f>
        <v>15712729.844000001</v>
      </c>
      <c r="C31" s="19">
        <f t="shared" ref="C31:H31" si="19">SUM(C28:C30)</f>
        <v>19369827.399999999</v>
      </c>
      <c r="D31" s="19">
        <f t="shared" si="19"/>
        <v>20332550</v>
      </c>
      <c r="E31" s="19">
        <f t="shared" si="19"/>
        <v>19300000</v>
      </c>
      <c r="F31" s="19">
        <f t="shared" si="19"/>
        <v>19686000</v>
      </c>
      <c r="G31" s="19">
        <f t="shared" si="19"/>
        <v>20079720</v>
      </c>
      <c r="H31" s="19">
        <f t="shared" si="19"/>
        <v>20481314.399999999</v>
      </c>
    </row>
    <row r="32" spans="1:8" x14ac:dyDescent="0.35">
      <c r="B32" s="19"/>
      <c r="C32" s="19"/>
      <c r="D32" s="19"/>
      <c r="E32" s="19"/>
      <c r="F32" s="22"/>
      <c r="G32" s="22"/>
      <c r="H32" s="22"/>
    </row>
    <row r="33" spans="1:8" x14ac:dyDescent="0.35">
      <c r="A33" t="s">
        <v>88</v>
      </c>
      <c r="B33" s="20">
        <f>B15*B28</f>
        <v>130260972.8</v>
      </c>
      <c r="C33" s="20">
        <f t="shared" ref="C33:H33" si="20">C15*C28</f>
        <v>160578879.99999997</v>
      </c>
      <c r="D33" s="20">
        <f t="shared" si="20"/>
        <v>168560000</v>
      </c>
      <c r="E33" s="20">
        <f t="shared" si="20"/>
        <v>160000000</v>
      </c>
      <c r="F33" s="20">
        <f t="shared" si="20"/>
        <v>163200000</v>
      </c>
      <c r="G33" s="20">
        <f t="shared" si="20"/>
        <v>166464000</v>
      </c>
      <c r="H33" s="20">
        <f t="shared" si="20"/>
        <v>169793280</v>
      </c>
    </row>
    <row r="34" spans="1:8" x14ac:dyDescent="0.35">
      <c r="A34" t="s">
        <v>89</v>
      </c>
      <c r="B34" s="20">
        <f>B12*B24</f>
        <v>198779750.40000001</v>
      </c>
      <c r="C34" s="20">
        <f t="shared" ref="C34:D34" si="21">C12*C24</f>
        <v>202836480</v>
      </c>
      <c r="D34" s="20">
        <f t="shared" si="21"/>
        <v>206976000</v>
      </c>
      <c r="E34" s="20">
        <f>E12*E29</f>
        <v>211200000</v>
      </c>
      <c r="F34" s="20">
        <f>F16*F29</f>
        <v>215424000</v>
      </c>
      <c r="G34" s="20">
        <f t="shared" ref="G34:H34" si="22">G16*G29</f>
        <v>219732480</v>
      </c>
      <c r="H34" s="20">
        <f t="shared" si="22"/>
        <v>224127129.59999999</v>
      </c>
    </row>
    <row r="35" spans="1:8" x14ac:dyDescent="0.35">
      <c r="A35" t="s">
        <v>90</v>
      </c>
      <c r="B35" s="20">
        <f>B13*B25</f>
        <v>199062108.00000003</v>
      </c>
      <c r="C35" s="20">
        <f t="shared" ref="C35:D35" si="23">C13*C25</f>
        <v>203124600</v>
      </c>
      <c r="D35" s="20">
        <f t="shared" si="23"/>
        <v>207270000</v>
      </c>
      <c r="E35" s="20">
        <f>E13*E30</f>
        <v>211500000</v>
      </c>
      <c r="F35" s="20">
        <f>F17*F30</f>
        <v>215730000</v>
      </c>
      <c r="G35" s="20">
        <f t="shared" ref="G35:H35" si="24">G17*G30</f>
        <v>220044600</v>
      </c>
      <c r="H35" s="20">
        <f t="shared" si="24"/>
        <v>224445491.99999997</v>
      </c>
    </row>
    <row r="36" spans="1:8" x14ac:dyDescent="0.35">
      <c r="A36" t="s">
        <v>91</v>
      </c>
      <c r="B36" s="20">
        <f>SUM(B33:B35)</f>
        <v>528102831.20000005</v>
      </c>
      <c r="C36" s="20">
        <f t="shared" ref="C36:H36" si="25">SUM(C33:C35)</f>
        <v>566539960</v>
      </c>
      <c r="D36" s="20">
        <f t="shared" si="25"/>
        <v>582806000</v>
      </c>
      <c r="E36" s="20">
        <f t="shared" si="25"/>
        <v>582700000</v>
      </c>
      <c r="F36" s="20">
        <f t="shared" si="25"/>
        <v>594354000</v>
      </c>
      <c r="G36" s="20">
        <f t="shared" si="25"/>
        <v>606241080</v>
      </c>
      <c r="H36" s="20">
        <f t="shared" si="25"/>
        <v>618365901.60000002</v>
      </c>
    </row>
    <row r="37" spans="1:8" x14ac:dyDescent="0.35">
      <c r="B37" s="19"/>
      <c r="C37" s="19"/>
      <c r="D37" s="19"/>
      <c r="E37" s="19"/>
      <c r="F37" s="22"/>
      <c r="G37" s="22"/>
      <c r="H37" s="22"/>
    </row>
    <row r="38" spans="1:8" x14ac:dyDescent="0.35">
      <c r="A38" t="s">
        <v>92</v>
      </c>
      <c r="B38" s="20">
        <f>B19*B28</f>
        <v>52104389.119999997</v>
      </c>
      <c r="C38" s="20">
        <f t="shared" ref="C38:D38" si="26">C19*C28</f>
        <v>64231551.999999993</v>
      </c>
      <c r="D38" s="20">
        <f t="shared" si="26"/>
        <v>67424000</v>
      </c>
      <c r="E38" s="20">
        <f>E19*E28</f>
        <v>67200000</v>
      </c>
      <c r="F38" s="20">
        <f t="shared" ref="F38:H38" si="27">F19*F28</f>
        <v>68544000</v>
      </c>
      <c r="G38" s="20">
        <f t="shared" si="27"/>
        <v>69914880</v>
      </c>
      <c r="H38" s="20">
        <f t="shared" si="27"/>
        <v>71313177.600000009</v>
      </c>
    </row>
    <row r="39" spans="1:8" x14ac:dyDescent="0.35">
      <c r="A39" t="s">
        <v>93</v>
      </c>
      <c r="B39" s="20">
        <f t="shared" ref="B39:H40" si="28">B20*B29</f>
        <v>64479181.536000006</v>
      </c>
      <c r="C39" s="20">
        <f t="shared" si="28"/>
        <v>79486545.599999994</v>
      </c>
      <c r="D39" s="20">
        <f t="shared" si="28"/>
        <v>83437200</v>
      </c>
      <c r="E39" s="20">
        <f t="shared" si="28"/>
        <v>83160000.000000015</v>
      </c>
      <c r="F39" s="20">
        <f t="shared" si="28"/>
        <v>84823200.000000015</v>
      </c>
      <c r="G39" s="20">
        <f t="shared" si="28"/>
        <v>86519664.000000015</v>
      </c>
      <c r="H39" s="20">
        <f t="shared" si="28"/>
        <v>88250057.280000001</v>
      </c>
    </row>
    <row r="40" spans="1:8" x14ac:dyDescent="0.35">
      <c r="A40" t="s">
        <v>94</v>
      </c>
      <c r="B40" s="20">
        <f t="shared" si="28"/>
        <v>72701905.444000006</v>
      </c>
      <c r="C40" s="20">
        <f t="shared" si="28"/>
        <v>89623087.399999991</v>
      </c>
      <c r="D40" s="20">
        <f t="shared" si="28"/>
        <v>94077550</v>
      </c>
      <c r="E40" s="20">
        <f t="shared" si="28"/>
        <v>93765000</v>
      </c>
      <c r="F40" s="20">
        <f t="shared" si="28"/>
        <v>95640300</v>
      </c>
      <c r="G40" s="20">
        <f t="shared" si="28"/>
        <v>97553106</v>
      </c>
      <c r="H40" s="20">
        <f t="shared" si="28"/>
        <v>99504168.11999999</v>
      </c>
    </row>
    <row r="41" spans="1:8" x14ac:dyDescent="0.35">
      <c r="A41" t="s">
        <v>95</v>
      </c>
      <c r="B41" s="7">
        <f>SUM(B38:B40)</f>
        <v>189285476.10000002</v>
      </c>
      <c r="C41" s="7">
        <f t="shared" ref="C41:H41" si="29">SUM(C38:C40)</f>
        <v>233341185</v>
      </c>
      <c r="D41" s="7">
        <f t="shared" si="29"/>
        <v>244938750</v>
      </c>
      <c r="E41" s="7">
        <f>SUM(E38:E40)</f>
        <v>244125000</v>
      </c>
      <c r="F41" s="7">
        <f t="shared" si="29"/>
        <v>249007500</v>
      </c>
      <c r="G41" s="7">
        <f t="shared" si="29"/>
        <v>253987650</v>
      </c>
      <c r="H41" s="7">
        <f t="shared" si="29"/>
        <v>259067403</v>
      </c>
    </row>
    <row r="42" spans="1:8" x14ac:dyDescent="0.35">
      <c r="B42" s="7"/>
      <c r="C42" s="7"/>
      <c r="D42" s="7"/>
      <c r="E42" s="7"/>
      <c r="F42" s="7"/>
      <c r="G42" s="7"/>
      <c r="H42" s="7"/>
    </row>
    <row r="43" spans="1:8" x14ac:dyDescent="0.35">
      <c r="B43" s="7"/>
      <c r="C43" s="7"/>
      <c r="D43" s="7"/>
      <c r="E43" s="7"/>
      <c r="F43" s="7"/>
      <c r="G43" s="7"/>
      <c r="H43" s="7"/>
    </row>
    <row r="44" spans="1:8" x14ac:dyDescent="0.35">
      <c r="A44" s="1" t="s">
        <v>9</v>
      </c>
      <c r="B44" s="1" t="s">
        <v>64</v>
      </c>
    </row>
    <row r="45" spans="1:8" x14ac:dyDescent="0.35">
      <c r="A45" t="s">
        <v>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 t="s">
        <v>2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 t="s">
        <v>1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 t="s">
        <v>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 t="s">
        <v>5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 t="s">
        <v>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5">
      <c r="A51" t="s">
        <v>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 s="1" t="s">
        <v>180</v>
      </c>
      <c r="B52">
        <f>SUM(B45:B51)</f>
        <v>3</v>
      </c>
      <c r="C52">
        <f t="shared" ref="C52:H52" si="30">SUM(C45:C51)</f>
        <v>3</v>
      </c>
      <c r="D52">
        <f t="shared" si="30"/>
        <v>0</v>
      </c>
      <c r="E52">
        <f t="shared" si="30"/>
        <v>0</v>
      </c>
      <c r="F52">
        <f t="shared" si="30"/>
        <v>0</v>
      </c>
      <c r="G52">
        <f t="shared" si="30"/>
        <v>0</v>
      </c>
      <c r="H52">
        <f t="shared" si="30"/>
        <v>0</v>
      </c>
    </row>
    <row r="53" spans="1:8" x14ac:dyDescent="0.35">
      <c r="A53" s="1"/>
    </row>
    <row r="54" spans="1:8" x14ac:dyDescent="0.35">
      <c r="A54" s="1"/>
    </row>
    <row r="55" spans="1:8" x14ac:dyDescent="0.35">
      <c r="A55" s="1" t="s">
        <v>184</v>
      </c>
      <c r="B55">
        <f t="shared" ref="B55:D55" si="31">IF(AND(B45=1, B48=1), 1, 0)</f>
        <v>0</v>
      </c>
      <c r="C55">
        <f t="shared" si="31"/>
        <v>0</v>
      </c>
      <c r="D55">
        <f t="shared" si="31"/>
        <v>0</v>
      </c>
      <c r="E55">
        <f>IF(AND(E45=1, E48=1), 1, 0)</f>
        <v>0</v>
      </c>
      <c r="F55">
        <f t="shared" ref="F55:H55" si="32">IF(AND(F45=1, F48=1), 1, 0)</f>
        <v>0</v>
      </c>
      <c r="G55">
        <f t="shared" si="32"/>
        <v>0</v>
      </c>
      <c r="H55">
        <f t="shared" si="32"/>
        <v>0</v>
      </c>
    </row>
    <row r="56" spans="1:8" x14ac:dyDescent="0.35">
      <c r="A56" s="1"/>
    </row>
    <row r="57" spans="1:8" x14ac:dyDescent="0.35">
      <c r="A57" s="1" t="s">
        <v>8</v>
      </c>
      <c r="B57" s="1" t="s">
        <v>63</v>
      </c>
    </row>
    <row r="58" spans="1:8" x14ac:dyDescent="0.35">
      <c r="A58" t="s">
        <v>10</v>
      </c>
      <c r="B58">
        <v>1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 t="s">
        <v>11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 t="s">
        <v>12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 t="s">
        <v>13</v>
      </c>
      <c r="B61">
        <v>1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 t="s">
        <v>14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 t="s">
        <v>15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 t="s">
        <v>16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 t="s">
        <v>17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 t="s">
        <v>18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 t="s">
        <v>19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 t="s">
        <v>26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 s="1" t="s">
        <v>181</v>
      </c>
      <c r="B69">
        <f>SUM(B58:B68)</f>
        <v>4</v>
      </c>
      <c r="C69">
        <f t="shared" ref="C69:H69" si="33">SUM(C58:C68)</f>
        <v>4</v>
      </c>
      <c r="D69">
        <f t="shared" si="33"/>
        <v>0</v>
      </c>
      <c r="E69">
        <f t="shared" si="33"/>
        <v>0</v>
      </c>
      <c r="F69">
        <f t="shared" si="33"/>
        <v>0</v>
      </c>
      <c r="G69">
        <f t="shared" si="33"/>
        <v>0</v>
      </c>
      <c r="H69">
        <f t="shared" si="33"/>
        <v>0</v>
      </c>
    </row>
    <row r="71" spans="1:8" x14ac:dyDescent="0.35">
      <c r="A71" s="1" t="s">
        <v>20</v>
      </c>
    </row>
    <row r="72" spans="1:8" x14ac:dyDescent="0.35">
      <c r="A72" t="s">
        <v>21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 t="s">
        <v>22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 t="s">
        <v>23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 t="s">
        <v>24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 s="1" t="s">
        <v>182</v>
      </c>
      <c r="B76">
        <f>SUM(B72:B75)</f>
        <v>1</v>
      </c>
      <c r="C76">
        <f t="shared" ref="C76:H76" si="34">SUM(C72:C75)</f>
        <v>1</v>
      </c>
      <c r="D76">
        <f t="shared" si="34"/>
        <v>0</v>
      </c>
      <c r="E76">
        <f t="shared" si="34"/>
        <v>0</v>
      </c>
      <c r="F76">
        <f t="shared" si="34"/>
        <v>0</v>
      </c>
      <c r="G76">
        <f t="shared" si="34"/>
        <v>0</v>
      </c>
      <c r="H76">
        <f t="shared" si="34"/>
        <v>0</v>
      </c>
    </row>
    <row r="77" spans="1:8" x14ac:dyDescent="0.35">
      <c r="A77" s="1"/>
    </row>
    <row r="78" spans="1:8" x14ac:dyDescent="0.35">
      <c r="A78" s="1" t="s">
        <v>183</v>
      </c>
      <c r="B78">
        <f>IF(AND(B52=3, B69=4, B76=1), 1, 0)</f>
        <v>1</v>
      </c>
      <c r="C78">
        <f t="shared" ref="C78:H78" si="35">IF(AND(C52=3, C69=4, C76=1), 1, 0)</f>
        <v>1</v>
      </c>
      <c r="D78">
        <f t="shared" si="35"/>
        <v>0</v>
      </c>
      <c r="E78">
        <f t="shared" si="35"/>
        <v>0</v>
      </c>
      <c r="F78">
        <f t="shared" si="35"/>
        <v>0</v>
      </c>
      <c r="G78">
        <f t="shared" si="35"/>
        <v>0</v>
      </c>
      <c r="H78">
        <f t="shared" si="35"/>
        <v>0</v>
      </c>
    </row>
    <row r="80" spans="1:8" x14ac:dyDescent="0.35">
      <c r="A80" s="1" t="s">
        <v>163</v>
      </c>
    </row>
    <row r="81" spans="1:9" x14ac:dyDescent="0.35">
      <c r="A81" t="s">
        <v>164</v>
      </c>
      <c r="B81">
        <f t="shared" ref="B81:H81" si="36">IF(B45, 1.2,1)</f>
        <v>1</v>
      </c>
      <c r="C81">
        <f t="shared" si="36"/>
        <v>1</v>
      </c>
      <c r="D81">
        <f t="shared" si="36"/>
        <v>1</v>
      </c>
      <c r="E81">
        <f t="shared" si="36"/>
        <v>1</v>
      </c>
      <c r="F81">
        <f t="shared" si="36"/>
        <v>1</v>
      </c>
      <c r="G81">
        <f t="shared" si="36"/>
        <v>1</v>
      </c>
      <c r="H81">
        <f t="shared" si="36"/>
        <v>1</v>
      </c>
    </row>
    <row r="82" spans="1:9" x14ac:dyDescent="0.35">
      <c r="A82" t="s">
        <v>165</v>
      </c>
      <c r="B82">
        <f t="shared" ref="B82:H82" si="37">IF(B48, 0.8, 1)</f>
        <v>1</v>
      </c>
      <c r="C82">
        <f t="shared" si="37"/>
        <v>1</v>
      </c>
      <c r="D82">
        <f t="shared" si="37"/>
        <v>1</v>
      </c>
      <c r="E82">
        <f t="shared" si="37"/>
        <v>1</v>
      </c>
      <c r="F82">
        <f t="shared" si="37"/>
        <v>1</v>
      </c>
      <c r="G82">
        <f t="shared" si="37"/>
        <v>1</v>
      </c>
      <c r="H82">
        <f t="shared" si="37"/>
        <v>1</v>
      </c>
    </row>
    <row r="84" spans="1:9" x14ac:dyDescent="0.35">
      <c r="A84" s="1" t="s">
        <v>168</v>
      </c>
    </row>
    <row r="85" spans="1:9" x14ac:dyDescent="0.35">
      <c r="A85" t="s">
        <v>169</v>
      </c>
      <c r="B85" s="14">
        <f t="shared" ref="B85:C85" si="38">C85*0.94</f>
        <v>74752560</v>
      </c>
      <c r="C85" s="14">
        <f t="shared" si="38"/>
        <v>79524000</v>
      </c>
      <c r="D85" s="14">
        <f>E85*0.94</f>
        <v>84600000</v>
      </c>
      <c r="E85" s="7">
        <v>90000000</v>
      </c>
      <c r="F85" s="14">
        <f>E85*1.06</f>
        <v>95400000</v>
      </c>
      <c r="G85" s="14">
        <f t="shared" ref="G85:H85" si="39">F85*1.06</f>
        <v>101124000</v>
      </c>
      <c r="H85" s="14">
        <f t="shared" si="39"/>
        <v>107191440</v>
      </c>
    </row>
    <row r="86" spans="1:9" x14ac:dyDescent="0.35">
      <c r="A86" t="s">
        <v>170</v>
      </c>
      <c r="B86" s="26">
        <v>20</v>
      </c>
      <c r="C86" s="26">
        <v>20</v>
      </c>
      <c r="D86" s="26">
        <v>19</v>
      </c>
      <c r="E86" s="26">
        <v>23</v>
      </c>
      <c r="F86" s="26">
        <v>23</v>
      </c>
      <c r="G86" s="26">
        <v>23</v>
      </c>
      <c r="H86" s="26">
        <v>23</v>
      </c>
      <c r="I86" s="24"/>
    </row>
    <row r="87" spans="1:9" x14ac:dyDescent="0.35">
      <c r="A87" t="s">
        <v>171</v>
      </c>
      <c r="B87" s="26">
        <v>80</v>
      </c>
      <c r="C87" s="26">
        <v>60</v>
      </c>
      <c r="D87" s="26">
        <v>65</v>
      </c>
      <c r="E87" s="26">
        <v>61</v>
      </c>
      <c r="F87" s="26">
        <v>61</v>
      </c>
      <c r="G87" s="26">
        <v>61</v>
      </c>
      <c r="H87" s="26">
        <v>61</v>
      </c>
      <c r="I87" s="24"/>
    </row>
    <row r="88" spans="1:9" x14ac:dyDescent="0.35">
      <c r="A88" t="s">
        <v>172</v>
      </c>
      <c r="B88" s="26">
        <v>20</v>
      </c>
      <c r="C88" s="26">
        <v>20</v>
      </c>
      <c r="D88" s="26">
        <v>16</v>
      </c>
      <c r="E88" s="26">
        <v>16</v>
      </c>
      <c r="F88" s="26">
        <v>16</v>
      </c>
      <c r="G88" s="26">
        <v>16</v>
      </c>
      <c r="H88" s="26">
        <v>16</v>
      </c>
      <c r="I88" s="24"/>
    </row>
    <row r="89" spans="1:9" x14ac:dyDescent="0.35">
      <c r="A89" t="s">
        <v>173</v>
      </c>
      <c r="B89">
        <f>SUM(B86:B88)</f>
        <v>120</v>
      </c>
      <c r="C89">
        <f t="shared" ref="C89:H89" si="40">SUM(C86:C88)</f>
        <v>100</v>
      </c>
      <c r="D89">
        <f t="shared" si="40"/>
        <v>100</v>
      </c>
      <c r="E89">
        <f t="shared" si="40"/>
        <v>100</v>
      </c>
      <c r="F89">
        <f t="shared" si="40"/>
        <v>100</v>
      </c>
      <c r="G89">
        <f t="shared" si="40"/>
        <v>100</v>
      </c>
      <c r="H89">
        <f t="shared" si="40"/>
        <v>100</v>
      </c>
    </row>
    <row r="90" spans="1:9" x14ac:dyDescent="0.35">
      <c r="B90" s="2"/>
      <c r="C90" s="2"/>
      <c r="D90" s="2"/>
      <c r="E90" s="2"/>
      <c r="F90" s="2"/>
      <c r="G90" s="2"/>
      <c r="H90" s="2"/>
    </row>
    <row r="91" spans="1:9" x14ac:dyDescent="0.35">
      <c r="A91" t="s">
        <v>176</v>
      </c>
      <c r="B91" s="7">
        <f>B85*(B86 / 100)</f>
        <v>14950512</v>
      </c>
      <c r="C91" s="7">
        <f t="shared" ref="C91:H91" si="41">C85*(C86 / 100)</f>
        <v>15904800</v>
      </c>
      <c r="D91" s="7">
        <f t="shared" si="41"/>
        <v>16074000</v>
      </c>
      <c r="E91" s="7">
        <f t="shared" si="41"/>
        <v>20700000</v>
      </c>
      <c r="F91" s="7">
        <f t="shared" si="41"/>
        <v>21942000</v>
      </c>
      <c r="G91" s="7">
        <f t="shared" si="41"/>
        <v>23258520</v>
      </c>
      <c r="H91" s="7">
        <f t="shared" si="41"/>
        <v>24654031.199999999</v>
      </c>
    </row>
    <row r="92" spans="1:9" x14ac:dyDescent="0.35">
      <c r="A92" t="s">
        <v>175</v>
      </c>
      <c r="B92" s="7">
        <f>B85*(B87 / 100)</f>
        <v>59802048</v>
      </c>
      <c r="C92" s="7">
        <f t="shared" ref="C92:H92" si="42">C85*(C87 / 100)</f>
        <v>47714400</v>
      </c>
      <c r="D92" s="7">
        <f t="shared" si="42"/>
        <v>54990000</v>
      </c>
      <c r="E92" s="7">
        <f t="shared" si="42"/>
        <v>54900000</v>
      </c>
      <c r="F92" s="7">
        <f t="shared" si="42"/>
        <v>58194000</v>
      </c>
      <c r="G92" s="7">
        <f t="shared" si="42"/>
        <v>61685640</v>
      </c>
      <c r="H92" s="7">
        <f t="shared" si="42"/>
        <v>65386778.399999999</v>
      </c>
    </row>
    <row r="93" spans="1:9" x14ac:dyDescent="0.35">
      <c r="A93" t="s">
        <v>174</v>
      </c>
      <c r="B93" s="7">
        <f>B85*(B88 /100)</f>
        <v>14950512</v>
      </c>
      <c r="C93" s="7">
        <f t="shared" ref="C93:H93" si="43">C85*(C88 /100)</f>
        <v>15904800</v>
      </c>
      <c r="D93" s="7">
        <f t="shared" si="43"/>
        <v>13536000</v>
      </c>
      <c r="E93" s="7">
        <f t="shared" si="43"/>
        <v>14400000</v>
      </c>
      <c r="F93" s="7">
        <f t="shared" si="43"/>
        <v>15264000</v>
      </c>
      <c r="G93" s="7">
        <f t="shared" si="43"/>
        <v>16179840</v>
      </c>
      <c r="H93" s="7">
        <f t="shared" si="43"/>
        <v>17150630.399999999</v>
      </c>
    </row>
    <row r="94" spans="1:9" x14ac:dyDescent="0.35">
      <c r="B94" s="7"/>
      <c r="C94" s="7"/>
      <c r="D94" s="7"/>
      <c r="E94" s="7"/>
      <c r="F94" s="7"/>
      <c r="G94" s="7"/>
      <c r="H94" s="7"/>
    </row>
    <row r="95" spans="1:9" x14ac:dyDescent="0.35">
      <c r="A95" t="s">
        <v>177</v>
      </c>
      <c r="B95" s="7"/>
      <c r="C95" s="25">
        <f t="shared" ref="C95:D95" si="44">C86-B86</f>
        <v>0</v>
      </c>
      <c r="D95" s="25">
        <f t="shared" si="44"/>
        <v>-1</v>
      </c>
      <c r="E95" s="25">
        <f>E86-D86</f>
        <v>4</v>
      </c>
      <c r="F95" s="25">
        <f t="shared" ref="F95:H95" si="45">F86-E86</f>
        <v>0</v>
      </c>
      <c r="G95" s="25">
        <f t="shared" si="45"/>
        <v>0</v>
      </c>
      <c r="H95" s="25">
        <f t="shared" si="45"/>
        <v>0</v>
      </c>
    </row>
    <row r="96" spans="1:9" x14ac:dyDescent="0.35">
      <c r="A96" t="s">
        <v>178</v>
      </c>
      <c r="B96" s="7"/>
      <c r="C96" s="25">
        <f t="shared" ref="C96:D96" si="46">C87-B87</f>
        <v>-20</v>
      </c>
      <c r="D96" s="25">
        <f t="shared" si="46"/>
        <v>5</v>
      </c>
      <c r="E96" s="25">
        <f>E87-D87</f>
        <v>-4</v>
      </c>
      <c r="F96" s="25">
        <f t="shared" ref="F96:H96" si="47">F87-E87</f>
        <v>0</v>
      </c>
      <c r="G96" s="25">
        <f t="shared" si="47"/>
        <v>0</v>
      </c>
      <c r="H96" s="25">
        <f t="shared" si="47"/>
        <v>0</v>
      </c>
    </row>
    <row r="97" spans="1:8" x14ac:dyDescent="0.35">
      <c r="A97" t="s">
        <v>179</v>
      </c>
      <c r="B97" s="7"/>
      <c r="C97" s="25">
        <f t="shared" ref="C97:G97" si="48">C88-B88</f>
        <v>0</v>
      </c>
      <c r="D97" s="25">
        <f t="shared" si="48"/>
        <v>-4</v>
      </c>
      <c r="E97" s="25">
        <f>E88-D88</f>
        <v>0</v>
      </c>
      <c r="F97" s="25">
        <f t="shared" si="48"/>
        <v>0</v>
      </c>
      <c r="G97" s="25">
        <f t="shared" si="48"/>
        <v>0</v>
      </c>
      <c r="H97" s="25">
        <f>H88-G88</f>
        <v>0</v>
      </c>
    </row>
    <row r="99" spans="1:8" x14ac:dyDescent="0.35">
      <c r="A99" s="1" t="s">
        <v>104</v>
      </c>
    </row>
    <row r="100" spans="1:8" x14ac:dyDescent="0.35">
      <c r="A100" t="s">
        <v>96</v>
      </c>
      <c r="B100" s="3">
        <f t="shared" ref="B100:H100" si="49">IF(B45,-0.05,0)</f>
        <v>0</v>
      </c>
      <c r="C100" s="3">
        <f t="shared" si="49"/>
        <v>0</v>
      </c>
      <c r="D100" s="3">
        <f t="shared" si="49"/>
        <v>0</v>
      </c>
      <c r="E100" s="3">
        <f t="shared" si="49"/>
        <v>0</v>
      </c>
      <c r="F100" s="3">
        <f t="shared" si="49"/>
        <v>0</v>
      </c>
      <c r="G100" s="3">
        <f t="shared" si="49"/>
        <v>0</v>
      </c>
      <c r="H100" s="3">
        <f t="shared" si="49"/>
        <v>0</v>
      </c>
    </row>
    <row r="101" spans="1:8" x14ac:dyDescent="0.35">
      <c r="A101" t="s">
        <v>98</v>
      </c>
      <c r="B101" s="3">
        <f t="shared" ref="B101:H101" si="50">IF(B46,0,0)</f>
        <v>0</v>
      </c>
      <c r="C101" s="3">
        <f t="shared" si="50"/>
        <v>0</v>
      </c>
      <c r="D101" s="3">
        <f t="shared" si="50"/>
        <v>0</v>
      </c>
      <c r="E101" s="3">
        <f t="shared" si="50"/>
        <v>0</v>
      </c>
      <c r="F101" s="3">
        <f t="shared" si="50"/>
        <v>0</v>
      </c>
      <c r="G101" s="3">
        <f t="shared" si="50"/>
        <v>0</v>
      </c>
      <c r="H101" s="3">
        <f t="shared" si="50"/>
        <v>0</v>
      </c>
    </row>
    <row r="102" spans="1:8" x14ac:dyDescent="0.35">
      <c r="A102" t="s">
        <v>99</v>
      </c>
      <c r="B102" s="3">
        <f>IF(B47,-0.02,0)</f>
        <v>-0.02</v>
      </c>
      <c r="C102" s="3">
        <f>IF(C47,-0.02,0)</f>
        <v>-0.02</v>
      </c>
      <c r="D102" s="3">
        <v>0.04</v>
      </c>
      <c r="E102" s="3">
        <f>IF(E47,-0.08,0)</f>
        <v>0</v>
      </c>
      <c r="F102" s="3">
        <f>IF(F47,-0.02,0)</f>
        <v>0</v>
      </c>
      <c r="G102" s="3">
        <f>IF(G47,-0.02,0)</f>
        <v>0</v>
      </c>
      <c r="H102" s="3">
        <f>IF(H47,-0.02,0)</f>
        <v>0</v>
      </c>
    </row>
    <row r="103" spans="1:8" x14ac:dyDescent="0.35">
      <c r="A103" t="s">
        <v>100</v>
      </c>
      <c r="B103" s="3">
        <f t="shared" ref="B103:H103" si="51">IF(B48,0.03,0)</f>
        <v>0</v>
      </c>
      <c r="C103" s="3">
        <f t="shared" si="51"/>
        <v>0</v>
      </c>
      <c r="D103" s="3">
        <f t="shared" si="51"/>
        <v>0</v>
      </c>
      <c r="E103" s="3">
        <f t="shared" si="51"/>
        <v>0</v>
      </c>
      <c r="F103" s="3">
        <f t="shared" si="51"/>
        <v>0</v>
      </c>
      <c r="G103" s="3">
        <f t="shared" si="51"/>
        <v>0</v>
      </c>
      <c r="H103" s="3">
        <f t="shared" si="51"/>
        <v>0</v>
      </c>
    </row>
    <row r="104" spans="1:8" x14ac:dyDescent="0.35">
      <c r="A104" t="s">
        <v>101</v>
      </c>
      <c r="B104" s="3">
        <f>IF(B49, -0.4,0)</f>
        <v>-0.4</v>
      </c>
      <c r="C104" s="3">
        <f>IF(C49, -0.4,0)</f>
        <v>-0.4</v>
      </c>
      <c r="D104" s="3">
        <f>-0.4</f>
        <v>-0.4</v>
      </c>
      <c r="E104" s="3">
        <f>IF(E49, -0.4,0)</f>
        <v>0</v>
      </c>
      <c r="F104" s="3">
        <f>IF(F49, -0.4,0)</f>
        <v>0</v>
      </c>
      <c r="G104" s="3">
        <f>IF(G49, -0.4,0)</f>
        <v>0</v>
      </c>
      <c r="H104" s="3">
        <f>IF(H49, -0.4,0)</f>
        <v>0</v>
      </c>
    </row>
    <row r="105" spans="1:8" x14ac:dyDescent="0.35">
      <c r="A105" t="s">
        <v>102</v>
      </c>
      <c r="B105" s="3">
        <f>IF(B50, 1,0)</f>
        <v>0</v>
      </c>
      <c r="C105" s="3">
        <f>IF(C50, 1,0)</f>
        <v>0</v>
      </c>
      <c r="D105" s="3">
        <f>IF(D50, 1,0)</f>
        <v>0</v>
      </c>
      <c r="E105" s="3">
        <f>IF(E50, 0.8,0)</f>
        <v>0</v>
      </c>
      <c r="F105" s="3">
        <f>IF(F50, 0.8,0)</f>
        <v>0</v>
      </c>
      <c r="G105" s="3">
        <f>IF(G50, 0.8,0)</f>
        <v>0</v>
      </c>
      <c r="H105" s="3">
        <f>IF(H50, 0.8,0)</f>
        <v>0</v>
      </c>
    </row>
    <row r="106" spans="1:8" x14ac:dyDescent="0.35">
      <c r="A106" t="s">
        <v>111</v>
      </c>
      <c r="B106" s="3">
        <f>IF(B51, 0.5, 0)</f>
        <v>0</v>
      </c>
      <c r="C106" s="3">
        <f>IF(C51, 0.5, 0)</f>
        <v>0</v>
      </c>
      <c r="D106" s="3">
        <f>IF(D51, 0.5, 0)</f>
        <v>0</v>
      </c>
      <c r="E106" s="3">
        <f>IF(E51, 0.3, 0)</f>
        <v>0</v>
      </c>
      <c r="F106" s="3">
        <f>IF(F51, 0.3, 0)</f>
        <v>0</v>
      </c>
      <c r="G106" s="3">
        <f>IF(G51, 0.3, 0)</f>
        <v>0</v>
      </c>
      <c r="H106" s="3">
        <f>IF(H51, 0.3, 0)</f>
        <v>0</v>
      </c>
    </row>
    <row r="107" spans="1:8" x14ac:dyDescent="0.35">
      <c r="A107" s="1" t="s">
        <v>53</v>
      </c>
      <c r="B107" s="8">
        <f>SUM(B100:B106)/2</f>
        <v>-0.21000000000000002</v>
      </c>
      <c r="C107" s="8">
        <f t="shared" ref="C107:D107" si="52">SUM(C100:C106)/2</f>
        <v>-0.21000000000000002</v>
      </c>
      <c r="D107" s="8">
        <f t="shared" si="52"/>
        <v>-0.18000000000000002</v>
      </c>
      <c r="E107" s="8">
        <f>SUM(E100:E106)/3</f>
        <v>0</v>
      </c>
      <c r="F107" s="8">
        <f t="shared" ref="F107:H107" si="53">SUM(F100:F106)/3</f>
        <v>0</v>
      </c>
      <c r="G107" s="8">
        <f t="shared" si="53"/>
        <v>0</v>
      </c>
      <c r="H107" s="8">
        <f t="shared" si="53"/>
        <v>0</v>
      </c>
    </row>
    <row r="108" spans="1:8" x14ac:dyDescent="0.35">
      <c r="B108" s="3"/>
    </row>
    <row r="109" spans="1:8" x14ac:dyDescent="0.35">
      <c r="A109" s="1" t="s">
        <v>105</v>
      </c>
    </row>
    <row r="110" spans="1:8" x14ac:dyDescent="0.35">
      <c r="A110" t="s">
        <v>97</v>
      </c>
      <c r="B110" s="20">
        <f t="shared" ref="B110:H110" si="54">IF(B45,0,0)</f>
        <v>0</v>
      </c>
      <c r="C110" s="20">
        <f t="shared" si="54"/>
        <v>0</v>
      </c>
      <c r="D110" s="20">
        <f t="shared" si="54"/>
        <v>0</v>
      </c>
      <c r="E110" s="20">
        <f t="shared" si="54"/>
        <v>0</v>
      </c>
      <c r="F110" s="20">
        <f t="shared" si="54"/>
        <v>0</v>
      </c>
      <c r="G110" s="20">
        <f t="shared" si="54"/>
        <v>0</v>
      </c>
      <c r="H110" s="20">
        <f t="shared" si="54"/>
        <v>0</v>
      </c>
    </row>
    <row r="111" spans="1:8" x14ac:dyDescent="0.35">
      <c r="A111" t="s">
        <v>103</v>
      </c>
      <c r="B111" s="20">
        <f>IF(B46,20800000,0)</f>
        <v>20800000</v>
      </c>
      <c r="C111" s="20">
        <f>IF(C46,21250000,0)</f>
        <v>21250000</v>
      </c>
      <c r="D111" s="20">
        <f>22000000</f>
        <v>22000000</v>
      </c>
      <c r="E111" s="20">
        <f>IF(E46,22000000,0)</f>
        <v>0</v>
      </c>
      <c r="F111" s="20">
        <f>IF(F46,22000000,0)</f>
        <v>0</v>
      </c>
      <c r="G111" s="20">
        <f>IF(G46,22000000,0)</f>
        <v>0</v>
      </c>
      <c r="H111" s="20">
        <f>IF(H46,22000000,0)</f>
        <v>0</v>
      </c>
    </row>
    <row r="112" spans="1:8" x14ac:dyDescent="0.35">
      <c r="A112" t="s">
        <v>106</v>
      </c>
      <c r="B112" s="20">
        <f>IF(B47,-3000000,0)</f>
        <v>-3000000</v>
      </c>
      <c r="C112" s="20">
        <f>IF(C47,-3000000,0)</f>
        <v>-3000000</v>
      </c>
      <c r="D112" s="20">
        <f>-3000000</f>
        <v>-3000000</v>
      </c>
      <c r="E112" s="20">
        <f>IF(E47,-3000000,0)</f>
        <v>0</v>
      </c>
      <c r="F112" s="20">
        <f>IF(F47,-3000000,0)</f>
        <v>0</v>
      </c>
      <c r="G112" s="20">
        <f>IF(G47,-3000000,0)</f>
        <v>0</v>
      </c>
      <c r="H112" s="20">
        <f>IF(H47,-3000000,0)</f>
        <v>0</v>
      </c>
    </row>
    <row r="113" spans="1:8" x14ac:dyDescent="0.35">
      <c r="A113" t="s">
        <v>109</v>
      </c>
      <c r="B113" s="20">
        <f t="shared" ref="B113:H113" si="55">IF(B48,0,0)</f>
        <v>0</v>
      </c>
      <c r="C113" s="20">
        <f t="shared" si="55"/>
        <v>0</v>
      </c>
      <c r="D113" s="20">
        <f t="shared" si="55"/>
        <v>0</v>
      </c>
      <c r="E113" s="20">
        <f t="shared" si="55"/>
        <v>0</v>
      </c>
      <c r="F113" s="20">
        <f t="shared" si="55"/>
        <v>0</v>
      </c>
      <c r="G113" s="20">
        <f t="shared" si="55"/>
        <v>0</v>
      </c>
      <c r="H113" s="20">
        <f t="shared" si="55"/>
        <v>0</v>
      </c>
    </row>
    <row r="114" spans="1:8" x14ac:dyDescent="0.35">
      <c r="A114" t="s">
        <v>108</v>
      </c>
      <c r="B114" s="20">
        <f>IF(B49,-4000000,0)</f>
        <v>-4000000</v>
      </c>
      <c r="C114" s="20">
        <f>IF(C49,-4000000,0)</f>
        <v>-4000000</v>
      </c>
      <c r="D114" s="20">
        <f>-4000000</f>
        <v>-4000000</v>
      </c>
      <c r="E114" s="20">
        <f>IF(E49,-4000000,0)</f>
        <v>0</v>
      </c>
      <c r="F114" s="20">
        <f>IF(F49,-4000000,0)</f>
        <v>0</v>
      </c>
      <c r="G114" s="20">
        <f>IF(G49,-4000000,0)</f>
        <v>0</v>
      </c>
      <c r="H114" s="20">
        <f>IF(H49,-4000000,0)</f>
        <v>0</v>
      </c>
    </row>
    <row r="115" spans="1:8" x14ac:dyDescent="0.35">
      <c r="A115" t="s">
        <v>107</v>
      </c>
      <c r="B115" s="20">
        <f t="shared" ref="B115:H115" si="56">IF(B50,10000000,0)</f>
        <v>0</v>
      </c>
      <c r="C115" s="20">
        <f t="shared" si="56"/>
        <v>0</v>
      </c>
      <c r="D115" s="20">
        <f t="shared" si="56"/>
        <v>0</v>
      </c>
      <c r="E115" s="20">
        <f t="shared" si="56"/>
        <v>0</v>
      </c>
      <c r="F115" s="20">
        <f t="shared" si="56"/>
        <v>0</v>
      </c>
      <c r="G115" s="20">
        <f t="shared" si="56"/>
        <v>0</v>
      </c>
      <c r="H115" s="20">
        <f t="shared" si="56"/>
        <v>0</v>
      </c>
    </row>
    <row r="116" spans="1:8" x14ac:dyDescent="0.35">
      <c r="A116" t="s">
        <v>110</v>
      </c>
      <c r="B116" s="20">
        <f>IF(B51,10000000,0)</f>
        <v>0</v>
      </c>
      <c r="C116" s="20">
        <f>IF(C51,10000000,0)</f>
        <v>0</v>
      </c>
      <c r="D116" s="20">
        <f>IF(D51,10000000,0)</f>
        <v>0</v>
      </c>
      <c r="E116" s="20">
        <f>IF(E51,8000000,0)</f>
        <v>0</v>
      </c>
      <c r="F116" s="20">
        <f>IF(F51,8000000,0)</f>
        <v>0</v>
      </c>
      <c r="G116" s="20">
        <f>IF(G51,8000000,0)</f>
        <v>0</v>
      </c>
      <c r="H116" s="20">
        <f>IF(H51,8000000,0)</f>
        <v>0</v>
      </c>
    </row>
    <row r="117" spans="1:8" x14ac:dyDescent="0.35">
      <c r="A117" s="1" t="s">
        <v>112</v>
      </c>
      <c r="B117" s="21">
        <f>SUM(B110:B116)</f>
        <v>13800000</v>
      </c>
      <c r="C117" s="21">
        <f t="shared" ref="C117:H117" si="57">SUM(C110:C116)</f>
        <v>14250000</v>
      </c>
      <c r="D117" s="21">
        <f t="shared" si="57"/>
        <v>15000000</v>
      </c>
      <c r="E117" s="21">
        <f t="shared" si="57"/>
        <v>0</v>
      </c>
      <c r="F117" s="21">
        <f t="shared" si="57"/>
        <v>0</v>
      </c>
      <c r="G117" s="21">
        <f t="shared" si="57"/>
        <v>0</v>
      </c>
      <c r="H117" s="21">
        <f t="shared" si="57"/>
        <v>0</v>
      </c>
    </row>
    <row r="118" spans="1:8" x14ac:dyDescent="0.35">
      <c r="A118" s="1"/>
      <c r="B118" s="21"/>
    </row>
    <row r="119" spans="1:8" x14ac:dyDescent="0.35">
      <c r="A119" s="1" t="s">
        <v>125</v>
      </c>
      <c r="B119" s="21"/>
    </row>
    <row r="120" spans="1:8" x14ac:dyDescent="0.35">
      <c r="A120" t="s">
        <v>113</v>
      </c>
      <c r="B120" s="3">
        <f>IF(B58,0.07,0)</f>
        <v>7.0000000000000007E-2</v>
      </c>
      <c r="C120" s="3">
        <f>IF(C58,0.07,0)</f>
        <v>7.0000000000000007E-2</v>
      </c>
      <c r="D120" s="3">
        <f>0.07</f>
        <v>7.0000000000000007E-2</v>
      </c>
      <c r="E120" s="3">
        <f>IF(E58,0.07,0)</f>
        <v>0</v>
      </c>
      <c r="F120" s="3">
        <f>IF(F58,0.07,0)</f>
        <v>0</v>
      </c>
      <c r="G120" s="3">
        <f>IF(G58,0.07,0)</f>
        <v>0</v>
      </c>
      <c r="H120" s="3">
        <f>IF(H58,0.07,0)</f>
        <v>0</v>
      </c>
    </row>
    <row r="121" spans="1:8" x14ac:dyDescent="0.35">
      <c r="A121" t="s">
        <v>114</v>
      </c>
      <c r="B121" s="3">
        <f>IF(B59,0.7,0)</f>
        <v>0</v>
      </c>
      <c r="C121" s="3">
        <f>IF(C59,0.7,0)</f>
        <v>0</v>
      </c>
      <c r="D121" s="3">
        <f>IF(D59,0.7,0)</f>
        <v>0</v>
      </c>
      <c r="E121" s="3">
        <f>IF(E59,0.45,0)</f>
        <v>0</v>
      </c>
      <c r="F121" s="3">
        <f>IF(F59,0.45,0)</f>
        <v>0</v>
      </c>
      <c r="G121" s="3">
        <f>IF(G59,0.45,0)</f>
        <v>0</v>
      </c>
      <c r="H121" s="3">
        <f>IF(H59,0.45,0)</f>
        <v>0</v>
      </c>
    </row>
    <row r="122" spans="1:8" x14ac:dyDescent="0.35">
      <c r="A122" t="s">
        <v>115</v>
      </c>
      <c r="B122" s="3">
        <f t="shared" ref="B122:H122" si="58">IF(B60,0.05,0)</f>
        <v>0</v>
      </c>
      <c r="C122" s="3">
        <f t="shared" si="58"/>
        <v>0</v>
      </c>
      <c r="D122" s="3">
        <f t="shared" si="58"/>
        <v>0</v>
      </c>
      <c r="E122" s="3">
        <f t="shared" si="58"/>
        <v>0</v>
      </c>
      <c r="F122" s="3">
        <f t="shared" si="58"/>
        <v>0</v>
      </c>
      <c r="G122" s="3">
        <f t="shared" si="58"/>
        <v>0</v>
      </c>
      <c r="H122" s="3">
        <f t="shared" si="58"/>
        <v>0</v>
      </c>
    </row>
    <row r="123" spans="1:8" x14ac:dyDescent="0.35">
      <c r="A123" t="s">
        <v>116</v>
      </c>
      <c r="B123" s="3">
        <f>IF(B61,0.03,0)</f>
        <v>0.03</v>
      </c>
      <c r="C123" s="3">
        <f>IF(C61,0.03,0)</f>
        <v>0.03</v>
      </c>
      <c r="D123" s="3">
        <f>0.03</f>
        <v>0.03</v>
      </c>
      <c r="E123" s="3">
        <f>IF(E61,0.03,0)</f>
        <v>0</v>
      </c>
      <c r="F123" s="3">
        <f>IF(F61,0.03,0)</f>
        <v>0</v>
      </c>
      <c r="G123" s="3">
        <f>IF(G61,0.03,0)</f>
        <v>0</v>
      </c>
      <c r="H123" s="3">
        <f>IF(H61,0.03,0)</f>
        <v>0</v>
      </c>
    </row>
    <row r="124" spans="1:8" x14ac:dyDescent="0.35">
      <c r="A124" t="s">
        <v>117</v>
      </c>
      <c r="B124" s="3">
        <f t="shared" ref="B124:H124" si="59">IF(B62,0.25,0)</f>
        <v>0</v>
      </c>
      <c r="C124" s="3">
        <f t="shared" si="59"/>
        <v>0</v>
      </c>
      <c r="D124" s="3">
        <f t="shared" si="59"/>
        <v>0</v>
      </c>
      <c r="E124" s="3">
        <f t="shared" si="59"/>
        <v>0</v>
      </c>
      <c r="F124" s="3">
        <f t="shared" si="59"/>
        <v>0</v>
      </c>
      <c r="G124" s="3">
        <f t="shared" si="59"/>
        <v>0</v>
      </c>
      <c r="H124" s="3">
        <f t="shared" si="59"/>
        <v>0</v>
      </c>
    </row>
    <row r="125" spans="1:8" x14ac:dyDescent="0.35">
      <c r="A125" t="s">
        <v>118</v>
      </c>
      <c r="B125" s="3">
        <f t="shared" ref="B125:H125" si="60">IF(B63,0.02,0)</f>
        <v>0</v>
      </c>
      <c r="C125" s="3">
        <f t="shared" si="60"/>
        <v>0</v>
      </c>
      <c r="D125" s="3">
        <f t="shared" si="60"/>
        <v>0</v>
      </c>
      <c r="E125" s="3">
        <f t="shared" si="60"/>
        <v>0</v>
      </c>
      <c r="F125" s="3">
        <f t="shared" si="60"/>
        <v>0</v>
      </c>
      <c r="G125" s="3">
        <f t="shared" si="60"/>
        <v>0</v>
      </c>
      <c r="H125" s="3">
        <f t="shared" si="60"/>
        <v>0</v>
      </c>
    </row>
    <row r="126" spans="1:8" x14ac:dyDescent="0.35">
      <c r="A126" t="s">
        <v>119</v>
      </c>
      <c r="B126" s="3">
        <f>IF(B64,0.01,0)</f>
        <v>0</v>
      </c>
      <c r="C126" s="3">
        <f>IF(C64,0.01,0)</f>
        <v>0.01</v>
      </c>
      <c r="D126" s="3">
        <f>0.01</f>
        <v>0.01</v>
      </c>
      <c r="E126" s="3">
        <f>IF(E64,-0.01,0)</f>
        <v>0</v>
      </c>
      <c r="F126" s="3">
        <f>IF(F64,0.01,0)</f>
        <v>0</v>
      </c>
      <c r="G126" s="3">
        <f>IF(G64,0.01,0)</f>
        <v>0</v>
      </c>
      <c r="H126" s="3">
        <f>IF(H64,0.01,0)</f>
        <v>0</v>
      </c>
    </row>
    <row r="127" spans="1:8" x14ac:dyDescent="0.35">
      <c r="A127" t="s">
        <v>120</v>
      </c>
      <c r="B127" s="3">
        <f>IF(B65,0.02,0)</f>
        <v>0.02</v>
      </c>
      <c r="C127" s="3">
        <f>IF(C65,0.02,0)</f>
        <v>0</v>
      </c>
      <c r="D127" s="3">
        <f>IF(D65,0.02,0)</f>
        <v>0</v>
      </c>
      <c r="E127" s="3">
        <f>IF(E65,-0.02,0)</f>
        <v>0</v>
      </c>
      <c r="F127" s="3">
        <f>IF(F65,0.02,0)</f>
        <v>0</v>
      </c>
      <c r="G127" s="3">
        <f>IF(G65,0.02,0)</f>
        <v>0</v>
      </c>
      <c r="H127" s="3">
        <f>IF(H65,0.02,0)</f>
        <v>0</v>
      </c>
    </row>
    <row r="128" spans="1:8" x14ac:dyDescent="0.35">
      <c r="A128" t="s">
        <v>121</v>
      </c>
      <c r="B128" s="3">
        <f>IF(B66,0.4,0)</f>
        <v>0</v>
      </c>
      <c r="C128" s="3">
        <f>IF(C66,0.4,0)</f>
        <v>0.4</v>
      </c>
      <c r="D128" s="3">
        <f>0.4</f>
        <v>0.4</v>
      </c>
      <c r="E128" s="3">
        <f>IF(E66,0.3,0)</f>
        <v>0</v>
      </c>
      <c r="F128" s="3">
        <f>IF(F66,0.3,0)</f>
        <v>0</v>
      </c>
      <c r="G128" s="3">
        <f>IF(G66,0.3,0)</f>
        <v>0</v>
      </c>
      <c r="H128" s="3">
        <f>IF(H66,0.3,0)</f>
        <v>0</v>
      </c>
    </row>
    <row r="129" spans="1:8" x14ac:dyDescent="0.35">
      <c r="A129" t="s">
        <v>122</v>
      </c>
      <c r="B129" s="3">
        <f>IF(B67,0.5,0)</f>
        <v>0</v>
      </c>
      <c r="C129" s="3">
        <f>IF(C67,0.5,0)</f>
        <v>0</v>
      </c>
      <c r="D129" s="3">
        <f>IF(D67,0.5,0)</f>
        <v>0</v>
      </c>
      <c r="E129" s="3">
        <f>IF(E67,0.7,0)</f>
        <v>0</v>
      </c>
      <c r="F129" s="3">
        <f>IF(F67,0.7,0)</f>
        <v>0</v>
      </c>
      <c r="G129" s="3">
        <f>IF(G67,0.7,0)</f>
        <v>0</v>
      </c>
      <c r="H129" s="3">
        <f>IF(H67,0.7,0)</f>
        <v>0</v>
      </c>
    </row>
    <row r="130" spans="1:8" x14ac:dyDescent="0.35">
      <c r="A130" t="s">
        <v>123</v>
      </c>
      <c r="B130" s="3">
        <f t="shared" ref="B130:H130" si="61">IF(B68,-0.15,0)</f>
        <v>-0.15</v>
      </c>
      <c r="C130" s="3">
        <f t="shared" si="61"/>
        <v>0</v>
      </c>
      <c r="D130" s="3">
        <f t="shared" si="61"/>
        <v>0</v>
      </c>
      <c r="E130" s="3">
        <f t="shared" si="61"/>
        <v>0</v>
      </c>
      <c r="F130" s="3">
        <f t="shared" si="61"/>
        <v>0</v>
      </c>
      <c r="G130" s="3">
        <f t="shared" si="61"/>
        <v>0</v>
      </c>
      <c r="H130" s="3">
        <f t="shared" si="61"/>
        <v>0</v>
      </c>
    </row>
    <row r="131" spans="1:8" x14ac:dyDescent="0.35">
      <c r="A131" s="1" t="s">
        <v>124</v>
      </c>
      <c r="B131" s="8">
        <f>SUM(B120:B130)/3</f>
        <v>-9.999999999999995E-3</v>
      </c>
      <c r="C131" s="8">
        <f t="shared" ref="C131:D131" si="62">SUM(C120:C130)/3</f>
        <v>0.17</v>
      </c>
      <c r="D131" s="8">
        <f t="shared" si="62"/>
        <v>0.17</v>
      </c>
      <c r="E131" s="8">
        <f>SUM(E120:E130)/4</f>
        <v>0</v>
      </c>
      <c r="F131" s="8">
        <f t="shared" ref="F131:H131" si="63">SUM(F120:F130)/4</f>
        <v>0</v>
      </c>
      <c r="G131" s="8">
        <f t="shared" si="63"/>
        <v>0</v>
      </c>
      <c r="H131" s="8">
        <f t="shared" si="63"/>
        <v>0</v>
      </c>
    </row>
    <row r="132" spans="1:8" x14ac:dyDescent="0.35">
      <c r="A132" s="1"/>
    </row>
    <row r="133" spans="1:8" x14ac:dyDescent="0.35">
      <c r="A133" s="1" t="s">
        <v>126</v>
      </c>
      <c r="B133" s="21"/>
    </row>
    <row r="134" spans="1:8" x14ac:dyDescent="0.35">
      <c r="A134" t="s">
        <v>127</v>
      </c>
      <c r="B134" s="6">
        <f>IF(B58,10000000,0)</f>
        <v>10000000</v>
      </c>
      <c r="C134" s="6">
        <f>IF(C58,10000000,0)</f>
        <v>10000000</v>
      </c>
      <c r="D134" s="6">
        <f>10000000</f>
        <v>10000000</v>
      </c>
      <c r="E134" s="6">
        <f>IF(E58,10000000,0)</f>
        <v>0</v>
      </c>
      <c r="F134" s="6">
        <f>IF(F58,10000000,0)</f>
        <v>0</v>
      </c>
      <c r="G134" s="6">
        <f>IF(G58,10000000,0)</f>
        <v>0</v>
      </c>
      <c r="H134" s="6">
        <f>IF(H58,10000000,0)</f>
        <v>0</v>
      </c>
    </row>
    <row r="135" spans="1:8" x14ac:dyDescent="0.35">
      <c r="A135" t="s">
        <v>128</v>
      </c>
      <c r="B135" s="15">
        <f t="shared" ref="B135:H135" si="64">IF(B59,9000000,0)</f>
        <v>0</v>
      </c>
      <c r="C135" s="15">
        <f t="shared" si="64"/>
        <v>0</v>
      </c>
      <c r="D135" s="15">
        <f t="shared" si="64"/>
        <v>0</v>
      </c>
      <c r="E135" s="15">
        <f t="shared" si="64"/>
        <v>0</v>
      </c>
      <c r="F135" s="15">
        <f t="shared" si="64"/>
        <v>0</v>
      </c>
      <c r="G135" s="15">
        <f t="shared" si="64"/>
        <v>0</v>
      </c>
      <c r="H135" s="15">
        <f t="shared" si="64"/>
        <v>0</v>
      </c>
    </row>
    <row r="136" spans="1:8" x14ac:dyDescent="0.35">
      <c r="A136" t="s">
        <v>129</v>
      </c>
      <c r="B136" s="15">
        <f t="shared" ref="B136:H136" si="65">IF(B60,8000000,0)</f>
        <v>0</v>
      </c>
      <c r="C136" s="15">
        <f t="shared" si="65"/>
        <v>0</v>
      </c>
      <c r="D136" s="15">
        <f t="shared" si="65"/>
        <v>0</v>
      </c>
      <c r="E136" s="15">
        <f t="shared" si="65"/>
        <v>0</v>
      </c>
      <c r="F136" s="15">
        <f t="shared" si="65"/>
        <v>0</v>
      </c>
      <c r="G136" s="15">
        <f t="shared" si="65"/>
        <v>0</v>
      </c>
      <c r="H136" s="15">
        <f t="shared" si="65"/>
        <v>0</v>
      </c>
    </row>
    <row r="137" spans="1:8" x14ac:dyDescent="0.35">
      <c r="A137" t="s">
        <v>130</v>
      </c>
      <c r="B137" s="15">
        <f>IF(B61,15000000,0)</f>
        <v>15000000</v>
      </c>
      <c r="C137" s="15">
        <f>IF(C61,15000000,0)</f>
        <v>15000000</v>
      </c>
      <c r="D137" s="15">
        <f>15000000</f>
        <v>15000000</v>
      </c>
      <c r="E137" s="15">
        <f>IF(E61,15000000,0)</f>
        <v>0</v>
      </c>
      <c r="F137" s="15">
        <f>IF(F61,15000000,0)</f>
        <v>0</v>
      </c>
      <c r="G137" s="15">
        <f>IF(G61,15000000,0)</f>
        <v>0</v>
      </c>
      <c r="H137" s="15">
        <f>IF(H61,15000000,0)</f>
        <v>0</v>
      </c>
    </row>
    <row r="138" spans="1:8" x14ac:dyDescent="0.35">
      <c r="A138" t="s">
        <v>131</v>
      </c>
      <c r="B138" s="15">
        <f t="shared" ref="B138:H138" si="66">IF(B62,7500000,0)</f>
        <v>0</v>
      </c>
      <c r="C138" s="15">
        <f t="shared" si="66"/>
        <v>0</v>
      </c>
      <c r="D138" s="15">
        <f t="shared" si="66"/>
        <v>0</v>
      </c>
      <c r="E138" s="15">
        <f t="shared" si="66"/>
        <v>0</v>
      </c>
      <c r="F138" s="15">
        <f t="shared" si="66"/>
        <v>0</v>
      </c>
      <c r="G138" s="15">
        <f t="shared" si="66"/>
        <v>0</v>
      </c>
      <c r="H138" s="15">
        <f t="shared" si="66"/>
        <v>0</v>
      </c>
    </row>
    <row r="139" spans="1:8" x14ac:dyDescent="0.35">
      <c r="A139" t="s">
        <v>132</v>
      </c>
      <c r="B139" s="6">
        <f t="shared" ref="B139:H139" si="67">IF(B63,7000000,0)</f>
        <v>0</v>
      </c>
      <c r="C139" s="6">
        <f t="shared" si="67"/>
        <v>0</v>
      </c>
      <c r="D139" s="6">
        <f t="shared" si="67"/>
        <v>0</v>
      </c>
      <c r="E139" s="6">
        <f t="shared" si="67"/>
        <v>0</v>
      </c>
      <c r="F139" s="6">
        <f t="shared" si="67"/>
        <v>0</v>
      </c>
      <c r="G139" s="6">
        <f t="shared" si="67"/>
        <v>0</v>
      </c>
      <c r="H139" s="6">
        <f t="shared" si="67"/>
        <v>0</v>
      </c>
    </row>
    <row r="140" spans="1:8" x14ac:dyDescent="0.35">
      <c r="A140" t="s">
        <v>133</v>
      </c>
      <c r="B140" s="6">
        <f t="shared" ref="B140:H140" si="68">IF(B64,8000000,0)</f>
        <v>0</v>
      </c>
      <c r="C140" s="6">
        <f t="shared" si="68"/>
        <v>8000000</v>
      </c>
      <c r="D140" s="6">
        <f t="shared" si="68"/>
        <v>0</v>
      </c>
      <c r="E140" s="6">
        <f t="shared" si="68"/>
        <v>0</v>
      </c>
      <c r="F140" s="6">
        <f t="shared" si="68"/>
        <v>0</v>
      </c>
      <c r="G140" s="6">
        <f t="shared" si="68"/>
        <v>0</v>
      </c>
      <c r="H140" s="6">
        <f t="shared" si="68"/>
        <v>0</v>
      </c>
    </row>
    <row r="141" spans="1:8" x14ac:dyDescent="0.35">
      <c r="A141" t="s">
        <v>134</v>
      </c>
      <c r="B141" s="6">
        <f>IF(B65,7500000,0)</f>
        <v>7500000</v>
      </c>
      <c r="C141" s="6">
        <f>IF(C65,7500000,0)</f>
        <v>0</v>
      </c>
      <c r="D141" s="6">
        <f>7500000</f>
        <v>7500000</v>
      </c>
      <c r="E141" s="6">
        <f>IF(E65,7500000,0)</f>
        <v>0</v>
      </c>
      <c r="F141" s="6">
        <f>IF(F65,7500000,0)</f>
        <v>0</v>
      </c>
      <c r="G141" s="6">
        <f>IF(G65,7500000,0)</f>
        <v>0</v>
      </c>
      <c r="H141" s="6">
        <f>IF(H65,7500000,0)</f>
        <v>0</v>
      </c>
    </row>
    <row r="142" spans="1:8" x14ac:dyDescent="0.35">
      <c r="A142" t="s">
        <v>135</v>
      </c>
      <c r="B142" s="6">
        <f>IF(B66,10000000,0)</f>
        <v>0</v>
      </c>
      <c r="C142" s="6">
        <f>IF(C66,10000000,0)</f>
        <v>10000000</v>
      </c>
      <c r="D142" s="6">
        <f>10000000</f>
        <v>10000000</v>
      </c>
      <c r="E142" s="6">
        <f>IF(E66,10000000,0)</f>
        <v>0</v>
      </c>
      <c r="F142" s="6">
        <f>IF(F66,10000000,0)</f>
        <v>0</v>
      </c>
      <c r="G142" s="6">
        <f>IF(G66,10000000,0)</f>
        <v>0</v>
      </c>
      <c r="H142" s="6">
        <f>IF(H66,10000000,0)</f>
        <v>0</v>
      </c>
    </row>
    <row r="143" spans="1:8" x14ac:dyDescent="0.35">
      <c r="A143" t="s">
        <v>136</v>
      </c>
      <c r="B143" s="6">
        <f t="shared" ref="B143:H143" si="69">IF(B67,B163*0.03,0)</f>
        <v>0</v>
      </c>
      <c r="C143" s="6">
        <f t="shared" si="69"/>
        <v>0</v>
      </c>
      <c r="D143" s="6">
        <f t="shared" si="69"/>
        <v>0</v>
      </c>
      <c r="E143" s="6">
        <f t="shared" si="69"/>
        <v>0</v>
      </c>
      <c r="F143" s="6">
        <f t="shared" si="69"/>
        <v>0</v>
      </c>
      <c r="G143" s="6">
        <f t="shared" si="69"/>
        <v>0</v>
      </c>
      <c r="H143" s="6">
        <f t="shared" si="69"/>
        <v>0</v>
      </c>
    </row>
    <row r="144" spans="1:8" x14ac:dyDescent="0.35">
      <c r="A144" t="s">
        <v>137</v>
      </c>
      <c r="B144" s="6">
        <f>IF(B68,20000000,0)</f>
        <v>20000000</v>
      </c>
      <c r="C144" s="6">
        <f t="shared" ref="C144:H144" si="70">IF(C68,15000000,0)</f>
        <v>0</v>
      </c>
      <c r="D144" s="6">
        <f t="shared" si="70"/>
        <v>0</v>
      </c>
      <c r="E144" s="6">
        <f t="shared" si="70"/>
        <v>0</v>
      </c>
      <c r="F144" s="6">
        <f t="shared" si="70"/>
        <v>0</v>
      </c>
      <c r="G144" s="6">
        <f t="shared" si="70"/>
        <v>0</v>
      </c>
      <c r="H144" s="6">
        <f t="shared" si="70"/>
        <v>0</v>
      </c>
    </row>
    <row r="145" spans="1:8" x14ac:dyDescent="0.35">
      <c r="A145" s="1" t="s">
        <v>138</v>
      </c>
      <c r="B145" s="21">
        <f>SUM(B134:B144)</f>
        <v>52500000</v>
      </c>
      <c r="C145" s="21">
        <f t="shared" ref="C145:H145" si="71">SUM(C134:C144)</f>
        <v>43000000</v>
      </c>
      <c r="D145" s="21">
        <f t="shared" si="71"/>
        <v>42500000</v>
      </c>
      <c r="E145" s="21">
        <f t="shared" si="71"/>
        <v>0</v>
      </c>
      <c r="F145" s="21">
        <f t="shared" si="71"/>
        <v>0</v>
      </c>
      <c r="G145" s="21">
        <f t="shared" si="71"/>
        <v>0</v>
      </c>
      <c r="H145" s="21">
        <f t="shared" si="71"/>
        <v>0</v>
      </c>
    </row>
    <row r="146" spans="1:8" x14ac:dyDescent="0.35">
      <c r="A146" s="1"/>
      <c r="B146" s="21"/>
    </row>
    <row r="147" spans="1:8" x14ac:dyDescent="0.35">
      <c r="A147" s="1" t="s">
        <v>145</v>
      </c>
      <c r="B147" s="21"/>
    </row>
    <row r="148" spans="1:8" x14ac:dyDescent="0.35">
      <c r="A148" t="s">
        <v>149</v>
      </c>
      <c r="B148" s="23">
        <f>IF(B72,0.085,0)</f>
        <v>8.5000000000000006E-2</v>
      </c>
      <c r="C148" s="23">
        <f>IF(C72,0.085,0)</f>
        <v>8.5000000000000006E-2</v>
      </c>
      <c r="D148" s="23">
        <f>0.085</f>
        <v>8.5000000000000006E-2</v>
      </c>
      <c r="E148" s="23">
        <f>IF(E72,0.085,0)</f>
        <v>0</v>
      </c>
      <c r="F148" s="23">
        <f>IF(F72,0.085,0)</f>
        <v>0</v>
      </c>
      <c r="G148" s="23">
        <f>IF(G72,0.085,0)</f>
        <v>0</v>
      </c>
      <c r="H148" s="23">
        <f>IF(H72,0.085,0)</f>
        <v>0</v>
      </c>
    </row>
    <row r="149" spans="1:8" x14ac:dyDescent="0.35">
      <c r="A149" t="s">
        <v>148</v>
      </c>
      <c r="B149" s="3">
        <f t="shared" ref="B149:H151" si="72">IF(B73,0,0)</f>
        <v>0</v>
      </c>
      <c r="C149" s="3">
        <f t="shared" si="72"/>
        <v>0</v>
      </c>
      <c r="D149" s="3">
        <f t="shared" si="72"/>
        <v>0</v>
      </c>
      <c r="E149" s="3">
        <f t="shared" si="72"/>
        <v>0</v>
      </c>
      <c r="F149" s="3">
        <f t="shared" si="72"/>
        <v>0</v>
      </c>
      <c r="G149" s="3">
        <f t="shared" si="72"/>
        <v>0</v>
      </c>
      <c r="H149" s="3">
        <f t="shared" si="72"/>
        <v>0</v>
      </c>
    </row>
    <row r="150" spans="1:8" x14ac:dyDescent="0.35">
      <c r="A150" t="s">
        <v>147</v>
      </c>
      <c r="B150" s="3">
        <f t="shared" si="72"/>
        <v>0</v>
      </c>
      <c r="C150" s="3">
        <f t="shared" si="72"/>
        <v>0</v>
      </c>
      <c r="D150" s="3">
        <f t="shared" si="72"/>
        <v>0</v>
      </c>
      <c r="E150" s="3">
        <f t="shared" si="72"/>
        <v>0</v>
      </c>
      <c r="F150" s="3">
        <f t="shared" si="72"/>
        <v>0</v>
      </c>
      <c r="G150" s="3">
        <f t="shared" si="72"/>
        <v>0</v>
      </c>
      <c r="H150" s="3">
        <f t="shared" si="72"/>
        <v>0</v>
      </c>
    </row>
    <row r="151" spans="1:8" x14ac:dyDescent="0.35">
      <c r="A151" t="s">
        <v>146</v>
      </c>
      <c r="B151" s="3">
        <f t="shared" si="72"/>
        <v>0</v>
      </c>
      <c r="C151" s="3">
        <f t="shared" si="72"/>
        <v>0</v>
      </c>
      <c r="D151" s="3">
        <f t="shared" si="72"/>
        <v>0</v>
      </c>
      <c r="E151" s="3">
        <f t="shared" si="72"/>
        <v>0</v>
      </c>
      <c r="F151" s="3">
        <f t="shared" si="72"/>
        <v>0</v>
      </c>
      <c r="G151" s="3">
        <f t="shared" si="72"/>
        <v>0</v>
      </c>
      <c r="H151" s="3">
        <f t="shared" si="72"/>
        <v>0</v>
      </c>
    </row>
    <row r="152" spans="1:8" x14ac:dyDescent="0.35">
      <c r="A152" s="1" t="s">
        <v>150</v>
      </c>
      <c r="B152" s="23">
        <f>SUM(B148:B151)</f>
        <v>8.5000000000000006E-2</v>
      </c>
      <c r="C152" s="23">
        <f t="shared" ref="C152:H152" si="73">SUM(C148:C151)</f>
        <v>8.5000000000000006E-2</v>
      </c>
      <c r="D152" s="23">
        <f t="shared" si="73"/>
        <v>8.5000000000000006E-2</v>
      </c>
      <c r="E152" s="23">
        <f t="shared" si="73"/>
        <v>0</v>
      </c>
      <c r="F152" s="23">
        <f t="shared" si="73"/>
        <v>0</v>
      </c>
      <c r="G152" s="23">
        <f t="shared" si="73"/>
        <v>0</v>
      </c>
      <c r="H152" s="23">
        <f t="shared" si="73"/>
        <v>0</v>
      </c>
    </row>
    <row r="153" spans="1:8" x14ac:dyDescent="0.35">
      <c r="A153" s="1"/>
      <c r="B153" s="21"/>
    </row>
    <row r="154" spans="1:8" x14ac:dyDescent="0.35">
      <c r="A154" s="1" t="s">
        <v>151</v>
      </c>
      <c r="B154" s="21"/>
    </row>
    <row r="155" spans="1:8" x14ac:dyDescent="0.35">
      <c r="A155" t="s">
        <v>152</v>
      </c>
      <c r="B155" s="21">
        <f>IF(B72, 16520000, 0)</f>
        <v>16520000</v>
      </c>
      <c r="C155" s="21">
        <f>IF(C72, 17480000, 0)</f>
        <v>17480000</v>
      </c>
      <c r="D155" s="21">
        <f>18400000</f>
        <v>18400000</v>
      </c>
      <c r="E155" s="21">
        <f>IF(E72, 20000000, 0)</f>
        <v>0</v>
      </c>
      <c r="F155" s="21">
        <f>IF(F72, 21800000, 0)</f>
        <v>0</v>
      </c>
      <c r="G155" s="21">
        <f>IF(G72, 22672000, 0)</f>
        <v>0</v>
      </c>
      <c r="H155" s="21">
        <f>IF(H72, 24032000, 0)</f>
        <v>0</v>
      </c>
    </row>
    <row r="156" spans="1:8" x14ac:dyDescent="0.35">
      <c r="A156" t="s">
        <v>153</v>
      </c>
      <c r="B156" s="21">
        <f t="shared" ref="B156:H156" si="74">IF(B73, 15000000, 0)</f>
        <v>0</v>
      </c>
      <c r="C156" s="21">
        <f t="shared" si="74"/>
        <v>0</v>
      </c>
      <c r="D156" s="21">
        <f t="shared" si="74"/>
        <v>0</v>
      </c>
      <c r="E156" s="21">
        <f t="shared" si="74"/>
        <v>0</v>
      </c>
      <c r="F156" s="21">
        <f t="shared" si="74"/>
        <v>0</v>
      </c>
      <c r="G156" s="21">
        <f t="shared" si="74"/>
        <v>0</v>
      </c>
      <c r="H156" s="21">
        <f t="shared" si="74"/>
        <v>0</v>
      </c>
    </row>
    <row r="157" spans="1:8" x14ac:dyDescent="0.35">
      <c r="A157" t="s">
        <v>155</v>
      </c>
      <c r="B157" s="21">
        <f t="shared" ref="B157:H157" si="75">IF(B74, 30000000, 0)</f>
        <v>0</v>
      </c>
      <c r="C157" s="21">
        <f t="shared" si="75"/>
        <v>0</v>
      </c>
      <c r="D157" s="21">
        <f t="shared" si="75"/>
        <v>0</v>
      </c>
      <c r="E157" s="21">
        <f t="shared" si="75"/>
        <v>0</v>
      </c>
      <c r="F157" s="21">
        <f t="shared" si="75"/>
        <v>0</v>
      </c>
      <c r="G157" s="21">
        <f t="shared" si="75"/>
        <v>0</v>
      </c>
      <c r="H157" s="21">
        <f t="shared" si="75"/>
        <v>0</v>
      </c>
    </row>
    <row r="158" spans="1:8" x14ac:dyDescent="0.35">
      <c r="A158" t="s">
        <v>154</v>
      </c>
      <c r="B158" s="21">
        <f t="shared" ref="B158:H158" si="76">IF(B75, 15000000, 0)</f>
        <v>0</v>
      </c>
      <c r="C158" s="21">
        <f t="shared" si="76"/>
        <v>0</v>
      </c>
      <c r="D158" s="21">
        <f t="shared" si="76"/>
        <v>0</v>
      </c>
      <c r="E158" s="21">
        <f t="shared" si="76"/>
        <v>0</v>
      </c>
      <c r="F158" s="21">
        <f t="shared" si="76"/>
        <v>0</v>
      </c>
      <c r="G158" s="21">
        <f t="shared" si="76"/>
        <v>0</v>
      </c>
      <c r="H158" s="21">
        <f t="shared" si="76"/>
        <v>0</v>
      </c>
    </row>
    <row r="159" spans="1:8" x14ac:dyDescent="0.35">
      <c r="A159" s="1" t="s">
        <v>156</v>
      </c>
      <c r="B159" s="21">
        <f>SUM(B155:B158)</f>
        <v>16520000</v>
      </c>
      <c r="C159" s="21">
        <f t="shared" ref="C159:H159" si="77">SUM(C155:C158)</f>
        <v>17480000</v>
      </c>
      <c r="D159" s="21">
        <f t="shared" si="77"/>
        <v>18400000</v>
      </c>
      <c r="E159" s="21">
        <f t="shared" si="77"/>
        <v>0</v>
      </c>
      <c r="F159" s="21">
        <f t="shared" si="77"/>
        <v>0</v>
      </c>
      <c r="G159" s="21">
        <f t="shared" si="77"/>
        <v>0</v>
      </c>
      <c r="H159" s="21">
        <f t="shared" si="77"/>
        <v>0</v>
      </c>
    </row>
    <row r="160" spans="1:8" x14ac:dyDescent="0.35">
      <c r="A160" s="1"/>
      <c r="B160" s="21"/>
    </row>
    <row r="161" spans="1:8" x14ac:dyDescent="0.35">
      <c r="A161" s="1" t="s">
        <v>166</v>
      </c>
      <c r="B161" s="8">
        <f>B131 +B107 +B152</f>
        <v>-0.13500000000000001</v>
      </c>
      <c r="C161" s="8">
        <f t="shared" ref="C161:H161" si="78">C131 +C107 +C152</f>
        <v>4.4999999999999998E-2</v>
      </c>
      <c r="D161" s="8">
        <f t="shared" si="78"/>
        <v>7.4999999999999997E-2</v>
      </c>
      <c r="E161" s="8">
        <f>(E131 +E107 +E152)/3</f>
        <v>0</v>
      </c>
      <c r="F161" s="8">
        <f>(F131 +F107 +F152)/3</f>
        <v>0</v>
      </c>
      <c r="G161" s="8">
        <f t="shared" si="78"/>
        <v>0</v>
      </c>
      <c r="H161" s="8">
        <f t="shared" si="78"/>
        <v>0</v>
      </c>
    </row>
    <row r="162" spans="1:8" x14ac:dyDescent="0.35">
      <c r="A162" s="1"/>
      <c r="B162" s="8"/>
    </row>
    <row r="163" spans="1:8" x14ac:dyDescent="0.35">
      <c r="A163" s="1" t="s">
        <v>32</v>
      </c>
      <c r="B163" s="20">
        <f t="shared" ref="B163:H163" si="79">B36</f>
        <v>528102831.20000005</v>
      </c>
      <c r="C163" s="20">
        <f t="shared" si="79"/>
        <v>566539960</v>
      </c>
      <c r="D163" s="20">
        <f t="shared" si="79"/>
        <v>582806000</v>
      </c>
      <c r="E163" s="20">
        <f t="shared" si="79"/>
        <v>582700000</v>
      </c>
      <c r="F163" s="20">
        <f t="shared" si="79"/>
        <v>594354000</v>
      </c>
      <c r="G163" s="20">
        <f t="shared" si="79"/>
        <v>606241080</v>
      </c>
      <c r="H163" s="20">
        <f t="shared" si="79"/>
        <v>618365901.60000002</v>
      </c>
    </row>
    <row r="164" spans="1:8" x14ac:dyDescent="0.35">
      <c r="A164" t="s">
        <v>31</v>
      </c>
      <c r="B164" s="14">
        <f t="shared" ref="B164:H164" si="80">B41</f>
        <v>189285476.10000002</v>
      </c>
      <c r="C164" s="14">
        <f t="shared" si="80"/>
        <v>233341185</v>
      </c>
      <c r="D164" s="14">
        <f t="shared" si="80"/>
        <v>244938750</v>
      </c>
      <c r="E164" s="14">
        <f t="shared" si="80"/>
        <v>244125000</v>
      </c>
      <c r="F164" s="14">
        <f t="shared" si="80"/>
        <v>249007500</v>
      </c>
      <c r="G164" s="14">
        <f t="shared" si="80"/>
        <v>253987650</v>
      </c>
      <c r="H164" s="14">
        <f t="shared" si="80"/>
        <v>259067403</v>
      </c>
    </row>
    <row r="165" spans="1:8" x14ac:dyDescent="0.35">
      <c r="A165" s="1" t="s">
        <v>158</v>
      </c>
      <c r="B165" s="21">
        <f t="shared" ref="B165:H165" si="81">B36-B41</f>
        <v>338817355.10000002</v>
      </c>
      <c r="C165" s="21">
        <f t="shared" si="81"/>
        <v>333198775</v>
      </c>
      <c r="D165" s="21">
        <f t="shared" si="81"/>
        <v>337867250</v>
      </c>
      <c r="E165" s="21">
        <f t="shared" si="81"/>
        <v>338575000</v>
      </c>
      <c r="F165" s="21">
        <f t="shared" si="81"/>
        <v>345346500</v>
      </c>
      <c r="G165" s="21">
        <f t="shared" si="81"/>
        <v>352253430</v>
      </c>
      <c r="H165" s="21">
        <f t="shared" si="81"/>
        <v>359298498.60000002</v>
      </c>
    </row>
    <row r="166" spans="1:8" x14ac:dyDescent="0.35">
      <c r="A166" t="s">
        <v>159</v>
      </c>
      <c r="B166" s="8">
        <f t="shared" ref="B166:H166" si="82">B165/B36</f>
        <v>0.64157458563535907</v>
      </c>
      <c r="C166" s="8">
        <f t="shared" si="82"/>
        <v>0.58812934395660277</v>
      </c>
      <c r="D166" s="8">
        <f t="shared" si="82"/>
        <v>0.57972507146460395</v>
      </c>
      <c r="E166" s="8">
        <f t="shared" si="82"/>
        <v>0.58104513471769348</v>
      </c>
      <c r="F166" s="8">
        <f t="shared" si="82"/>
        <v>0.58104513471769348</v>
      </c>
      <c r="G166" s="8">
        <f t="shared" si="82"/>
        <v>0.58104513471769348</v>
      </c>
      <c r="H166" s="8">
        <f t="shared" si="82"/>
        <v>0.58104513471769348</v>
      </c>
    </row>
    <row r="167" spans="1:8" x14ac:dyDescent="0.35">
      <c r="A167" s="1" t="s">
        <v>157</v>
      </c>
      <c r="B167" s="21">
        <f>B117+B145+B159</f>
        <v>82820000</v>
      </c>
      <c r="C167" s="21">
        <f t="shared" ref="C167:H167" si="83">C117+C145+C159</f>
        <v>74730000</v>
      </c>
      <c r="D167" s="21">
        <f t="shared" si="83"/>
        <v>75900000</v>
      </c>
      <c r="E167" s="21">
        <f t="shared" si="83"/>
        <v>0</v>
      </c>
      <c r="F167" s="21">
        <f t="shared" si="83"/>
        <v>0</v>
      </c>
      <c r="G167" s="21">
        <f t="shared" si="83"/>
        <v>0</v>
      </c>
      <c r="H167" s="21">
        <f t="shared" si="83"/>
        <v>0</v>
      </c>
    </row>
    <row r="168" spans="1:8" x14ac:dyDescent="0.35">
      <c r="A168" s="1"/>
      <c r="B168" s="14"/>
    </row>
    <row r="169" spans="1:8" x14ac:dyDescent="0.35">
      <c r="A169" s="1" t="s">
        <v>160</v>
      </c>
      <c r="B169" s="21">
        <f>B165-B167</f>
        <v>255997355.10000002</v>
      </c>
      <c r="C169" s="21">
        <f t="shared" ref="C169:H169" si="84">C165-C167</f>
        <v>258468775</v>
      </c>
      <c r="D169" s="21">
        <f t="shared" si="84"/>
        <v>261967250</v>
      </c>
      <c r="E169" s="21">
        <f t="shared" si="84"/>
        <v>338575000</v>
      </c>
      <c r="F169" s="21">
        <f t="shared" si="84"/>
        <v>345346500</v>
      </c>
      <c r="G169" s="21">
        <f t="shared" si="84"/>
        <v>352253430</v>
      </c>
      <c r="H169" s="21">
        <f t="shared" si="84"/>
        <v>359298498.60000002</v>
      </c>
    </row>
    <row r="170" spans="1:8" x14ac:dyDescent="0.35">
      <c r="A170" t="s">
        <v>161</v>
      </c>
      <c r="B170" s="21">
        <f>B169*0.35</f>
        <v>89599074.284999996</v>
      </c>
      <c r="C170" s="21">
        <f t="shared" ref="C170:H170" si="85">C169*0.35</f>
        <v>90464071.25</v>
      </c>
      <c r="D170" s="21">
        <f t="shared" si="85"/>
        <v>91688537.5</v>
      </c>
      <c r="E170" s="21">
        <f t="shared" si="85"/>
        <v>118501249.99999999</v>
      </c>
      <c r="F170" s="21">
        <f t="shared" si="85"/>
        <v>120871274.99999999</v>
      </c>
      <c r="G170" s="21">
        <f t="shared" si="85"/>
        <v>123288700.49999999</v>
      </c>
      <c r="H170" s="21">
        <f t="shared" si="85"/>
        <v>125754474.51000001</v>
      </c>
    </row>
    <row r="171" spans="1:8" x14ac:dyDescent="0.35">
      <c r="A171" s="1" t="s">
        <v>162</v>
      </c>
      <c r="B171" s="21">
        <f>B169-B170</f>
        <v>166398280.81500003</v>
      </c>
      <c r="C171" s="21">
        <f t="shared" ref="C171:H171" si="86">C169-C170</f>
        <v>168004703.75</v>
      </c>
      <c r="D171" s="21">
        <f t="shared" si="86"/>
        <v>170278712.5</v>
      </c>
      <c r="E171" s="21">
        <f t="shared" si="86"/>
        <v>220073750</v>
      </c>
      <c r="F171" s="21">
        <f t="shared" si="86"/>
        <v>224475225</v>
      </c>
      <c r="G171" s="21">
        <f t="shared" si="86"/>
        <v>228964729.5</v>
      </c>
      <c r="H171" s="21">
        <f t="shared" si="86"/>
        <v>233544024.09000003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4F946-CAFB-4067-9CC0-12FD273AB38C}">
  <dimension ref="A1:K35"/>
  <sheetViews>
    <sheetView zoomScale="75" zoomScaleNormal="75" workbookViewId="0">
      <selection activeCell="J8" sqref="J8"/>
    </sheetView>
  </sheetViews>
  <sheetFormatPr defaultRowHeight="14.5" x14ac:dyDescent="0.35"/>
  <cols>
    <col min="1" max="1" width="24.81640625" bestFit="1" customWidth="1"/>
    <col min="2" max="2" width="17.6328125" bestFit="1" customWidth="1"/>
    <col min="3" max="3" width="8" bestFit="1" customWidth="1"/>
    <col min="4" max="5" width="12.08984375" bestFit="1" customWidth="1"/>
    <col min="6" max="6" width="17.6328125" bestFit="1" customWidth="1"/>
    <col min="7" max="7" width="20.81640625" bestFit="1" customWidth="1"/>
    <col min="8" max="8" width="10.36328125" bestFit="1" customWidth="1"/>
    <col min="9" max="9" width="38.36328125" bestFit="1" customWidth="1"/>
    <col min="10" max="11" width="39.81640625" bestFit="1" customWidth="1"/>
    <col min="13" max="13" width="20" bestFit="1" customWidth="1"/>
  </cols>
  <sheetData>
    <row r="1" spans="1:11" x14ac:dyDescent="0.35">
      <c r="A1" s="1" t="s">
        <v>9</v>
      </c>
    </row>
    <row r="2" spans="1:11" x14ac:dyDescent="0.35">
      <c r="B2" t="s">
        <v>36</v>
      </c>
      <c r="C2" t="s">
        <v>34</v>
      </c>
      <c r="D2" t="s">
        <v>33</v>
      </c>
      <c r="E2" t="s">
        <v>32</v>
      </c>
      <c r="F2" t="s">
        <v>38</v>
      </c>
      <c r="G2" t="s">
        <v>40</v>
      </c>
    </row>
    <row r="3" spans="1:11" x14ac:dyDescent="0.35">
      <c r="A3" t="s">
        <v>35</v>
      </c>
      <c r="B3">
        <v>40</v>
      </c>
      <c r="C3">
        <v>8</v>
      </c>
      <c r="D3">
        <v>125</v>
      </c>
      <c r="E3">
        <f>B3*C3</f>
        <v>320</v>
      </c>
      <c r="F3">
        <v>0</v>
      </c>
      <c r="G3">
        <f>E3-D3</f>
        <v>195</v>
      </c>
      <c r="J3" t="s">
        <v>56</v>
      </c>
      <c r="K3" t="s">
        <v>67</v>
      </c>
    </row>
    <row r="4" spans="1:11" x14ac:dyDescent="0.35">
      <c r="A4" t="s">
        <v>37</v>
      </c>
      <c r="B4">
        <f>B3*0.1 + B3</f>
        <v>44</v>
      </c>
      <c r="C4">
        <f>C3+(C3-C3*1.03)</f>
        <v>7.76</v>
      </c>
      <c r="D4">
        <f>D3</f>
        <v>125</v>
      </c>
      <c r="E4">
        <f t="shared" ref="E4:E10" si="0">B4*C4</f>
        <v>341.44</v>
      </c>
      <c r="F4">
        <v>0</v>
      </c>
      <c r="G4">
        <f t="shared" ref="G4:G10" si="1">E4-D4</f>
        <v>216.44</v>
      </c>
      <c r="J4" s="3">
        <f>IF(Sheet1!B45,-0.05,0)</f>
        <v>0</v>
      </c>
      <c r="K4" s="16">
        <f>IF(Sheet1!B45,0,0)</f>
        <v>0</v>
      </c>
    </row>
    <row r="5" spans="1:11" x14ac:dyDescent="0.35">
      <c r="A5" t="s">
        <v>2</v>
      </c>
      <c r="B5">
        <f>B3</f>
        <v>40</v>
      </c>
      <c r="C5">
        <f>C3</f>
        <v>8</v>
      </c>
      <c r="D5">
        <f>D3+F5</f>
        <v>135</v>
      </c>
      <c r="E5">
        <f t="shared" si="0"/>
        <v>320</v>
      </c>
      <c r="F5">
        <v>10</v>
      </c>
      <c r="G5">
        <f t="shared" si="1"/>
        <v>185</v>
      </c>
      <c r="J5" s="3">
        <f>IF(Sheet1!B46,0,0)</f>
        <v>0</v>
      </c>
      <c r="K5" s="16">
        <f>IF(Sheet1!B46,22000000,0)</f>
        <v>22000000</v>
      </c>
    </row>
    <row r="6" spans="1:11" x14ac:dyDescent="0.35">
      <c r="A6" t="s">
        <v>1</v>
      </c>
      <c r="B6">
        <f>B3</f>
        <v>40</v>
      </c>
      <c r="C6">
        <f>C3*0.98</f>
        <v>7.84</v>
      </c>
      <c r="D6">
        <f>D3-F6</f>
        <v>128</v>
      </c>
      <c r="E6">
        <f t="shared" si="0"/>
        <v>313.60000000000002</v>
      </c>
      <c r="F6">
        <v>-3</v>
      </c>
      <c r="G6">
        <f t="shared" si="1"/>
        <v>185.60000000000002</v>
      </c>
      <c r="J6" s="3">
        <f>IF(Sheet1!B47,-0.02,0)</f>
        <v>-0.02</v>
      </c>
      <c r="K6" s="16">
        <f>IF(Sheet1!B47,-3000000,0)</f>
        <v>-3000000</v>
      </c>
    </row>
    <row r="7" spans="1:11" x14ac:dyDescent="0.35">
      <c r="A7" t="s">
        <v>39</v>
      </c>
      <c r="B7">
        <f>B3*0.9</f>
        <v>36</v>
      </c>
      <c r="C7">
        <f>C3*1.03</f>
        <v>8.24</v>
      </c>
      <c r="D7">
        <f>D3</f>
        <v>125</v>
      </c>
      <c r="E7">
        <f t="shared" si="0"/>
        <v>296.64</v>
      </c>
      <c r="F7">
        <f>F3</f>
        <v>0</v>
      </c>
      <c r="G7">
        <f t="shared" si="1"/>
        <v>171.64</v>
      </c>
      <c r="J7" s="3">
        <f>IF(Sheet1!B48,0.03,0)</f>
        <v>0</v>
      </c>
      <c r="K7" s="16">
        <f>IF(Sheet1!B48,0,0)</f>
        <v>0</v>
      </c>
    </row>
    <row r="8" spans="1:11" x14ac:dyDescent="0.35">
      <c r="A8" t="s">
        <v>5</v>
      </c>
      <c r="B8">
        <f>B3</f>
        <v>40</v>
      </c>
      <c r="C8">
        <f>C3*0.91</f>
        <v>7.28</v>
      </c>
      <c r="D8">
        <f>D3+F8</f>
        <v>110</v>
      </c>
      <c r="E8">
        <f t="shared" si="0"/>
        <v>291.2</v>
      </c>
      <c r="F8">
        <v>-15</v>
      </c>
      <c r="G8">
        <f>E8-D8</f>
        <v>181.2</v>
      </c>
      <c r="J8" s="3">
        <f>IF(Sheet1!B49,-0.2,0)</f>
        <v>-0.2</v>
      </c>
      <c r="K8" s="16">
        <f>IF(Sheet1!B49,-15000000,0)</f>
        <v>-15000000</v>
      </c>
    </row>
    <row r="9" spans="1:11" x14ac:dyDescent="0.35">
      <c r="A9" t="s">
        <v>6</v>
      </c>
      <c r="B9">
        <f>B3</f>
        <v>40</v>
      </c>
      <c r="C9">
        <f>C3*1.5</f>
        <v>12</v>
      </c>
      <c r="D9">
        <f>D3+F9</f>
        <v>165</v>
      </c>
      <c r="E9">
        <f t="shared" si="0"/>
        <v>480</v>
      </c>
      <c r="F9">
        <v>40</v>
      </c>
      <c r="G9">
        <f t="shared" si="1"/>
        <v>315</v>
      </c>
      <c r="J9" s="3">
        <f>IF(Sheet1!B50,0.7,0)</f>
        <v>0</v>
      </c>
      <c r="K9" s="16">
        <f>IF(Sheet1!B50,25000000,0)</f>
        <v>0</v>
      </c>
    </row>
    <row r="10" spans="1:11" x14ac:dyDescent="0.35">
      <c r="A10" t="s">
        <v>7</v>
      </c>
      <c r="B10">
        <v>40</v>
      </c>
      <c r="C10">
        <f>C3*1.08</f>
        <v>8.64</v>
      </c>
      <c r="D10">
        <f>D3+F10</f>
        <v>145</v>
      </c>
      <c r="E10">
        <f t="shared" si="0"/>
        <v>345.6</v>
      </c>
      <c r="F10">
        <v>20</v>
      </c>
      <c r="G10">
        <f t="shared" si="1"/>
        <v>200.60000000000002</v>
      </c>
      <c r="J10" s="3">
        <f>IF(Sheet1!B51=1,0.08,0)</f>
        <v>0</v>
      </c>
      <c r="K10" s="16">
        <f>IF(Sheet1!B51,20000000,0)</f>
        <v>0</v>
      </c>
    </row>
    <row r="11" spans="1:11" x14ac:dyDescent="0.35">
      <c r="J11" t="s">
        <v>53</v>
      </c>
    </row>
    <row r="12" spans="1:11" x14ac:dyDescent="0.35">
      <c r="J12" s="8">
        <f>SUM(J4:J8,J9,J10)/2</f>
        <v>-0.11</v>
      </c>
      <c r="K12" s="6">
        <f>SUM(K4:K10)</f>
        <v>4000000</v>
      </c>
    </row>
    <row r="14" spans="1:11" x14ac:dyDescent="0.35">
      <c r="A14" s="1" t="s">
        <v>41</v>
      </c>
    </row>
    <row r="15" spans="1:11" x14ac:dyDescent="0.35">
      <c r="B15" t="s">
        <v>36</v>
      </c>
      <c r="C15" t="s">
        <v>34</v>
      </c>
      <c r="D15" t="s">
        <v>32</v>
      </c>
      <c r="E15" t="s">
        <v>33</v>
      </c>
      <c r="F15" t="s">
        <v>42</v>
      </c>
      <c r="G15" t="s">
        <v>43</v>
      </c>
      <c r="H15" t="s">
        <v>40</v>
      </c>
    </row>
    <row r="16" spans="1:11" x14ac:dyDescent="0.35">
      <c r="A16" t="s">
        <v>35</v>
      </c>
      <c r="B16">
        <v>40</v>
      </c>
      <c r="C16">
        <v>8</v>
      </c>
      <c r="D16">
        <f>B16*C16</f>
        <v>320</v>
      </c>
      <c r="E16">
        <v>125</v>
      </c>
      <c r="F16">
        <v>0</v>
      </c>
      <c r="G16" s="2">
        <v>0</v>
      </c>
      <c r="H16">
        <f>D16-E16-F16</f>
        <v>195</v>
      </c>
      <c r="J16" t="s">
        <v>57</v>
      </c>
      <c r="K16" t="s">
        <v>65</v>
      </c>
    </row>
    <row r="17" spans="1:11" x14ac:dyDescent="0.35">
      <c r="A17" t="s">
        <v>10</v>
      </c>
      <c r="B17">
        <v>40</v>
      </c>
      <c r="C17">
        <f>C16*1.07</f>
        <v>8.56</v>
      </c>
      <c r="D17">
        <f t="shared" ref="D17:D27" si="2">B17*C17</f>
        <v>342.40000000000003</v>
      </c>
      <c r="E17">
        <v>125</v>
      </c>
      <c r="F17">
        <v>10</v>
      </c>
      <c r="G17" s="3">
        <v>0.05</v>
      </c>
      <c r="H17">
        <f t="shared" ref="H17:H27" si="3">D17-E17-F17</f>
        <v>207.40000000000003</v>
      </c>
      <c r="J17" s="3">
        <f>IF(Sheet1!B58,0.07,0)</f>
        <v>7.0000000000000007E-2</v>
      </c>
      <c r="K17" s="6">
        <f>IF(Sheet1!B58,10000000,0)</f>
        <v>10000000</v>
      </c>
    </row>
    <row r="18" spans="1:11" x14ac:dyDescent="0.35">
      <c r="A18" t="s">
        <v>11</v>
      </c>
      <c r="B18">
        <v>40</v>
      </c>
      <c r="C18">
        <f>C16*1.12</f>
        <v>8.9600000000000009</v>
      </c>
      <c r="D18">
        <f t="shared" si="2"/>
        <v>358.40000000000003</v>
      </c>
      <c r="E18">
        <v>125</v>
      </c>
      <c r="F18">
        <v>15</v>
      </c>
      <c r="G18" s="2">
        <v>0.1</v>
      </c>
      <c r="H18">
        <f t="shared" si="3"/>
        <v>218.40000000000003</v>
      </c>
      <c r="J18" s="3">
        <f>IF(Sheet1!B59,0.2,0)</f>
        <v>0</v>
      </c>
      <c r="K18" s="15">
        <f>IF(Sheet1!B59,9000000,0)</f>
        <v>0</v>
      </c>
    </row>
    <row r="19" spans="1:11" x14ac:dyDescent="0.35">
      <c r="A19" t="s">
        <v>12</v>
      </c>
      <c r="B19">
        <v>40</v>
      </c>
      <c r="C19">
        <f>C16*1.05</f>
        <v>8.4</v>
      </c>
      <c r="D19">
        <f t="shared" si="2"/>
        <v>336</v>
      </c>
      <c r="E19">
        <v>125</v>
      </c>
      <c r="F19">
        <v>8</v>
      </c>
      <c r="G19" s="2">
        <v>0.03</v>
      </c>
      <c r="H19">
        <f t="shared" si="3"/>
        <v>203</v>
      </c>
      <c r="J19" s="3">
        <f>IF(Sheet1!B60,0.05,0)</f>
        <v>0</v>
      </c>
      <c r="K19" s="15">
        <f>IF(Sheet1!B60,8000000,0)</f>
        <v>0</v>
      </c>
    </row>
    <row r="20" spans="1:11" x14ac:dyDescent="0.35">
      <c r="A20" t="s">
        <v>13</v>
      </c>
      <c r="B20">
        <v>40</v>
      </c>
      <c r="C20">
        <f>C16*1.08</f>
        <v>8.64</v>
      </c>
      <c r="D20">
        <f t="shared" si="2"/>
        <v>345.6</v>
      </c>
      <c r="E20">
        <v>125</v>
      </c>
      <c r="F20">
        <v>18</v>
      </c>
      <c r="G20" s="2">
        <v>0.03</v>
      </c>
      <c r="H20">
        <f t="shared" si="3"/>
        <v>202.60000000000002</v>
      </c>
      <c r="J20" s="3">
        <f>IF(Sheet1!B61,0.08,0)</f>
        <v>0.08</v>
      </c>
      <c r="K20" s="15">
        <f>IF(Sheet1!B61,18000000,0)</f>
        <v>18000000</v>
      </c>
    </row>
    <row r="21" spans="1:11" x14ac:dyDescent="0.35">
      <c r="A21" t="s">
        <v>14</v>
      </c>
      <c r="B21">
        <v>40</v>
      </c>
      <c r="C21">
        <f>C16*1.1</f>
        <v>8.8000000000000007</v>
      </c>
      <c r="D21">
        <f t="shared" si="2"/>
        <v>352</v>
      </c>
      <c r="E21">
        <v>125</v>
      </c>
      <c r="F21">
        <v>11</v>
      </c>
      <c r="G21" s="2">
        <v>7.0000000000000007E-2</v>
      </c>
      <c r="H21">
        <f t="shared" si="3"/>
        <v>216</v>
      </c>
      <c r="J21" s="3">
        <f>IF(Sheet1!B62=1,0.125,0)</f>
        <v>0</v>
      </c>
      <c r="K21" s="15">
        <f>IF(Sheet1!B62,10000000,0)</f>
        <v>0</v>
      </c>
    </row>
    <row r="22" spans="1:11" x14ac:dyDescent="0.35">
      <c r="A22" t="s">
        <v>15</v>
      </c>
      <c r="B22">
        <v>40</v>
      </c>
      <c r="C22">
        <f>C16*1.02</f>
        <v>8.16</v>
      </c>
      <c r="D22">
        <f t="shared" si="2"/>
        <v>326.39999999999998</v>
      </c>
      <c r="E22">
        <v>125</v>
      </c>
      <c r="F22">
        <v>8</v>
      </c>
      <c r="G22" s="2">
        <v>0.01</v>
      </c>
      <c r="H22">
        <f t="shared" si="3"/>
        <v>193.39999999999998</v>
      </c>
      <c r="J22" s="3">
        <f>IF(Sheet1!B63,0.02,0)</f>
        <v>0</v>
      </c>
      <c r="K22" s="6">
        <f>IF(Sheet1!B63,10000000,0)</f>
        <v>0</v>
      </c>
    </row>
    <row r="23" spans="1:11" x14ac:dyDescent="0.35">
      <c r="A23" t="s">
        <v>16</v>
      </c>
      <c r="B23">
        <v>40</v>
      </c>
      <c r="C23">
        <f>C16*1.005</f>
        <v>8.0399999999999991</v>
      </c>
      <c r="D23">
        <f t="shared" si="2"/>
        <v>321.59999999999997</v>
      </c>
      <c r="E23">
        <v>125</v>
      </c>
      <c r="F23">
        <v>4</v>
      </c>
      <c r="G23" s="2">
        <v>0</v>
      </c>
      <c r="H23">
        <f t="shared" si="3"/>
        <v>192.59999999999997</v>
      </c>
      <c r="J23" s="3">
        <f>IF(Sheet1!B64,0.005,0)</f>
        <v>0</v>
      </c>
      <c r="K23" s="6">
        <f>IF(Sheet1!B64,5000000,0)</f>
        <v>0</v>
      </c>
    </row>
    <row r="24" spans="1:11" x14ac:dyDescent="0.35">
      <c r="A24" t="s">
        <v>17</v>
      </c>
      <c r="B24">
        <v>40</v>
      </c>
      <c r="C24">
        <f>C16*1.02</f>
        <v>8.16</v>
      </c>
      <c r="D24">
        <f t="shared" si="2"/>
        <v>326.39999999999998</v>
      </c>
      <c r="E24">
        <v>125</v>
      </c>
      <c r="F24">
        <v>10</v>
      </c>
      <c r="G24" s="2">
        <v>0.01</v>
      </c>
      <c r="H24">
        <f t="shared" si="3"/>
        <v>191.39999999999998</v>
      </c>
      <c r="J24" s="3">
        <f>IF(Sheet1!B65,0.02,0)</f>
        <v>0.02</v>
      </c>
      <c r="K24" s="6">
        <f>IF(Sheet1!B65,10000000,0)</f>
        <v>10000000</v>
      </c>
    </row>
    <row r="25" spans="1:11" x14ac:dyDescent="0.35">
      <c r="A25" t="s">
        <v>18</v>
      </c>
      <c r="B25">
        <v>40</v>
      </c>
      <c r="C25">
        <f>C16*1.1</f>
        <v>8.8000000000000007</v>
      </c>
      <c r="D25">
        <f t="shared" si="2"/>
        <v>352</v>
      </c>
      <c r="E25">
        <v>125</v>
      </c>
      <c r="F25">
        <v>25</v>
      </c>
      <c r="G25" s="2">
        <v>0.1</v>
      </c>
      <c r="H25">
        <f t="shared" si="3"/>
        <v>202</v>
      </c>
      <c r="J25" s="3">
        <f>IF(Sheet1!B66,0.225,0)</f>
        <v>0</v>
      </c>
      <c r="K25" s="6">
        <f>IF(Sheet1!B66,25000000,0)</f>
        <v>0</v>
      </c>
    </row>
    <row r="26" spans="1:11" x14ac:dyDescent="0.35">
      <c r="A26" t="s">
        <v>19</v>
      </c>
      <c r="B26">
        <v>40</v>
      </c>
      <c r="C26">
        <f>C16*1.5</f>
        <v>12</v>
      </c>
      <c r="D26">
        <f t="shared" si="2"/>
        <v>480</v>
      </c>
      <c r="E26">
        <v>125</v>
      </c>
      <c r="F26">
        <v>50</v>
      </c>
      <c r="G26" s="2">
        <v>0.05</v>
      </c>
      <c r="H26">
        <f t="shared" si="3"/>
        <v>305</v>
      </c>
      <c r="J26" s="3">
        <f>IF(Sheet1!B67,0.5,0)</f>
        <v>0</v>
      </c>
      <c r="K26" s="6">
        <f>IF(Sheet1!B67,'price forecast sheet'!J5*1.5,0)</f>
        <v>0</v>
      </c>
    </row>
    <row r="27" spans="1:11" x14ac:dyDescent="0.35">
      <c r="A27" t="s">
        <v>26</v>
      </c>
      <c r="B27">
        <v>40</v>
      </c>
      <c r="C27">
        <f>C16*0.93</f>
        <v>7.44</v>
      </c>
      <c r="D27">
        <f t="shared" si="2"/>
        <v>297.60000000000002</v>
      </c>
      <c r="E27">
        <v>125</v>
      </c>
      <c r="F27">
        <v>10</v>
      </c>
      <c r="G27" s="2">
        <v>-0.1</v>
      </c>
      <c r="H27">
        <f t="shared" si="3"/>
        <v>162.60000000000002</v>
      </c>
      <c r="J27" s="3">
        <f>IF(Sheet1!B68,-0.07,0)</f>
        <v>-7.0000000000000007E-2</v>
      </c>
      <c r="K27" s="6">
        <f>IF(Sheet1!B68,10000000,0)</f>
        <v>10000000</v>
      </c>
    </row>
    <row r="28" spans="1:11" x14ac:dyDescent="0.35">
      <c r="J28" t="s">
        <v>54</v>
      </c>
    </row>
    <row r="29" spans="1:11" x14ac:dyDescent="0.35">
      <c r="A29" s="1" t="s">
        <v>20</v>
      </c>
      <c r="B29" t="s">
        <v>36</v>
      </c>
      <c r="C29" t="s">
        <v>34</v>
      </c>
      <c r="D29" t="s">
        <v>33</v>
      </c>
      <c r="E29" t="s">
        <v>38</v>
      </c>
      <c r="J29" s="8">
        <f>SUM(J17:J27)/3</f>
        <v>3.3333333333333333E-2</v>
      </c>
    </row>
    <row r="30" spans="1:11" x14ac:dyDescent="0.35">
      <c r="A30" t="s">
        <v>35</v>
      </c>
      <c r="B30">
        <v>40</v>
      </c>
      <c r="C30">
        <v>8</v>
      </c>
      <c r="D30">
        <v>125</v>
      </c>
      <c r="E30">
        <v>0</v>
      </c>
      <c r="G30" t="s">
        <v>71</v>
      </c>
    </row>
    <row r="31" spans="1:11" x14ac:dyDescent="0.35">
      <c r="A31" t="s">
        <v>21</v>
      </c>
      <c r="B31">
        <f>B30</f>
        <v>40</v>
      </c>
      <c r="C31">
        <f>C30*1.07</f>
        <v>8.56</v>
      </c>
      <c r="D31">
        <f>D30+E31</f>
        <v>143</v>
      </c>
      <c r="E31">
        <v>18</v>
      </c>
      <c r="G31">
        <f>IF(Sheet1!B72,0.085,0)</f>
        <v>8.5000000000000006E-2</v>
      </c>
    </row>
    <row r="32" spans="1:11" x14ac:dyDescent="0.35">
      <c r="A32" t="s">
        <v>44</v>
      </c>
      <c r="B32">
        <f t="shared" ref="B32:B34" si="4">B31</f>
        <v>40</v>
      </c>
      <c r="C32">
        <f>C30</f>
        <v>8</v>
      </c>
      <c r="D32">
        <f>D30+E32</f>
        <v>135</v>
      </c>
      <c r="E32">
        <v>10</v>
      </c>
      <c r="G32">
        <f>IF(Sheet1!B73,0,0)</f>
        <v>0</v>
      </c>
      <c r="J32" s="1" t="s">
        <v>60</v>
      </c>
      <c r="K32" s="1" t="s">
        <v>59</v>
      </c>
    </row>
    <row r="33" spans="1:10" x14ac:dyDescent="0.35">
      <c r="A33" t="s">
        <v>23</v>
      </c>
      <c r="B33">
        <f t="shared" si="4"/>
        <v>40</v>
      </c>
      <c r="C33">
        <f>C30</f>
        <v>8</v>
      </c>
      <c r="D33">
        <f>D30+E33</f>
        <v>155</v>
      </c>
      <c r="E33">
        <v>30</v>
      </c>
      <c r="G33">
        <f>IF(Sheet1!B74,0,0)</f>
        <v>0</v>
      </c>
      <c r="J33" s="8">
        <f>((J12+J29)/2)+G31</f>
        <v>4.6666666666666676E-2</v>
      </c>
    </row>
    <row r="34" spans="1:10" x14ac:dyDescent="0.35">
      <c r="A34" t="s">
        <v>24</v>
      </c>
      <c r="B34">
        <f t="shared" si="4"/>
        <v>40</v>
      </c>
      <c r="C34">
        <f>C30</f>
        <v>8</v>
      </c>
      <c r="D34">
        <f t="shared" ref="D34" si="5">D33+E34</f>
        <v>170</v>
      </c>
      <c r="E34">
        <v>15</v>
      </c>
      <c r="G34">
        <f>IF(Sheet1!B75,0,0)</f>
        <v>0</v>
      </c>
    </row>
    <row r="35" spans="1:10" x14ac:dyDescent="0.35">
      <c r="A35" s="4" t="s">
        <v>25</v>
      </c>
      <c r="B35">
        <f>B34</f>
        <v>40</v>
      </c>
      <c r="C35">
        <f>C30</f>
        <v>8</v>
      </c>
      <c r="D35">
        <f>D30+E35</f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A0E47-25EB-418A-B64A-2492AA92B34A}">
  <dimension ref="A1:Q5"/>
  <sheetViews>
    <sheetView workbookViewId="0">
      <selection activeCell="K2" sqref="K2"/>
    </sheetView>
  </sheetViews>
  <sheetFormatPr defaultRowHeight="14.5" x14ac:dyDescent="0.35"/>
  <cols>
    <col min="1" max="1" width="12.6328125" bestFit="1" customWidth="1"/>
    <col min="2" max="2" width="24" bestFit="1" customWidth="1"/>
    <col min="3" max="3" width="10.453125" bestFit="1" customWidth="1"/>
    <col min="4" max="4" width="17.7265625" bestFit="1" customWidth="1"/>
    <col min="5" max="5" width="14.36328125" bestFit="1" customWidth="1"/>
    <col min="6" max="6" width="19.26953125" bestFit="1" customWidth="1"/>
    <col min="7" max="7" width="15.6328125" bestFit="1" customWidth="1"/>
    <col min="8" max="8" width="16.26953125" bestFit="1" customWidth="1"/>
    <col min="9" max="9" width="9.1796875" bestFit="1" customWidth="1"/>
    <col min="10" max="10" width="14.36328125" bestFit="1" customWidth="1"/>
    <col min="11" max="11" width="15.6328125" bestFit="1" customWidth="1"/>
    <col min="12" max="12" width="20.7265625" bestFit="1" customWidth="1"/>
    <col min="13" max="13" width="16.36328125" customWidth="1"/>
    <col min="14" max="14" width="20.1796875" bestFit="1" customWidth="1"/>
    <col min="15" max="15" width="30.26953125" bestFit="1" customWidth="1"/>
    <col min="16" max="16" width="30.26953125" customWidth="1"/>
    <col min="17" max="17" width="15.81640625" bestFit="1" customWidth="1"/>
  </cols>
  <sheetData>
    <row r="1" spans="1:17" x14ac:dyDescent="0.35">
      <c r="A1" t="s">
        <v>45</v>
      </c>
      <c r="B1" t="s">
        <v>47</v>
      </c>
      <c r="C1" t="s">
        <v>46</v>
      </c>
      <c r="D1" t="s">
        <v>58</v>
      </c>
      <c r="E1" t="s">
        <v>48</v>
      </c>
      <c r="F1" t="s">
        <v>70</v>
      </c>
      <c r="G1" t="s">
        <v>49</v>
      </c>
      <c r="H1" t="s">
        <v>50</v>
      </c>
      <c r="I1" t="s">
        <v>51</v>
      </c>
      <c r="J1" t="s">
        <v>52</v>
      </c>
      <c r="K1" t="s">
        <v>55</v>
      </c>
      <c r="L1" t="s">
        <v>61</v>
      </c>
      <c r="M1" t="s">
        <v>62</v>
      </c>
      <c r="N1" t="s">
        <v>66</v>
      </c>
      <c r="O1" t="s">
        <v>68</v>
      </c>
      <c r="P1" t="s">
        <v>72</v>
      </c>
      <c r="Q1" t="s">
        <v>69</v>
      </c>
    </row>
    <row r="2" spans="1:17" x14ac:dyDescent="0.35">
      <c r="A2" t="s">
        <v>75</v>
      </c>
      <c r="B2" s="5">
        <v>3950000</v>
      </c>
      <c r="C2" s="7">
        <v>20</v>
      </c>
      <c r="D2" s="7">
        <v>8</v>
      </c>
      <c r="E2" s="6">
        <f>C2*B2</f>
        <v>79000000</v>
      </c>
      <c r="F2" s="11">
        <v>65000000</v>
      </c>
      <c r="G2" s="7">
        <f>D2*B2</f>
        <v>31600000</v>
      </c>
      <c r="H2" s="6">
        <f>E2-G2</f>
        <v>47400000</v>
      </c>
      <c r="I2" s="7">
        <f>C2*IF(Sheet1!B45=1,1.1,IF(Sheet1!B48=1,0.88,1))</f>
        <v>20</v>
      </c>
      <c r="J2" s="9">
        <f>ROUND(B2*(1+Sheet2!J33),0)</f>
        <v>4134333</v>
      </c>
      <c r="K2" s="7">
        <f>I2*J2</f>
        <v>82686660</v>
      </c>
      <c r="L2" s="14">
        <f>D2*1.05</f>
        <v>8.4</v>
      </c>
      <c r="M2" s="6">
        <f>L2*J2</f>
        <v>34728397.200000003</v>
      </c>
      <c r="N2" s="17">
        <f>SUM(Sheet2!K17:K27)</f>
        <v>48000000</v>
      </c>
      <c r="O2" s="17">
        <f>SUM(Sheet2!K4:K10)</f>
        <v>4000000</v>
      </c>
      <c r="P2" s="17">
        <f>IF(Sheet1!B72=1,20000000,IF(Sheet1!B73=1,15000000,IF(Sheet1!B74=1,30000000,IF(Sheet1!B75=1,15000000,0))))</f>
        <v>20000000</v>
      </c>
      <c r="Q2" s="18">
        <f>K5-M5-N2-O2-P2</f>
        <v>123574894.25</v>
      </c>
    </row>
    <row r="3" spans="1:17" x14ac:dyDescent="0.35">
      <c r="A3" t="s">
        <v>76</v>
      </c>
      <c r="B3" s="5">
        <v>4300000</v>
      </c>
      <c r="C3" s="7">
        <v>32</v>
      </c>
      <c r="D3" s="7">
        <v>12</v>
      </c>
      <c r="E3" s="6">
        <f>C3*B3</f>
        <v>137600000</v>
      </c>
      <c r="F3" s="6"/>
      <c r="G3" s="7">
        <f>D3*B3</f>
        <v>51600000</v>
      </c>
      <c r="H3" s="6">
        <f>E3-G3</f>
        <v>86000000</v>
      </c>
      <c r="I3" s="7">
        <f>C3*IF(Sheet1!B45=1,1.1,IF(Sheet1!B48=1,0.88,1))</f>
        <v>32</v>
      </c>
      <c r="J3" s="9">
        <f>ROUND(B3*(1+Sheet2!J33),0)</f>
        <v>4500667</v>
      </c>
      <c r="K3" s="7">
        <f>I3*J3</f>
        <v>144021344</v>
      </c>
      <c r="L3" s="14">
        <f>D3*1.05</f>
        <v>12.600000000000001</v>
      </c>
      <c r="M3" s="6">
        <f>L3*J3</f>
        <v>56708404.200000003</v>
      </c>
    </row>
    <row r="4" spans="1:17" x14ac:dyDescent="0.35">
      <c r="A4" t="s">
        <v>77</v>
      </c>
      <c r="B4" s="5">
        <v>2300000</v>
      </c>
      <c r="C4" s="7">
        <v>45</v>
      </c>
      <c r="D4" s="7">
        <v>19</v>
      </c>
      <c r="E4">
        <f>C4*B4</f>
        <v>103500000</v>
      </c>
      <c r="F4" s="6"/>
      <c r="G4" s="7">
        <f>D4*B4</f>
        <v>43700000</v>
      </c>
      <c r="H4" s="6">
        <f>E4-G4</f>
        <v>59800000</v>
      </c>
      <c r="I4" s="7">
        <f>C4*IF(Sheet1!B45=1,1.1,IF(Sheet1!B48=1,0.88,1))</f>
        <v>45</v>
      </c>
      <c r="J4" s="9">
        <f>ROUND(B4*(1+Sheet2!J33),0)</f>
        <v>2407333</v>
      </c>
      <c r="K4" s="7">
        <f>I4*J4</f>
        <v>108329985</v>
      </c>
      <c r="L4" s="14">
        <f>D4*1.05</f>
        <v>19.95</v>
      </c>
      <c r="M4" s="6">
        <f>L4*J4</f>
        <v>48026293.350000001</v>
      </c>
    </row>
    <row r="5" spans="1:17" x14ac:dyDescent="0.35">
      <c r="B5" s="12">
        <f>SUM(B2:B4)</f>
        <v>10550000</v>
      </c>
      <c r="E5" s="11">
        <f>SUM(E2:E4)</f>
        <v>320100000</v>
      </c>
      <c r="F5" s="11"/>
      <c r="G5" s="10">
        <f>SUM(G2:G4)</f>
        <v>126900000</v>
      </c>
      <c r="H5" s="11">
        <f>E5-G5-F2</f>
        <v>128200000</v>
      </c>
      <c r="J5" s="13">
        <f>SUM(J2:J4)</f>
        <v>11042333</v>
      </c>
      <c r="K5" s="10">
        <f>SUM(K2:K4)</f>
        <v>335037989</v>
      </c>
      <c r="M5" s="11">
        <f>SUM(M2:M4)</f>
        <v>139463094.75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76</vt:i4>
      </vt:variant>
    </vt:vector>
  </HeadingPairs>
  <TitlesOfParts>
    <vt:vector size="79" baseType="lpstr">
      <vt:lpstr>Sheet1</vt:lpstr>
      <vt:lpstr>Sheet2</vt:lpstr>
      <vt:lpstr>price forecast sheet</vt:lpstr>
      <vt:lpstr>amajonDecision</vt:lpstr>
      <vt:lpstr>BaseTotalUnitsSold</vt:lpstr>
      <vt:lpstr>billboardDecision</vt:lpstr>
      <vt:lpstr>COGS</vt:lpstr>
      <vt:lpstr>commercialDecision</vt:lpstr>
      <vt:lpstr>ContradictingLevers</vt:lpstr>
      <vt:lpstr>createProductsDecision</vt:lpstr>
      <vt:lpstr>decreasePackDecision</vt:lpstr>
      <vt:lpstr>decreasePriceDecision</vt:lpstr>
      <vt:lpstr>efficientDecision</vt:lpstr>
      <vt:lpstr>europeDecision</vt:lpstr>
      <vt:lpstr>eventDecision</vt:lpstr>
      <vt:lpstr>ExpensesBudget</vt:lpstr>
      <vt:lpstr>GrossMargin</vt:lpstr>
      <vt:lpstr>GrossProfit</vt:lpstr>
      <vt:lpstr>increasePriceDecision</vt:lpstr>
      <vt:lpstr>InflationAllocation</vt:lpstr>
      <vt:lpstr>InflationBudget</vt:lpstr>
      <vt:lpstr>InflationChange</vt:lpstr>
      <vt:lpstr>InflationExpenses</vt:lpstr>
      <vt:lpstr>influencerDecision</vt:lpstr>
      <vt:lpstr>KleanGirlBasePrice</vt:lpstr>
      <vt:lpstr>KleanGirlBaseUnitsSold</vt:lpstr>
      <vt:lpstr>KleanGirlCOGS</vt:lpstr>
      <vt:lpstr>KleanGirlRevenue</vt:lpstr>
      <vt:lpstr>KleanGirlUnitsSold</vt:lpstr>
      <vt:lpstr>KressStickBasePrice</vt:lpstr>
      <vt:lpstr>KressStickBaseUnitsSold</vt:lpstr>
      <vt:lpstr>KressStickCOGS</vt:lpstr>
      <vt:lpstr>KressStickPrice</vt:lpstr>
      <vt:lpstr>KressStickRevenue</vt:lpstr>
      <vt:lpstr>KressStickUnitsSold</vt:lpstr>
      <vt:lpstr>layoffDecision</vt:lpstr>
      <vt:lpstr>magazineDecision</vt:lpstr>
      <vt:lpstr>mailDecision</vt:lpstr>
      <vt:lpstr>MarketingAllocation</vt:lpstr>
      <vt:lpstr>MarketingBudget</vt:lpstr>
      <vt:lpstr>MarketingChange</vt:lpstr>
      <vt:lpstr>ObKressedBasePrice</vt:lpstr>
      <vt:lpstr>ObKressedBaseUnitsSold</vt:lpstr>
      <vt:lpstr>ObKressedPrice</vt:lpstr>
      <vt:lpstr>ObKressedRevenue</vt:lpstr>
      <vt:lpstr>ObKressedUnitsSold</vt:lpstr>
      <vt:lpstr>OperatingProfit</vt:lpstr>
      <vt:lpstr>PNLNetincome</vt:lpstr>
      <vt:lpstr>PNLNetRevenueTotal</vt:lpstr>
      <vt:lpstr>previous2Step</vt:lpstr>
      <vt:lpstr>previous3Step</vt:lpstr>
      <vt:lpstr>previousStep</vt:lpstr>
      <vt:lpstr>ProperLeverNumbers</vt:lpstr>
      <vt:lpstr>RDAllocation</vt:lpstr>
      <vt:lpstr>RDBudget</vt:lpstr>
      <vt:lpstr>RDCHange</vt:lpstr>
      <vt:lpstr>relocateDecision</vt:lpstr>
      <vt:lpstr>revampDecision</vt:lpstr>
      <vt:lpstr>socialMediaDecision</vt:lpstr>
      <vt:lpstr>sportsDecision</vt:lpstr>
      <vt:lpstr>StartingStep</vt:lpstr>
      <vt:lpstr>Step</vt:lpstr>
      <vt:lpstr>storesDecision</vt:lpstr>
      <vt:lpstr>sustainableDecision</vt:lpstr>
      <vt:lpstr>Taxes</vt:lpstr>
      <vt:lpstr>teamNameDecision</vt:lpstr>
      <vt:lpstr>testingDecision</vt:lpstr>
      <vt:lpstr>Time</vt:lpstr>
      <vt:lpstr>TotalAllocation</vt:lpstr>
      <vt:lpstr>TotalCOGS</vt:lpstr>
      <vt:lpstr>TotalInflationLevers</vt:lpstr>
      <vt:lpstr>TotalMarketingExpenses</vt:lpstr>
      <vt:lpstr>TotalMarketingLevers</vt:lpstr>
      <vt:lpstr>TotalOperatingExpenses</vt:lpstr>
      <vt:lpstr>TotalRDExpenses</vt:lpstr>
      <vt:lpstr>TotalRDLevers</vt:lpstr>
      <vt:lpstr>TotalRevenue</vt:lpstr>
      <vt:lpstr>TotalUnitsSold</vt:lpstr>
      <vt:lpstr>webAdsDecision</vt:lpstr>
    </vt:vector>
  </TitlesOfParts>
  <Company>StagingHolding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Kressley</dc:creator>
  <cp:lastModifiedBy>Jake Kressley</cp:lastModifiedBy>
  <dcterms:created xsi:type="dcterms:W3CDTF">2023-07-25T17:32:11Z</dcterms:created>
  <dcterms:modified xsi:type="dcterms:W3CDTF">2023-08-16T19:18:01Z</dcterms:modified>
</cp:coreProperties>
</file>