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oss\OneDrive\Documents\projects\dqmusicbox_working\case\bamboo\v5\test3\"/>
    </mc:Choice>
  </mc:AlternateContent>
  <xr:revisionPtr revIDLastSave="404" documentId="A205EB0A16BD3001F50365F887100C85B378E27D" xr6:coauthVersionLast="31" xr6:coauthVersionMax="31" xr10:uidLastSave="{BFB421D7-BF10-4200-B4F0-98135CD53267}"/>
  <bookViews>
    <workbookView xWindow="0" yWindow="0" windowWidth="28800" windowHeight="14232" xr2:uid="{00000000-000D-0000-FFFF-FFFF00000000}"/>
  </bookViews>
  <sheets>
    <sheet name="2P1_bamboo5" sheetId="5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57" l="1"/>
  <c r="B32" i="57"/>
  <c r="B28" i="57"/>
  <c r="F47" i="57"/>
  <c r="F46" i="57"/>
  <c r="F45" i="57"/>
  <c r="F44" i="57"/>
  <c r="F43" i="57"/>
  <c r="F42" i="57"/>
  <c r="F41" i="57"/>
  <c r="F40" i="57"/>
  <c r="I131" i="57"/>
  <c r="I129" i="57"/>
  <c r="I126" i="57"/>
  <c r="I123" i="57" l="1"/>
  <c r="H123" i="57"/>
  <c r="E101" i="57"/>
  <c r="G29" i="57"/>
  <c r="G28" i="57" l="1"/>
  <c r="F28" i="57"/>
  <c r="G41" i="57" l="1"/>
  <c r="G42" i="57"/>
  <c r="G43" i="57"/>
  <c r="G44" i="57"/>
  <c r="G45" i="57"/>
  <c r="G46" i="57"/>
  <c r="G47" i="57"/>
  <c r="G40" i="57"/>
  <c r="F32" i="57" l="1"/>
  <c r="G32" i="57" s="1"/>
  <c r="F30" i="57"/>
  <c r="G30" i="57" s="1"/>
  <c r="G127" i="57"/>
  <c r="F127" i="57"/>
  <c r="F123" i="57"/>
  <c r="E117" i="57"/>
  <c r="D117" i="57"/>
  <c r="E116" i="57"/>
  <c r="D116" i="57"/>
  <c r="E115" i="57"/>
  <c r="D115" i="57"/>
  <c r="E112" i="57"/>
  <c r="D112" i="57"/>
  <c r="E111" i="57"/>
  <c r="D111" i="57"/>
  <c r="E110" i="57"/>
  <c r="D110" i="57"/>
  <c r="D108" i="57"/>
  <c r="D107" i="57"/>
  <c r="G87" i="57"/>
  <c r="F87" i="57"/>
  <c r="F84" i="57"/>
  <c r="D80" i="57"/>
  <c r="G79" i="57"/>
  <c r="A79" i="57"/>
  <c r="I76" i="57"/>
  <c r="I89" i="57" s="1"/>
  <c r="H76" i="57"/>
  <c r="C76" i="57"/>
  <c r="B76" i="57"/>
  <c r="G67" i="57"/>
  <c r="G70" i="57" s="1"/>
  <c r="A67" i="57"/>
  <c r="F66" i="57"/>
  <c r="F65" i="57"/>
  <c r="H63" i="57"/>
  <c r="H100" i="57" s="1"/>
  <c r="H52" i="57"/>
  <c r="I24" i="57"/>
  <c r="H24" i="57"/>
  <c r="B24" i="57" s="1"/>
  <c r="C24" i="57"/>
  <c r="C10" i="57"/>
  <c r="B95" i="57" s="1"/>
  <c r="C9" i="57"/>
  <c r="C95" i="57" s="1"/>
  <c r="C8" i="57"/>
  <c r="B25" i="57" s="1"/>
  <c r="F129" i="57" l="1"/>
  <c r="H124" i="57"/>
  <c r="B29" i="57"/>
  <c r="D29" i="57" s="1"/>
  <c r="H29" i="57" s="1"/>
  <c r="D28" i="57"/>
  <c r="H28" i="57" s="1"/>
  <c r="B33" i="57"/>
  <c r="D33" i="57" s="1"/>
  <c r="H33" i="57" s="1"/>
  <c r="D30" i="57"/>
  <c r="H30" i="57" s="1"/>
  <c r="B34" i="57"/>
  <c r="D34" i="57" s="1"/>
  <c r="I94" i="57"/>
  <c r="B52" i="57"/>
  <c r="B53" i="57"/>
  <c r="B123" i="57"/>
  <c r="B124" i="57" s="1"/>
  <c r="H105" i="57"/>
  <c r="H106" i="57" s="1"/>
  <c r="C25" i="57"/>
  <c r="C53" i="57"/>
  <c r="B77" i="57"/>
  <c r="H94" i="57" s="1"/>
  <c r="H87" i="57"/>
  <c r="C77" i="57"/>
  <c r="G123" i="57"/>
  <c r="D101" i="57"/>
  <c r="H114" i="57" s="1"/>
  <c r="F126" i="57"/>
  <c r="H126" i="57" s="1"/>
  <c r="F64" i="57"/>
  <c r="H71" i="57" s="1"/>
  <c r="F131" i="57"/>
  <c r="I124" i="57" l="1"/>
  <c r="I127" i="57" s="1"/>
  <c r="H129" i="57"/>
  <c r="H131" i="57" s="1"/>
  <c r="H127" i="57"/>
  <c r="C28" i="57"/>
  <c r="E28" i="57" s="1"/>
  <c r="I28" i="57" s="1"/>
  <c r="C29" i="57"/>
  <c r="E29" i="57" s="1"/>
  <c r="I29" i="57" s="1"/>
  <c r="I52" i="57"/>
  <c r="I63" i="57" s="1"/>
  <c r="B31" i="57"/>
  <c r="D31" i="57" s="1"/>
  <c r="H31" i="57" s="1"/>
  <c r="D32" i="57"/>
  <c r="H32" i="57" s="1"/>
  <c r="H34" i="57"/>
  <c r="H35" i="57" s="1"/>
  <c r="C33" i="57"/>
  <c r="E33" i="57" s="1"/>
  <c r="I33" i="57" s="1"/>
  <c r="I100" i="57"/>
  <c r="I105" i="57" s="1"/>
  <c r="C78" i="57"/>
  <c r="C30" i="57"/>
  <c r="C32" i="57"/>
  <c r="E32" i="57" s="1"/>
  <c r="I32" i="57" s="1"/>
  <c r="C31" i="57"/>
  <c r="E31" i="57" s="1"/>
  <c r="I31" i="57" s="1"/>
  <c r="B129" i="57"/>
  <c r="C52" i="57"/>
  <c r="C55" i="57" s="1"/>
  <c r="H89" i="57"/>
  <c r="B126" i="57"/>
  <c r="I87" i="57"/>
  <c r="B131" i="57"/>
  <c r="B55" i="57"/>
  <c r="H104" i="57"/>
  <c r="H116" i="57"/>
  <c r="H117" i="57" s="1"/>
  <c r="H115" i="57"/>
  <c r="H118" i="57" s="1"/>
  <c r="I106" i="57"/>
  <c r="G129" i="57"/>
  <c r="C123" i="57"/>
  <c r="G131" i="57"/>
  <c r="G126" i="57"/>
  <c r="H109" i="57"/>
  <c r="I104" i="57" l="1"/>
  <c r="I109" i="57"/>
  <c r="I114" i="57" s="1"/>
  <c r="H36" i="57"/>
  <c r="B38" i="57" s="1"/>
  <c r="H47" i="57" s="1"/>
  <c r="B127" i="57"/>
  <c r="E30" i="57"/>
  <c r="C34" i="57"/>
  <c r="E34" i="57" s="1"/>
  <c r="I71" i="57"/>
  <c r="B56" i="57"/>
  <c r="H56" i="57"/>
  <c r="H58" i="57" s="1"/>
  <c r="C124" i="57"/>
  <c r="C126" i="57"/>
  <c r="H111" i="57"/>
  <c r="H112" i="57" s="1"/>
  <c r="H110" i="57"/>
  <c r="H113" i="57" s="1"/>
  <c r="I56" i="57"/>
  <c r="I58" i="57" s="1"/>
  <c r="C56" i="57"/>
  <c r="H40" i="57" l="1"/>
  <c r="I110" i="57"/>
  <c r="I112" i="57" s="1"/>
  <c r="I117" i="57" s="1"/>
  <c r="I111" i="57"/>
  <c r="I116" i="57" s="1"/>
  <c r="H44" i="57"/>
  <c r="H42" i="57"/>
  <c r="H46" i="57"/>
  <c r="H41" i="57"/>
  <c r="H39" i="57"/>
  <c r="H45" i="57"/>
  <c r="H43" i="57"/>
  <c r="E35" i="57"/>
  <c r="I34" i="57"/>
  <c r="I30" i="57"/>
  <c r="H119" i="57"/>
  <c r="I113" i="57"/>
  <c r="I115" i="57"/>
  <c r="I118" i="57" s="1"/>
  <c r="C127" i="57"/>
  <c r="C129" i="57"/>
  <c r="I119" i="57" l="1"/>
  <c r="I39" i="57"/>
  <c r="I40" i="57"/>
  <c r="I35" i="57"/>
  <c r="E36" i="57"/>
  <c r="I36" i="57" s="1"/>
  <c r="C131" i="57"/>
  <c r="I42" i="57" l="1"/>
  <c r="I46" i="57"/>
  <c r="I44" i="57"/>
  <c r="I43" i="57"/>
  <c r="I41" i="57"/>
  <c r="I47" i="57"/>
  <c r="I45" i="57"/>
</calcChain>
</file>

<file path=xl/sharedStrings.xml><?xml version="1.0" encoding="utf-8"?>
<sst xmlns="http://schemas.openxmlformats.org/spreadsheetml/2006/main" count="143" uniqueCount="102">
  <si>
    <t>width</t>
  </si>
  <si>
    <t>height</t>
  </si>
  <si>
    <t>depth</t>
  </si>
  <si>
    <t>x</t>
  </si>
  <si>
    <t>y</t>
  </si>
  <si>
    <t>item width</t>
  </si>
  <si>
    <t>item height</t>
  </si>
  <si>
    <t>x at left</t>
  </si>
  <si>
    <t>y at bottom</t>
  </si>
  <si>
    <t>lower left corner of face</t>
  </si>
  <si>
    <t>lower left of back</t>
  </si>
  <si>
    <t>W,H of face</t>
  </si>
  <si>
    <t>lower left of bottom</t>
  </si>
  <si>
    <t>lower left of top</t>
  </si>
  <si>
    <t>W,H of top decoration</t>
  </si>
  <si>
    <t>lower left of decoration</t>
  </si>
  <si>
    <t>lower left of decoration for visual centering</t>
  </si>
  <si>
    <t>This file is optional. If you are not changing the case, you don't need this file. If you are changing the case, this file may be handy.</t>
  </si>
  <si>
    <t>Face (front)</t>
  </si>
  <si>
    <t>x adjusted</t>
  </si>
  <si>
    <t>y adjusted</t>
  </si>
  <si>
    <t>x correction factor to make shape *appear* centered</t>
  </si>
  <si>
    <t>W,H of top</t>
  </si>
  <si>
    <t>center of musical note decoration</t>
  </si>
  <si>
    <t>knob #1</t>
  </si>
  <si>
    <t>knob #3</t>
  </si>
  <si>
    <t>knob #2</t>
  </si>
  <si>
    <t>knob #4</t>
  </si>
  <si>
    <t>W,H of bottom</t>
  </si>
  <si>
    <t>lower left of right side</t>
  </si>
  <si>
    <t>lower left of left side</t>
  </si>
  <si>
    <t>W,H of back</t>
  </si>
  <si>
    <t>thickness</t>
  </si>
  <si>
    <t>Back</t>
  </si>
  <si>
    <t>Top</t>
  </si>
  <si>
    <t>Bottom</t>
  </si>
  <si>
    <t>label: dqmusixbox.org</t>
  </si>
  <si>
    <t>Left side</t>
  </si>
  <si>
    <t>y at left</t>
  </si>
  <si>
    <t>Right side</t>
  </si>
  <si>
    <t>W,H of side</t>
  </si>
  <si>
    <t>x at center</t>
  </si>
  <si>
    <t>y at center</t>
  </si>
  <si>
    <t>Knobs</t>
  </si>
  <si>
    <t>label: back</t>
  </si>
  <si>
    <t>label: inside</t>
  </si>
  <si>
    <t>Assumed maximum thickness of USB power plug</t>
  </si>
  <si>
    <t>cutout distance from left when facing the back (SD card)</t>
  </si>
  <si>
    <t>cutout distance from right when facing the back (USB stick)</t>
  </si>
  <si>
    <t>Parameters</t>
  </si>
  <si>
    <t>Case dimenstion</t>
  </si>
  <si>
    <t>Input to makercase.com</t>
  </si>
  <si>
    <t>In drawing below</t>
  </si>
  <si>
    <t>x,y or lower canvas for the full case</t>
  </si>
  <si>
    <t>Distance from bottom of Pi to mid-point of micro-USB power plug</t>
  </si>
  <si>
    <t>Distance from underside of box to bottom of cutout</t>
  </si>
  <si>
    <t>D-shaft encoder cutout</t>
  </si>
  <si>
    <t>diameter of knobs</t>
  </si>
  <si>
    <t>Cutout</t>
  </si>
  <si>
    <t>Gap between top of knob and bottom of label text</t>
  </si>
  <si>
    <t>Drop to account for lower case g descender in text</t>
  </si>
  <si>
    <t>Distance between mounting holes</t>
  </si>
  <si>
    <t>Distance from inside back of box to center of first mount hole</t>
  </si>
  <si>
    <t>Pi A+ mounting hole #1</t>
  </si>
  <si>
    <t>Pi A+ mounting hole #2</t>
  </si>
  <si>
    <t>Pi A+ mounting hole #3</t>
  </si>
  <si>
    <t>Pi A+ mounting hole #4</t>
  </si>
  <si>
    <t>Pi 3 mounting hole #1</t>
  </si>
  <si>
    <t>Pi 3 mounting hole #2</t>
  </si>
  <si>
    <t>Pi 3 mounting hole #3</t>
  </si>
  <si>
    <t>Pi 3 mounting hole #4</t>
  </si>
  <si>
    <t>Distance from from bottom of Pi3 to top of Pi3 USB port + a bit of buffer</t>
  </si>
  <si>
    <t>Distance from board edge to edge of USB port + a bit of buffer</t>
  </si>
  <si>
    <t>Width of USB port + a bit of buffer</t>
  </si>
  <si>
    <t>Distance from outside back of case to board edge</t>
  </si>
  <si>
    <t>standoff height</t>
  </si>
  <si>
    <t>label: inside-of-left-side</t>
  </si>
  <si>
    <t>label: right</t>
  </si>
  <si>
    <t>label: Pi-A+</t>
  </si>
  <si>
    <t>label: Pi-3</t>
  </si>
  <si>
    <t>length from Pi3 USB edge to center of mounting hole with 1mm buffer</t>
  </si>
  <si>
    <t>Pi board height</t>
  </si>
  <si>
    <t>Distance from outside back to center of the backmost mounting holes</t>
  </si>
  <si>
    <t>Distance from the backmost mounting holes to far edge of A+ USB</t>
  </si>
  <si>
    <t>length from A+ board edge to center of mounting hole with 1mm buffer</t>
  </si>
  <si>
    <t>Distance from center of back mounting holes to near edge of Pi3 Ethernet</t>
  </si>
  <si>
    <t>Calculating the posititions for laser cutting &amp; engraving on the wood case</t>
  </si>
  <si>
    <t>Bamboo v5: two P1 pieces of 6.7mm thick bamboo</t>
  </si>
  <si>
    <t>W,H of side with front prongs removed</t>
  </si>
  <si>
    <t>bar spacing (x)</t>
  </si>
  <si>
    <t>number of bars -1</t>
  </si>
  <si>
    <t>stripe box</t>
  </si>
  <si>
    <t>right end bar</t>
  </si>
  <si>
    <t>left end bar</t>
  </si>
  <si>
    <t>upper bar</t>
  </si>
  <si>
    <t>lower bar</t>
  </si>
  <si>
    <t>headphone jack (x=1/10, y=1/2)</t>
  </si>
  <si>
    <t>indicator LED (x=9/10, y=1/2)</t>
  </si>
  <si>
    <t>volume rotary encoder (x=1/4, y=1/2)</t>
  </si>
  <si>
    <t>volume label (x=1/4, y=1/2 + knob_radius + gap)</t>
  </si>
  <si>
    <t>songs rotary encoder (x=3/4, y=1/2)</t>
  </si>
  <si>
    <t>songs label (x=3/4, y=1/2 + knob_radius + gap)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</si>
</sst>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24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1" xfId="0" applyNumberFormat="1" applyFont="1" applyBorder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3" fillId="0" borderId="0" xfId="0" applyFont="1" applyBorder="1"/>
    <xf numFmtId="0" fontId="2" fillId="2" borderId="1" xfId="0" applyFont="1" applyFill="1" applyBorder="1"/>
    <xf numFmtId="165" fontId="4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5" fillId="2" borderId="1" xfId="0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right"/>
    </xf>
    <xf numFmtId="16" fontId="2" fillId="0" borderId="1" xfId="0" applyNumberFormat="1" applyFont="1" applyBorder="1"/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16" fontId="2" fillId="0" borderId="0" xfId="0" applyNumberFormat="1" applyFont="1" applyBorder="1"/>
    <xf numFmtId="16" fontId="2" fillId="0" borderId="0" xfId="0" applyNumberFormat="1" applyFont="1"/>
    <xf numFmtId="0" fontId="0" fillId="0" borderId="1" xfId="0" applyFon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131</xdr:row>
      <xdr:rowOff>0</xdr:rowOff>
    </xdr:from>
    <xdr:to>
      <xdr:col>7</xdr:col>
      <xdr:colOff>200025</xdr:colOff>
      <xdr:row>131</xdr:row>
      <xdr:rowOff>142875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4A2E35C-E979-401A-B52E-99A080260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8140" y="23622000"/>
          <a:ext cx="200025" cy="142875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131</xdr:row>
      <xdr:rowOff>0</xdr:rowOff>
    </xdr:from>
    <xdr:ext cx="200025" cy="142875"/>
    <xdr:pic>
      <xdr:nvPicPr>
        <xdr:cNvPr id="3" name="Graphic 2">
          <a:extLst>
            <a:ext uri="{FF2B5EF4-FFF2-40B4-BE49-F238E27FC236}">
              <a16:creationId xmlns:a16="http://schemas.microsoft.com/office/drawing/2014/main" id="{AA127025-B2EA-4658-BFC6-0B21EA98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8140" y="23622000"/>
          <a:ext cx="200025" cy="14287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131</xdr:row>
      <xdr:rowOff>0</xdr:rowOff>
    </xdr:from>
    <xdr:ext cx="200025" cy="142875"/>
    <xdr:pic>
      <xdr:nvPicPr>
        <xdr:cNvPr id="4" name="Graphic 3">
          <a:extLst>
            <a:ext uri="{FF2B5EF4-FFF2-40B4-BE49-F238E27FC236}">
              <a16:creationId xmlns:a16="http://schemas.microsoft.com/office/drawing/2014/main" id="{984328F2-107F-433A-AFC9-F45A55F73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788140" y="23622000"/>
          <a:ext cx="200025" cy="142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A103" zoomScale="80" zoomScaleNormal="80" workbookViewId="0">
      <selection activeCell="I127" sqref="I127"/>
    </sheetView>
  </sheetViews>
  <sheetFormatPr defaultColWidth="9.109375" defaultRowHeight="14.4" x14ac:dyDescent="0.3"/>
  <cols>
    <col min="1" max="1" width="76.44140625" style="2" customWidth="1"/>
    <col min="2" max="2" width="16.44140625" style="2" customWidth="1"/>
    <col min="3" max="3" width="15.6640625" style="2" customWidth="1"/>
    <col min="4" max="4" width="16.109375" style="2" customWidth="1"/>
    <col min="5" max="5" width="18.109375" style="2" customWidth="1"/>
    <col min="6" max="6" width="14.6640625" style="2" customWidth="1"/>
    <col min="7" max="7" width="14.44140625" style="2" customWidth="1"/>
    <col min="8" max="8" width="16.44140625" style="2" customWidth="1"/>
    <col min="9" max="9" width="12.33203125" style="2" customWidth="1"/>
    <col min="10" max="10" width="16.5546875" style="2" customWidth="1"/>
    <col min="11" max="16384" width="9.109375" style="2"/>
  </cols>
  <sheetData>
    <row r="1" spans="1:6" ht="31.2" x14ac:dyDescent="0.6">
      <c r="A1" s="1" t="s">
        <v>86</v>
      </c>
    </row>
    <row r="2" spans="1:6" ht="23.4" x14ac:dyDescent="0.45">
      <c r="A2" s="3" t="s">
        <v>87</v>
      </c>
    </row>
    <row r="3" spans="1:6" x14ac:dyDescent="0.3">
      <c r="A3" s="4" t="s">
        <v>17</v>
      </c>
    </row>
    <row r="4" spans="1:6" x14ac:dyDescent="0.3">
      <c r="A4" s="5"/>
      <c r="D4" s="6"/>
      <c r="E4" s="6"/>
    </row>
    <row r="5" spans="1:6" x14ac:dyDescent="0.3">
      <c r="A5" s="5"/>
      <c r="D5" s="6"/>
      <c r="E5" s="6"/>
    </row>
    <row r="6" spans="1:6" ht="23.4" x14ac:dyDescent="0.45">
      <c r="A6" s="3" t="s">
        <v>50</v>
      </c>
      <c r="B6" s="7"/>
      <c r="C6" s="6"/>
      <c r="E6" s="6"/>
    </row>
    <row r="7" spans="1:6" ht="30.6" x14ac:dyDescent="0.45">
      <c r="A7" s="8"/>
      <c r="B7" s="9" t="s">
        <v>51</v>
      </c>
      <c r="C7" s="10" t="s">
        <v>52</v>
      </c>
      <c r="E7" s="6"/>
    </row>
    <row r="8" spans="1:6" x14ac:dyDescent="0.3">
      <c r="A8" s="11" t="s">
        <v>0</v>
      </c>
      <c r="B8" s="12">
        <v>180</v>
      </c>
      <c r="C8" s="12">
        <f>B8+0.01</f>
        <v>180.01</v>
      </c>
      <c r="E8" s="13"/>
      <c r="F8" s="13"/>
    </row>
    <row r="9" spans="1:6" x14ac:dyDescent="0.3">
      <c r="A9" s="11" t="s">
        <v>1</v>
      </c>
      <c r="B9" s="12">
        <v>66</v>
      </c>
      <c r="C9" s="12">
        <f>B9+0.01</f>
        <v>66.010000000000005</v>
      </c>
      <c r="E9" s="6"/>
      <c r="F9" s="13"/>
    </row>
    <row r="10" spans="1:6" x14ac:dyDescent="0.3">
      <c r="A10" s="11" t="s">
        <v>2</v>
      </c>
      <c r="B10" s="12">
        <v>88</v>
      </c>
      <c r="C10" s="12">
        <f>B10+0.01</f>
        <v>88.01</v>
      </c>
    </row>
    <row r="11" spans="1:6" x14ac:dyDescent="0.3">
      <c r="A11" s="11" t="s">
        <v>32</v>
      </c>
      <c r="B11" s="12">
        <v>6.7</v>
      </c>
      <c r="C11" s="14"/>
      <c r="D11" s="5"/>
      <c r="E11" s="6"/>
    </row>
    <row r="12" spans="1:6" x14ac:dyDescent="0.3">
      <c r="E12" s="13"/>
      <c r="F12" s="13"/>
    </row>
    <row r="14" spans="1:6" ht="23.4" x14ac:dyDescent="0.45">
      <c r="A14" s="3" t="s">
        <v>49</v>
      </c>
    </row>
    <row r="15" spans="1:6" x14ac:dyDescent="0.3">
      <c r="A15" s="15" t="s">
        <v>53</v>
      </c>
      <c r="B15" s="12">
        <v>5.2439999999999998</v>
      </c>
      <c r="C15" s="12">
        <v>5.2439999999999998</v>
      </c>
    </row>
    <row r="16" spans="1:6" x14ac:dyDescent="0.3">
      <c r="A16" s="15" t="s">
        <v>57</v>
      </c>
      <c r="B16" s="12">
        <v>28</v>
      </c>
      <c r="C16" s="12"/>
    </row>
    <row r="17" spans="1:10" x14ac:dyDescent="0.3">
      <c r="A17" s="15" t="s">
        <v>75</v>
      </c>
      <c r="B17" s="11"/>
      <c r="C17" s="12">
        <v>7</v>
      </c>
    </row>
    <row r="18" spans="1:10" x14ac:dyDescent="0.3">
      <c r="A18" s="15" t="s">
        <v>81</v>
      </c>
      <c r="B18" s="12">
        <v>56</v>
      </c>
      <c r="C18" s="12"/>
    </row>
    <row r="19" spans="1:10" x14ac:dyDescent="0.3">
      <c r="A19" s="16"/>
      <c r="B19" s="17"/>
      <c r="C19" s="18"/>
    </row>
    <row r="20" spans="1:10" x14ac:dyDescent="0.3">
      <c r="E20" s="13"/>
    </row>
    <row r="21" spans="1:10" x14ac:dyDescent="0.3">
      <c r="E21" s="13"/>
    </row>
    <row r="22" spans="1:10" ht="23.4" x14ac:dyDescent="0.45">
      <c r="A22" s="19" t="s">
        <v>18</v>
      </c>
    </row>
    <row r="23" spans="1:10" x14ac:dyDescent="0.3">
      <c r="A23" s="20"/>
      <c r="B23" s="10" t="s">
        <v>3</v>
      </c>
      <c r="C23" s="10" t="s">
        <v>4</v>
      </c>
      <c r="D23" s="10" t="s">
        <v>19</v>
      </c>
      <c r="E23" s="10" t="s">
        <v>20</v>
      </c>
      <c r="F23" s="10" t="s">
        <v>5</v>
      </c>
      <c r="G23" s="10" t="s">
        <v>6</v>
      </c>
      <c r="H23" s="10" t="s">
        <v>7</v>
      </c>
      <c r="I23" s="10" t="s">
        <v>8</v>
      </c>
    </row>
    <row r="24" spans="1:10" x14ac:dyDescent="0.3">
      <c r="A24" s="11" t="s">
        <v>9</v>
      </c>
      <c r="B24" s="12">
        <f>H24</f>
        <v>5.2439999999999998</v>
      </c>
      <c r="C24" s="12">
        <f>C15</f>
        <v>5.2439999999999998</v>
      </c>
      <c r="D24" s="21"/>
      <c r="E24" s="21"/>
      <c r="F24" s="21"/>
      <c r="G24" s="21"/>
      <c r="H24" s="22">
        <f>B15</f>
        <v>5.2439999999999998</v>
      </c>
      <c r="I24" s="22">
        <f>C15</f>
        <v>5.2439999999999998</v>
      </c>
    </row>
    <row r="25" spans="1:10" x14ac:dyDescent="0.3">
      <c r="A25" s="11" t="s">
        <v>11</v>
      </c>
      <c r="B25" s="12">
        <f>C8</f>
        <v>180.01</v>
      </c>
      <c r="C25" s="12">
        <f>C9</f>
        <v>66.010000000000005</v>
      </c>
      <c r="D25" s="12"/>
      <c r="E25" s="12"/>
      <c r="F25" s="12"/>
      <c r="G25" s="12"/>
      <c r="H25" s="12"/>
      <c r="I25" s="12"/>
    </row>
    <row r="26" spans="1:10" x14ac:dyDescent="0.3">
      <c r="A26" s="11" t="s">
        <v>59</v>
      </c>
      <c r="B26" s="12"/>
      <c r="C26" s="12">
        <v>2.5</v>
      </c>
      <c r="D26" s="12"/>
      <c r="E26" s="12"/>
      <c r="F26" s="12"/>
      <c r="G26" s="12"/>
      <c r="H26" s="12"/>
      <c r="I26" s="12"/>
    </row>
    <row r="27" spans="1:10" x14ac:dyDescent="0.3">
      <c r="A27" s="11" t="s">
        <v>60</v>
      </c>
      <c r="B27" s="12"/>
      <c r="C27" s="12">
        <v>1.6</v>
      </c>
      <c r="D27" s="12"/>
      <c r="E27" s="12"/>
      <c r="F27" s="12"/>
      <c r="G27" s="12"/>
      <c r="H27" s="12"/>
      <c r="I27" s="12"/>
    </row>
    <row r="28" spans="1:10" x14ac:dyDescent="0.3">
      <c r="A28" s="32" t="s">
        <v>96</v>
      </c>
      <c r="B28" s="12">
        <f>B25/10</f>
        <v>18.000999999999998</v>
      </c>
      <c r="C28" s="12">
        <f>C25/2</f>
        <v>33.005000000000003</v>
      </c>
      <c r="D28" s="12">
        <f>B28+B24</f>
        <v>23.244999999999997</v>
      </c>
      <c r="E28" s="12">
        <f>C28+C24</f>
        <v>38.249000000000002</v>
      </c>
      <c r="F28" s="12">
        <f>(3/8)*25.4</f>
        <v>9.5249999999999986</v>
      </c>
      <c r="G28" s="12">
        <f>(3/8)*25.4</f>
        <v>9.5249999999999986</v>
      </c>
      <c r="H28" s="12">
        <f>D28-G28/2</f>
        <v>18.482499999999998</v>
      </c>
      <c r="I28" s="12">
        <f>E28-G28/2</f>
        <v>33.486500000000007</v>
      </c>
    </row>
    <row r="29" spans="1:10" x14ac:dyDescent="0.3">
      <c r="A29" s="32" t="s">
        <v>97</v>
      </c>
      <c r="B29" s="12">
        <f>B25/10*9</f>
        <v>162.00899999999999</v>
      </c>
      <c r="C29" s="12">
        <f>C25/2</f>
        <v>33.005000000000003</v>
      </c>
      <c r="D29" s="12">
        <f>B29+B24</f>
        <v>167.25299999999999</v>
      </c>
      <c r="E29" s="12">
        <f>C29+C24</f>
        <v>38.249000000000002</v>
      </c>
      <c r="F29" s="12">
        <v>4.8499999999999996</v>
      </c>
      <c r="G29" s="12">
        <f>F29</f>
        <v>4.8499999999999996</v>
      </c>
      <c r="H29" s="12">
        <f>D29-F29/2</f>
        <v>164.82799999999997</v>
      </c>
      <c r="I29" s="12">
        <f>E29-G29/2</f>
        <v>35.824000000000005</v>
      </c>
    </row>
    <row r="30" spans="1:10" x14ac:dyDescent="0.3">
      <c r="A30" s="32" t="s">
        <v>98</v>
      </c>
      <c r="B30" s="12">
        <f>B25/4</f>
        <v>45.002499999999998</v>
      </c>
      <c r="C30" s="12">
        <f>C25/2</f>
        <v>33.005000000000003</v>
      </c>
      <c r="D30" s="12">
        <f>B30+B24</f>
        <v>50.246499999999997</v>
      </c>
      <c r="E30" s="12">
        <f>C30+C24</f>
        <v>38.249000000000002</v>
      </c>
      <c r="F30" s="12">
        <f>(1/4)*25.4</f>
        <v>6.35</v>
      </c>
      <c r="G30" s="12">
        <f>F30</f>
        <v>6.35</v>
      </c>
      <c r="H30" s="12">
        <f t="shared" ref="H30:I36" si="0">D30-(F30/2)</f>
        <v>47.0715</v>
      </c>
      <c r="I30" s="12">
        <f t="shared" si="0"/>
        <v>35.074000000000005</v>
      </c>
    </row>
    <row r="31" spans="1:10" x14ac:dyDescent="0.3">
      <c r="A31" s="32" t="s">
        <v>99</v>
      </c>
      <c r="B31" s="12">
        <f>B30</f>
        <v>45.002499999999998</v>
      </c>
      <c r="C31" s="12">
        <f>C25/2+$B$16/2+G31/2+C26</f>
        <v>53.005000000000003</v>
      </c>
      <c r="D31" s="12">
        <f>B31+B24</f>
        <v>50.246499999999997</v>
      </c>
      <c r="E31" s="12">
        <f>C31+C24</f>
        <v>58.249000000000002</v>
      </c>
      <c r="F31" s="12">
        <v>32.354999999999997</v>
      </c>
      <c r="G31" s="12">
        <v>7</v>
      </c>
      <c r="H31" s="12">
        <f t="shared" si="0"/>
        <v>34.069000000000003</v>
      </c>
      <c r="I31" s="12">
        <f>E31-(G31/2)</f>
        <v>54.749000000000002</v>
      </c>
    </row>
    <row r="32" spans="1:10" x14ac:dyDescent="0.3">
      <c r="A32" s="32" t="s">
        <v>100</v>
      </c>
      <c r="B32" s="12">
        <f>B25/4*3</f>
        <v>135.00749999999999</v>
      </c>
      <c r="C32" s="12">
        <f>C25/2</f>
        <v>33.005000000000003</v>
      </c>
      <c r="D32" s="12">
        <f>B32+B24</f>
        <v>140.25149999999999</v>
      </c>
      <c r="E32" s="12">
        <f>C32+C24</f>
        <v>38.249000000000002</v>
      </c>
      <c r="F32" s="12">
        <f>(1/4)*25.4</f>
        <v>6.35</v>
      </c>
      <c r="G32" s="12">
        <f>F32</f>
        <v>6.35</v>
      </c>
      <c r="H32" s="12">
        <f t="shared" si="0"/>
        <v>137.07649999999998</v>
      </c>
      <c r="I32" s="12">
        <f t="shared" si="0"/>
        <v>35.074000000000005</v>
      </c>
      <c r="J32" s="13"/>
    </row>
    <row r="33" spans="1:9" x14ac:dyDescent="0.3">
      <c r="A33" s="32" t="s">
        <v>101</v>
      </c>
      <c r="B33" s="12">
        <f>B32</f>
        <v>135.00749999999999</v>
      </c>
      <c r="C33" s="12">
        <f>C25/2+B16/2+G33/2+C26</f>
        <v>53.005000000000003</v>
      </c>
      <c r="D33" s="12">
        <f>B33+C24</f>
        <v>140.25149999999999</v>
      </c>
      <c r="E33" s="12">
        <f>C33+C24</f>
        <v>58.249000000000002</v>
      </c>
      <c r="F33" s="12">
        <v>25.65</v>
      </c>
      <c r="G33" s="12">
        <v>7</v>
      </c>
      <c r="H33" s="12">
        <f t="shared" si="0"/>
        <v>127.42649999999999</v>
      </c>
      <c r="I33" s="12">
        <f>E33-(G33/2)-C27</f>
        <v>53.149000000000001</v>
      </c>
    </row>
    <row r="34" spans="1:9" x14ac:dyDescent="0.3">
      <c r="A34" s="11" t="s">
        <v>91</v>
      </c>
      <c r="B34" s="12">
        <f>B25/2</f>
        <v>90.004999999999995</v>
      </c>
      <c r="C34" s="12">
        <f>C30</f>
        <v>33.005000000000003</v>
      </c>
      <c r="D34" s="12">
        <f>B34+B24</f>
        <v>95.248999999999995</v>
      </c>
      <c r="E34" s="12">
        <f>C34+C24</f>
        <v>38.249000000000002</v>
      </c>
      <c r="F34" s="12">
        <v>48</v>
      </c>
      <c r="G34" s="12">
        <v>0.01</v>
      </c>
      <c r="H34" s="12">
        <f t="shared" si="0"/>
        <v>71.248999999999995</v>
      </c>
      <c r="I34" s="12">
        <f t="shared" si="0"/>
        <v>38.244</v>
      </c>
    </row>
    <row r="35" spans="1:9" x14ac:dyDescent="0.3">
      <c r="A35" s="11" t="s">
        <v>92</v>
      </c>
      <c r="B35" s="12"/>
      <c r="C35" s="12"/>
      <c r="D35" s="12"/>
      <c r="E35" s="12">
        <f>E34</f>
        <v>38.249000000000002</v>
      </c>
      <c r="F35" s="12">
        <v>0.01</v>
      </c>
      <c r="G35" s="12">
        <v>12</v>
      </c>
      <c r="H35" s="12">
        <f>H34-F35</f>
        <v>71.23899999999999</v>
      </c>
      <c r="I35" s="12">
        <f t="shared" si="0"/>
        <v>32.249000000000002</v>
      </c>
    </row>
    <row r="36" spans="1:9" x14ac:dyDescent="0.3">
      <c r="A36" s="11" t="s">
        <v>93</v>
      </c>
      <c r="B36" s="12"/>
      <c r="C36" s="12"/>
      <c r="D36" s="12"/>
      <c r="E36" s="12">
        <f>E35</f>
        <v>38.249000000000002</v>
      </c>
      <c r="F36" s="12">
        <v>0.01</v>
      </c>
      <c r="G36" s="12">
        <v>12</v>
      </c>
      <c r="H36" s="12">
        <f>H34+F34</f>
        <v>119.249</v>
      </c>
      <c r="I36" s="12">
        <f t="shared" si="0"/>
        <v>32.249000000000002</v>
      </c>
    </row>
    <row r="37" spans="1:9" x14ac:dyDescent="0.3">
      <c r="A37" s="11" t="s">
        <v>90</v>
      </c>
      <c r="B37" s="12">
        <v>10</v>
      </c>
      <c r="C37" s="12"/>
      <c r="D37" s="12"/>
      <c r="E37" s="12"/>
      <c r="F37" s="12"/>
      <c r="G37" s="12"/>
      <c r="H37" s="12"/>
      <c r="I37" s="12"/>
    </row>
    <row r="38" spans="1:9" x14ac:dyDescent="0.3">
      <c r="A38" s="11" t="s">
        <v>89</v>
      </c>
      <c r="B38" s="12">
        <f>(H36-H35)/B37</f>
        <v>4.8010000000000002</v>
      </c>
      <c r="C38" s="12"/>
      <c r="D38" s="12"/>
      <c r="E38" s="12"/>
      <c r="F38" s="12"/>
      <c r="G38" s="12"/>
      <c r="H38" s="12"/>
      <c r="I38" s="12"/>
    </row>
    <row r="39" spans="1:9" x14ac:dyDescent="0.3">
      <c r="A39" s="11" t="s">
        <v>94</v>
      </c>
      <c r="B39" s="12">
        <v>1</v>
      </c>
      <c r="C39" s="12"/>
      <c r="D39" s="12"/>
      <c r="E39" s="12"/>
      <c r="F39" s="12">
        <v>0.01</v>
      </c>
      <c r="G39" s="12">
        <v>5</v>
      </c>
      <c r="H39" s="12">
        <f t="shared" ref="H39:H47" si="1">$H$34+($B$38*B39)-F39</f>
        <v>76.039999999999992</v>
      </c>
      <c r="I39" s="12">
        <f>I34+G34</f>
        <v>38.253999999999998</v>
      </c>
    </row>
    <row r="40" spans="1:9" x14ac:dyDescent="0.3">
      <c r="A40" s="11" t="s">
        <v>95</v>
      </c>
      <c r="B40" s="12">
        <v>2</v>
      </c>
      <c r="C40" s="12"/>
      <c r="D40" s="12"/>
      <c r="E40" s="12"/>
      <c r="F40" s="12">
        <f>F39</f>
        <v>0.01</v>
      </c>
      <c r="G40" s="12">
        <f>$G$39</f>
        <v>5</v>
      </c>
      <c r="H40" s="12">
        <f t="shared" si="1"/>
        <v>80.840999999999994</v>
      </c>
      <c r="I40" s="12">
        <f>I34-G40</f>
        <v>33.244</v>
      </c>
    </row>
    <row r="41" spans="1:9" x14ac:dyDescent="0.3">
      <c r="A41" s="11" t="s">
        <v>94</v>
      </c>
      <c r="B41" s="12">
        <v>3</v>
      </c>
      <c r="C41" s="12"/>
      <c r="D41" s="12"/>
      <c r="E41" s="12"/>
      <c r="F41" s="12">
        <f>F39</f>
        <v>0.01</v>
      </c>
      <c r="G41" s="12">
        <f t="shared" ref="G41:G47" si="2">$G$39</f>
        <v>5</v>
      </c>
      <c r="H41" s="12">
        <f t="shared" si="1"/>
        <v>85.641999999999996</v>
      </c>
      <c r="I41" s="12">
        <f>$I$39</f>
        <v>38.253999999999998</v>
      </c>
    </row>
    <row r="42" spans="1:9" x14ac:dyDescent="0.3">
      <c r="A42" s="11" t="s">
        <v>95</v>
      </c>
      <c r="B42" s="12">
        <v>4</v>
      </c>
      <c r="C42" s="12"/>
      <c r="D42" s="12"/>
      <c r="E42" s="12"/>
      <c r="F42" s="12">
        <f>F39</f>
        <v>0.01</v>
      </c>
      <c r="G42" s="12">
        <f t="shared" si="2"/>
        <v>5</v>
      </c>
      <c r="H42" s="12">
        <f t="shared" si="1"/>
        <v>90.442999999999998</v>
      </c>
      <c r="I42" s="12">
        <f>$I$40</f>
        <v>33.244</v>
      </c>
    </row>
    <row r="43" spans="1:9" x14ac:dyDescent="0.3">
      <c r="A43" s="11" t="s">
        <v>94</v>
      </c>
      <c r="B43" s="12">
        <v>5</v>
      </c>
      <c r="C43" s="12"/>
      <c r="D43" s="12"/>
      <c r="E43" s="12"/>
      <c r="F43" s="12">
        <f>F39</f>
        <v>0.01</v>
      </c>
      <c r="G43" s="12">
        <f t="shared" si="2"/>
        <v>5</v>
      </c>
      <c r="H43" s="12">
        <f t="shared" si="1"/>
        <v>95.243999999999986</v>
      </c>
      <c r="I43" s="12">
        <f>$I$39</f>
        <v>38.253999999999998</v>
      </c>
    </row>
    <row r="44" spans="1:9" x14ac:dyDescent="0.3">
      <c r="A44" s="11" t="s">
        <v>95</v>
      </c>
      <c r="B44" s="12">
        <v>6</v>
      </c>
      <c r="C44" s="12"/>
      <c r="D44" s="12"/>
      <c r="E44" s="12"/>
      <c r="F44" s="12">
        <f>F39</f>
        <v>0.01</v>
      </c>
      <c r="G44" s="12">
        <f t="shared" si="2"/>
        <v>5</v>
      </c>
      <c r="H44" s="12">
        <f t="shared" si="1"/>
        <v>100.04499999999999</v>
      </c>
      <c r="I44" s="12">
        <f>$I$40</f>
        <v>33.244</v>
      </c>
    </row>
    <row r="45" spans="1:9" x14ac:dyDescent="0.3">
      <c r="A45" s="11" t="s">
        <v>94</v>
      </c>
      <c r="B45" s="12">
        <v>7</v>
      </c>
      <c r="C45" s="12"/>
      <c r="D45" s="12"/>
      <c r="E45" s="12"/>
      <c r="F45" s="12">
        <f>F39</f>
        <v>0.01</v>
      </c>
      <c r="G45" s="12">
        <f t="shared" si="2"/>
        <v>5</v>
      </c>
      <c r="H45" s="12">
        <f t="shared" si="1"/>
        <v>104.84599999999999</v>
      </c>
      <c r="I45" s="12">
        <f>$I$39</f>
        <v>38.253999999999998</v>
      </c>
    </row>
    <row r="46" spans="1:9" x14ac:dyDescent="0.3">
      <c r="A46" s="11" t="s">
        <v>95</v>
      </c>
      <c r="B46" s="12">
        <v>8</v>
      </c>
      <c r="C46" s="12"/>
      <c r="D46" s="12"/>
      <c r="E46" s="12"/>
      <c r="F46" s="12">
        <f>F39</f>
        <v>0.01</v>
      </c>
      <c r="G46" s="12">
        <f t="shared" si="2"/>
        <v>5</v>
      </c>
      <c r="H46" s="12">
        <f t="shared" si="1"/>
        <v>109.64699999999999</v>
      </c>
      <c r="I46" s="12">
        <f>$I$40</f>
        <v>33.244</v>
      </c>
    </row>
    <row r="47" spans="1:9" x14ac:dyDescent="0.3">
      <c r="A47" s="11" t="s">
        <v>94</v>
      </c>
      <c r="B47" s="12">
        <v>9</v>
      </c>
      <c r="C47" s="12"/>
      <c r="D47" s="12"/>
      <c r="E47" s="12"/>
      <c r="F47" s="12">
        <f>F39</f>
        <v>0.01</v>
      </c>
      <c r="G47" s="12">
        <f t="shared" si="2"/>
        <v>5</v>
      </c>
      <c r="H47" s="12">
        <f t="shared" si="1"/>
        <v>114.44799999999999</v>
      </c>
      <c r="I47" s="12">
        <f>$I$39</f>
        <v>38.253999999999998</v>
      </c>
    </row>
    <row r="48" spans="1:9" x14ac:dyDescent="0.3">
      <c r="A48" s="17"/>
      <c r="B48" s="18"/>
      <c r="C48" s="18"/>
      <c r="D48" s="18"/>
      <c r="E48" s="18"/>
      <c r="F48" s="18"/>
      <c r="G48" s="18"/>
      <c r="H48" s="18"/>
      <c r="I48" s="18"/>
    </row>
    <row r="49" spans="1:9" x14ac:dyDescent="0.3">
      <c r="E49" s="13"/>
    </row>
    <row r="50" spans="1:9" ht="23.4" x14ac:dyDescent="0.45">
      <c r="A50" s="3" t="s">
        <v>34</v>
      </c>
    </row>
    <row r="51" spans="1:9" ht="18" x14ac:dyDescent="0.35">
      <c r="A51" s="23"/>
      <c r="B51" s="10" t="s">
        <v>3</v>
      </c>
      <c r="C51" s="10" t="s">
        <v>4</v>
      </c>
      <c r="D51" s="20"/>
      <c r="E51" s="20"/>
      <c r="F51" s="20"/>
      <c r="G51" s="20"/>
      <c r="H51" s="10" t="s">
        <v>7</v>
      </c>
      <c r="I51" s="10" t="s">
        <v>8</v>
      </c>
    </row>
    <row r="52" spans="1:9" x14ac:dyDescent="0.3">
      <c r="A52" s="11" t="s">
        <v>13</v>
      </c>
      <c r="B52" s="12">
        <f>B24</f>
        <v>5.2439999999999998</v>
      </c>
      <c r="C52" s="12">
        <f>I52</f>
        <v>71.254000000000005</v>
      </c>
      <c r="D52" s="11"/>
      <c r="E52" s="11"/>
      <c r="F52" s="11"/>
      <c r="G52" s="11"/>
      <c r="H52" s="12">
        <f>B15</f>
        <v>5.2439999999999998</v>
      </c>
      <c r="I52" s="12">
        <f>I24+C25</f>
        <v>71.254000000000005</v>
      </c>
    </row>
    <row r="53" spans="1:9" x14ac:dyDescent="0.3">
      <c r="A53" s="11" t="s">
        <v>22</v>
      </c>
      <c r="B53" s="12">
        <f>C8</f>
        <v>180.01</v>
      </c>
      <c r="C53" s="12">
        <f>C10</f>
        <v>88.01</v>
      </c>
      <c r="D53" s="11"/>
      <c r="E53" s="11"/>
      <c r="F53" s="11"/>
      <c r="G53" s="11"/>
      <c r="H53" s="11"/>
      <c r="I53" s="11"/>
    </row>
    <row r="54" spans="1:9" x14ac:dyDescent="0.3">
      <c r="A54" s="11" t="s">
        <v>14</v>
      </c>
      <c r="B54" s="12">
        <v>37.796999999999997</v>
      </c>
      <c r="C54" s="12">
        <v>50</v>
      </c>
      <c r="D54" s="11"/>
      <c r="E54" s="11"/>
      <c r="F54" s="11"/>
      <c r="G54" s="11"/>
      <c r="H54" s="11"/>
      <c r="I54" s="11"/>
    </row>
    <row r="55" spans="1:9" x14ac:dyDescent="0.3">
      <c r="A55" s="11" t="s">
        <v>23</v>
      </c>
      <c r="B55" s="12">
        <f>B52+(B53/2)</f>
        <v>95.248999999999995</v>
      </c>
      <c r="C55" s="12">
        <f>C52+(C53/2)-$B$11</f>
        <v>108.55900000000001</v>
      </c>
      <c r="D55" s="11"/>
      <c r="E55" s="11"/>
      <c r="F55" s="11"/>
      <c r="G55" s="11"/>
      <c r="H55" s="11"/>
      <c r="I55" s="11"/>
    </row>
    <row r="56" spans="1:9" x14ac:dyDescent="0.3">
      <c r="A56" s="11" t="s">
        <v>15</v>
      </c>
      <c r="B56" s="12">
        <f>B55-(B54/2)</f>
        <v>76.350499999999997</v>
      </c>
      <c r="C56" s="12">
        <f>C55-(C54/2)</f>
        <v>83.559000000000012</v>
      </c>
      <c r="D56" s="11"/>
      <c r="E56" s="11"/>
      <c r="F56" s="11"/>
      <c r="G56" s="11"/>
      <c r="H56" s="11">
        <f>B55-(B54/2)</f>
        <v>76.350499999999997</v>
      </c>
      <c r="I56" s="11">
        <f>C55-(C54/2)</f>
        <v>83.559000000000012</v>
      </c>
    </row>
    <row r="57" spans="1:9" x14ac:dyDescent="0.3">
      <c r="A57" s="11" t="s">
        <v>21</v>
      </c>
      <c r="B57" s="12">
        <v>5</v>
      </c>
      <c r="C57" s="12"/>
      <c r="D57" s="11"/>
      <c r="E57" s="11"/>
      <c r="F57" s="11"/>
      <c r="G57" s="11"/>
      <c r="H57" s="11"/>
      <c r="I57" s="11"/>
    </row>
    <row r="58" spans="1:9" x14ac:dyDescent="0.3">
      <c r="A58" s="11" t="s">
        <v>16</v>
      </c>
      <c r="B58" s="12"/>
      <c r="C58" s="12"/>
      <c r="D58" s="11"/>
      <c r="E58" s="11"/>
      <c r="F58" s="11"/>
      <c r="G58" s="11"/>
      <c r="H58" s="11">
        <f>H56-B57</f>
        <v>71.350499999999997</v>
      </c>
      <c r="I58" s="11">
        <f>I56</f>
        <v>83.559000000000012</v>
      </c>
    </row>
    <row r="59" spans="1:9" x14ac:dyDescent="0.3">
      <c r="E59" s="13"/>
    </row>
    <row r="60" spans="1:9" x14ac:dyDescent="0.3">
      <c r="E60" s="13"/>
    </row>
    <row r="61" spans="1:9" ht="23.4" x14ac:dyDescent="0.45">
      <c r="A61" s="3" t="s">
        <v>33</v>
      </c>
      <c r="C61" s="24"/>
      <c r="D61" s="25"/>
      <c r="E61" s="25"/>
    </row>
    <row r="62" spans="1:9" ht="23.4" x14ac:dyDescent="0.45">
      <c r="A62" s="8"/>
      <c r="B62" s="10" t="s">
        <v>41</v>
      </c>
      <c r="C62" s="10" t="s">
        <v>42</v>
      </c>
      <c r="D62" s="10" t="s">
        <v>3</v>
      </c>
      <c r="E62" s="10" t="s">
        <v>4</v>
      </c>
      <c r="F62" s="10" t="s">
        <v>0</v>
      </c>
      <c r="G62" s="10" t="s">
        <v>1</v>
      </c>
      <c r="H62" s="10" t="s">
        <v>7</v>
      </c>
      <c r="I62" s="10" t="s">
        <v>8</v>
      </c>
    </row>
    <row r="63" spans="1:9" x14ac:dyDescent="0.3">
      <c r="A63" s="11" t="s">
        <v>10</v>
      </c>
      <c r="B63" s="11"/>
      <c r="C63" s="11"/>
      <c r="D63" s="11"/>
      <c r="E63" s="11"/>
      <c r="F63" s="11"/>
      <c r="G63" s="11"/>
      <c r="H63" s="12">
        <f>B15</f>
        <v>5.2439999999999998</v>
      </c>
      <c r="I63" s="12">
        <f>I52+C53-B11*2</f>
        <v>145.864</v>
      </c>
    </row>
    <row r="64" spans="1:9" x14ac:dyDescent="0.3">
      <c r="A64" s="11" t="s">
        <v>31</v>
      </c>
      <c r="B64" s="11"/>
      <c r="C64" s="11"/>
      <c r="D64" s="11"/>
      <c r="E64" s="11"/>
      <c r="F64" s="12">
        <f>C8</f>
        <v>180.01</v>
      </c>
      <c r="G64" s="12">
        <v>39.61</v>
      </c>
      <c r="H64" s="11"/>
      <c r="I64" s="11"/>
    </row>
    <row r="65" spans="1:9" x14ac:dyDescent="0.3">
      <c r="A65" s="11" t="s">
        <v>47</v>
      </c>
      <c r="B65" s="11"/>
      <c r="C65" s="11"/>
      <c r="D65" s="11"/>
      <c r="E65" s="14"/>
      <c r="F65" s="12">
        <f>$B$11+3+2.75</f>
        <v>12.45</v>
      </c>
      <c r="G65" s="11"/>
      <c r="H65" s="11"/>
      <c r="I65" s="11"/>
    </row>
    <row r="66" spans="1:9" x14ac:dyDescent="0.3">
      <c r="A66" s="11" t="s">
        <v>48</v>
      </c>
      <c r="B66" s="11"/>
      <c r="C66" s="11"/>
      <c r="D66" s="11"/>
      <c r="E66" s="14"/>
      <c r="F66" s="12">
        <f>$B$11+5</f>
        <v>11.7</v>
      </c>
      <c r="G66" s="11"/>
      <c r="H66" s="11"/>
      <c r="I66" s="11"/>
    </row>
    <row r="67" spans="1:9" x14ac:dyDescent="0.3">
      <c r="A67" s="11" t="str">
        <f>$A$17</f>
        <v>standoff height</v>
      </c>
      <c r="B67" s="11"/>
      <c r="C67" s="11"/>
      <c r="D67" s="11"/>
      <c r="E67" s="11"/>
      <c r="F67" s="14"/>
      <c r="G67" s="12">
        <f>$C$17</f>
        <v>7</v>
      </c>
      <c r="H67" s="11"/>
      <c r="I67" s="11"/>
    </row>
    <row r="68" spans="1:9" x14ac:dyDescent="0.3">
      <c r="A68" s="11" t="s">
        <v>54</v>
      </c>
      <c r="B68" s="11"/>
      <c r="C68" s="11"/>
      <c r="D68" s="11"/>
      <c r="E68" s="11"/>
      <c r="F68" s="14"/>
      <c r="G68" s="12">
        <v>2.5</v>
      </c>
      <c r="H68" s="11"/>
      <c r="I68" s="11"/>
    </row>
    <row r="69" spans="1:9" x14ac:dyDescent="0.3">
      <c r="A69" s="15" t="s">
        <v>46</v>
      </c>
      <c r="B69" s="11"/>
      <c r="C69" s="11"/>
      <c r="D69" s="11"/>
      <c r="E69" s="14"/>
      <c r="F69" s="14"/>
      <c r="G69" s="12">
        <v>13</v>
      </c>
      <c r="H69" s="11"/>
      <c r="I69" s="11"/>
    </row>
    <row r="70" spans="1:9" x14ac:dyDescent="0.3">
      <c r="A70" s="11" t="s">
        <v>55</v>
      </c>
      <c r="B70" s="11"/>
      <c r="C70" s="11"/>
      <c r="D70" s="14"/>
      <c r="E70" s="11"/>
      <c r="F70" s="14"/>
      <c r="G70" s="12">
        <f>$B$11+G67+G68-($G$69/2)</f>
        <v>9.6999999999999993</v>
      </c>
      <c r="H70" s="11"/>
      <c r="I70" s="11"/>
    </row>
    <row r="71" spans="1:9" x14ac:dyDescent="0.3">
      <c r="A71" s="26" t="s">
        <v>36</v>
      </c>
      <c r="B71" s="11"/>
      <c r="C71" s="11"/>
      <c r="D71" s="11"/>
      <c r="E71" s="11"/>
      <c r="F71" s="11">
        <v>39.237000000000002</v>
      </c>
      <c r="G71" s="11">
        <v>4.8120000000000003</v>
      </c>
      <c r="H71" s="12">
        <f>H63+(F64/2)-(F71/2)</f>
        <v>75.630499999999998</v>
      </c>
      <c r="I71" s="12">
        <f>I63+G64-15</f>
        <v>170.47399999999999</v>
      </c>
    </row>
    <row r="72" spans="1:9" x14ac:dyDescent="0.3">
      <c r="E72" s="13"/>
    </row>
    <row r="73" spans="1:9" x14ac:dyDescent="0.3">
      <c r="E73" s="13"/>
    </row>
    <row r="74" spans="1:9" ht="23.4" x14ac:dyDescent="0.45">
      <c r="A74" s="3" t="s">
        <v>37</v>
      </c>
    </row>
    <row r="75" spans="1:9" ht="18" x14ac:dyDescent="0.35">
      <c r="A75" s="27"/>
      <c r="B75" s="10" t="s">
        <v>3</v>
      </c>
      <c r="C75" s="10" t="s">
        <v>4</v>
      </c>
      <c r="D75" s="10"/>
      <c r="E75" s="28"/>
      <c r="F75" s="10" t="s">
        <v>0</v>
      </c>
      <c r="G75" s="10" t="s">
        <v>1</v>
      </c>
      <c r="H75" s="10" t="s">
        <v>7</v>
      </c>
      <c r="I75" s="10" t="s">
        <v>38</v>
      </c>
    </row>
    <row r="76" spans="1:9" x14ac:dyDescent="0.3">
      <c r="A76" s="26" t="s">
        <v>29</v>
      </c>
      <c r="B76" s="12">
        <f>B15</f>
        <v>5.2439999999999998</v>
      </c>
      <c r="C76" s="12">
        <f>C15</f>
        <v>5.2439999999999998</v>
      </c>
      <c r="D76" s="11"/>
      <c r="E76" s="11"/>
      <c r="F76" s="11"/>
      <c r="G76" s="11"/>
      <c r="H76" s="12">
        <f>B15</f>
        <v>5.2439999999999998</v>
      </c>
      <c r="I76" s="12">
        <f>C15</f>
        <v>5.2439999999999998</v>
      </c>
    </row>
    <row r="77" spans="1:9" x14ac:dyDescent="0.3">
      <c r="A77" s="26" t="s">
        <v>40</v>
      </c>
      <c r="B77" s="12">
        <f>C10</f>
        <v>88.01</v>
      </c>
      <c r="C77" s="12">
        <f>C9</f>
        <v>66.010000000000005</v>
      </c>
      <c r="D77" s="11"/>
      <c r="E77" s="11"/>
      <c r="F77" s="11"/>
      <c r="G77" s="11"/>
      <c r="H77" s="11"/>
      <c r="I77" s="11"/>
    </row>
    <row r="78" spans="1:9" x14ac:dyDescent="0.3">
      <c r="A78" s="26" t="s">
        <v>88</v>
      </c>
      <c r="B78" s="12">
        <v>81.31</v>
      </c>
      <c r="C78" s="12">
        <f>C77</f>
        <v>66.010000000000005</v>
      </c>
      <c r="D78" s="11"/>
      <c r="E78" s="11"/>
      <c r="F78" s="11"/>
      <c r="G78" s="11"/>
      <c r="H78" s="11"/>
      <c r="I78" s="11"/>
    </row>
    <row r="79" spans="1:9" x14ac:dyDescent="0.3">
      <c r="A79" s="11" t="str">
        <f>$A$17</f>
        <v>standoff height</v>
      </c>
      <c r="B79" s="11"/>
      <c r="C79" s="11"/>
      <c r="D79" s="11"/>
      <c r="E79" s="11"/>
      <c r="F79" s="14"/>
      <c r="G79" s="12">
        <f>$C$17</f>
        <v>7</v>
      </c>
      <c r="H79" s="12"/>
      <c r="I79" s="12"/>
    </row>
    <row r="80" spans="1:9" x14ac:dyDescent="0.3">
      <c r="A80" s="11" t="s">
        <v>82</v>
      </c>
      <c r="B80" s="11"/>
      <c r="C80" s="11"/>
      <c r="D80" s="12">
        <f>$B$11+E103</f>
        <v>11.7</v>
      </c>
      <c r="E80" s="11"/>
      <c r="F80" s="14"/>
      <c r="G80" s="12"/>
      <c r="H80" s="12"/>
      <c r="I80" s="12"/>
    </row>
    <row r="81" spans="1:9" x14ac:dyDescent="0.3">
      <c r="A81" s="11" t="s">
        <v>85</v>
      </c>
      <c r="B81" s="11"/>
      <c r="C81" s="11"/>
      <c r="D81" s="12">
        <v>15</v>
      </c>
      <c r="E81" s="11"/>
      <c r="F81" s="14"/>
      <c r="G81" s="12"/>
      <c r="H81" s="12"/>
      <c r="I81" s="12"/>
    </row>
    <row r="82" spans="1:9" x14ac:dyDescent="0.3">
      <c r="A82" s="11" t="s">
        <v>83</v>
      </c>
      <c r="B82" s="11"/>
      <c r="C82" s="11"/>
      <c r="D82" s="12">
        <v>41</v>
      </c>
      <c r="E82" s="11"/>
      <c r="F82" s="14"/>
      <c r="G82" s="12"/>
      <c r="H82" s="12"/>
      <c r="I82" s="12"/>
    </row>
    <row r="83" spans="1:9" x14ac:dyDescent="0.3">
      <c r="A83" s="26" t="s">
        <v>71</v>
      </c>
      <c r="B83" s="12"/>
      <c r="C83" s="12"/>
      <c r="D83" s="11"/>
      <c r="E83" s="11"/>
      <c r="F83" s="11"/>
      <c r="G83" s="12">
        <v>20</v>
      </c>
      <c r="H83" s="12"/>
      <c r="I83" s="12"/>
    </row>
    <row r="84" spans="1:9" x14ac:dyDescent="0.3">
      <c r="A84" s="26" t="s">
        <v>74</v>
      </c>
      <c r="B84" s="12"/>
      <c r="C84" s="12"/>
      <c r="D84" s="11"/>
      <c r="E84" s="11"/>
      <c r="F84" s="12">
        <f>$B$11-E103</f>
        <v>1.7000000000000002</v>
      </c>
      <c r="G84" s="12"/>
      <c r="H84" s="12"/>
      <c r="I84" s="12"/>
    </row>
    <row r="85" spans="1:9" x14ac:dyDescent="0.3">
      <c r="A85" s="26" t="s">
        <v>72</v>
      </c>
      <c r="B85" s="12"/>
      <c r="C85" s="12"/>
      <c r="D85" s="11"/>
      <c r="E85" s="11"/>
      <c r="F85" s="12">
        <v>23</v>
      </c>
      <c r="G85" s="12"/>
      <c r="H85" s="12"/>
      <c r="I85" s="12"/>
    </row>
    <row r="86" spans="1:9" x14ac:dyDescent="0.3">
      <c r="A86" s="26" t="s">
        <v>73</v>
      </c>
      <c r="B86" s="12"/>
      <c r="C86" s="12"/>
      <c r="D86" s="11"/>
      <c r="E86" s="11"/>
      <c r="F86" s="12">
        <v>16</v>
      </c>
      <c r="G86" s="12"/>
      <c r="H86" s="12"/>
      <c r="I86" s="12"/>
    </row>
    <row r="87" spans="1:9" x14ac:dyDescent="0.3">
      <c r="A87" s="26" t="s">
        <v>58</v>
      </c>
      <c r="B87" s="12"/>
      <c r="C87" s="12"/>
      <c r="D87" s="11"/>
      <c r="E87" s="11"/>
      <c r="F87" s="12">
        <f>D82-D81</f>
        <v>26</v>
      </c>
      <c r="G87" s="12">
        <f>G83</f>
        <v>20</v>
      </c>
      <c r="H87" s="12">
        <f>D80+H76+D81</f>
        <v>31.943999999999999</v>
      </c>
      <c r="I87" s="12">
        <f>I76+C77-$B$11-G79-G83</f>
        <v>37.554000000000002</v>
      </c>
    </row>
    <row r="88" spans="1:9" x14ac:dyDescent="0.3">
      <c r="A88" s="11"/>
      <c r="B88" s="12"/>
      <c r="C88" s="12"/>
      <c r="D88" s="11"/>
      <c r="E88" s="11"/>
      <c r="F88" s="12"/>
      <c r="G88" s="12"/>
      <c r="H88" s="12"/>
      <c r="I88" s="12"/>
    </row>
    <row r="89" spans="1:9" x14ac:dyDescent="0.3">
      <c r="A89" s="26" t="s">
        <v>76</v>
      </c>
      <c r="B89" s="12"/>
      <c r="C89" s="12"/>
      <c r="D89" s="11"/>
      <c r="E89" s="11"/>
      <c r="F89" s="15">
        <v>41.295999999999999</v>
      </c>
      <c r="G89" s="12">
        <v>3</v>
      </c>
      <c r="H89" s="12">
        <f>$H$76+($B$77/2)-(F89/2)</f>
        <v>28.601000000000003</v>
      </c>
      <c r="I89" s="12">
        <f>$I$76+$B$11+5</f>
        <v>16.943999999999999</v>
      </c>
    </row>
    <row r="91" spans="1:9" x14ac:dyDescent="0.3">
      <c r="E91" s="13"/>
    </row>
    <row r="92" spans="1:9" ht="23.4" x14ac:dyDescent="0.45">
      <c r="A92" s="3" t="s">
        <v>39</v>
      </c>
    </row>
    <row r="93" spans="1:9" ht="18" x14ac:dyDescent="0.35">
      <c r="A93" s="27"/>
      <c r="B93" s="10" t="s">
        <v>3</v>
      </c>
      <c r="C93" s="10" t="s">
        <v>4</v>
      </c>
      <c r="D93" s="10" t="s">
        <v>6</v>
      </c>
      <c r="E93" s="28"/>
      <c r="F93" s="10"/>
      <c r="G93" s="10"/>
      <c r="H93" s="10" t="s">
        <v>7</v>
      </c>
      <c r="I93" s="10" t="s">
        <v>38</v>
      </c>
    </row>
    <row r="94" spans="1:9" x14ac:dyDescent="0.3">
      <c r="A94" s="26" t="s">
        <v>30</v>
      </c>
      <c r="B94" s="12"/>
      <c r="C94" s="12"/>
      <c r="D94" s="11"/>
      <c r="E94" s="11"/>
      <c r="F94" s="11"/>
      <c r="G94" s="11"/>
      <c r="H94" s="12">
        <f>H76+B77</f>
        <v>93.254000000000005</v>
      </c>
      <c r="I94" s="12">
        <f>I76</f>
        <v>5.2439999999999998</v>
      </c>
    </row>
    <row r="95" spans="1:9" x14ac:dyDescent="0.3">
      <c r="A95" s="26" t="s">
        <v>40</v>
      </c>
      <c r="B95" s="12">
        <f>C10</f>
        <v>88.01</v>
      </c>
      <c r="C95" s="12">
        <f>C9</f>
        <v>66.010000000000005</v>
      </c>
      <c r="D95" s="11"/>
      <c r="E95" s="11"/>
      <c r="F95" s="11"/>
      <c r="G95" s="11"/>
      <c r="H95" s="11"/>
      <c r="I95" s="11"/>
    </row>
    <row r="96" spans="1:9" x14ac:dyDescent="0.3">
      <c r="E96" s="13"/>
    </row>
    <row r="97" spans="1:9" x14ac:dyDescent="0.3">
      <c r="E97" s="13"/>
    </row>
    <row r="98" spans="1:9" ht="23.4" x14ac:dyDescent="0.45">
      <c r="A98" s="3" t="s">
        <v>35</v>
      </c>
    </row>
    <row r="99" spans="1:9" ht="18" x14ac:dyDescent="0.35">
      <c r="A99" s="23"/>
      <c r="B99" s="10" t="s">
        <v>3</v>
      </c>
      <c r="C99" s="10" t="s">
        <v>4</v>
      </c>
      <c r="D99" s="10" t="s">
        <v>5</v>
      </c>
      <c r="E99" s="10" t="s">
        <v>6</v>
      </c>
      <c r="F99" s="10"/>
      <c r="G99" s="10"/>
      <c r="H99" s="10" t="s">
        <v>7</v>
      </c>
      <c r="I99" s="10" t="s">
        <v>8</v>
      </c>
    </row>
    <row r="100" spans="1:9" x14ac:dyDescent="0.3">
      <c r="A100" s="26" t="s">
        <v>12</v>
      </c>
      <c r="B100" s="11"/>
      <c r="C100" s="11"/>
      <c r="D100" s="11"/>
      <c r="E100" s="11"/>
      <c r="F100" s="11"/>
      <c r="G100" s="11"/>
      <c r="H100" s="12">
        <f>H63</f>
        <v>5.2439999999999998</v>
      </c>
      <c r="I100" s="12">
        <f>I76+C77</f>
        <v>71.254000000000005</v>
      </c>
    </row>
    <row r="101" spans="1:9" x14ac:dyDescent="0.3">
      <c r="A101" s="26" t="s">
        <v>28</v>
      </c>
      <c r="B101" s="11"/>
      <c r="C101" s="11"/>
      <c r="D101" s="12">
        <f>C8</f>
        <v>180.01</v>
      </c>
      <c r="E101" s="12">
        <f>C10</f>
        <v>88.01</v>
      </c>
      <c r="F101" s="11"/>
      <c r="G101" s="11"/>
      <c r="H101" s="11"/>
      <c r="I101" s="11"/>
    </row>
    <row r="102" spans="1:9" x14ac:dyDescent="0.3">
      <c r="A102" s="26" t="s">
        <v>61</v>
      </c>
      <c r="B102" s="11"/>
      <c r="C102" s="11"/>
      <c r="D102" s="12">
        <v>58</v>
      </c>
      <c r="E102" s="12">
        <v>49</v>
      </c>
      <c r="F102" s="11"/>
      <c r="G102" s="11"/>
      <c r="H102" s="11"/>
      <c r="I102" s="11"/>
    </row>
    <row r="103" spans="1:9" x14ac:dyDescent="0.3">
      <c r="A103" s="26" t="s">
        <v>62</v>
      </c>
      <c r="B103" s="11"/>
      <c r="C103" s="11"/>
      <c r="E103" s="12">
        <v>5</v>
      </c>
      <c r="F103" s="11"/>
      <c r="G103" s="11"/>
      <c r="H103" s="11"/>
      <c r="I103" s="11"/>
    </row>
    <row r="104" spans="1:9" x14ac:dyDescent="0.3">
      <c r="A104" s="26" t="s">
        <v>45</v>
      </c>
      <c r="B104" s="11"/>
      <c r="C104" s="11"/>
      <c r="D104" s="12">
        <v>18.827000000000002</v>
      </c>
      <c r="E104" s="12">
        <v>5</v>
      </c>
      <c r="F104" s="11"/>
      <c r="G104" s="11"/>
      <c r="H104" s="12">
        <f>H100+(D101/2)-(D104/2)</f>
        <v>85.835499999999996</v>
      </c>
      <c r="I104" s="12">
        <f>I100+(E101/2)-(E104/2)</f>
        <v>112.75900000000001</v>
      </c>
    </row>
    <row r="105" spans="1:9" x14ac:dyDescent="0.3">
      <c r="A105" s="26" t="s">
        <v>44</v>
      </c>
      <c r="B105" s="11"/>
      <c r="C105" s="11"/>
      <c r="D105" s="12">
        <v>15.945</v>
      </c>
      <c r="E105" s="12">
        <v>5</v>
      </c>
      <c r="F105" s="11"/>
      <c r="G105" s="11"/>
      <c r="H105" s="12">
        <f>H100+10</f>
        <v>15.244</v>
      </c>
      <c r="I105" s="12">
        <f>I100+$B$11</f>
        <v>77.954000000000008</v>
      </c>
    </row>
    <row r="106" spans="1:9" x14ac:dyDescent="0.3">
      <c r="A106" s="26" t="s">
        <v>77</v>
      </c>
      <c r="B106" s="11"/>
      <c r="C106" s="11"/>
      <c r="D106" s="12">
        <v>11.183999999999999</v>
      </c>
      <c r="E106" s="12">
        <v>5</v>
      </c>
      <c r="F106" s="11"/>
      <c r="G106" s="11"/>
      <c r="H106" s="11">
        <f>H105</f>
        <v>15.244</v>
      </c>
      <c r="I106" s="11">
        <f>I100+(E101/2)-(E106/2)</f>
        <v>112.75900000000001</v>
      </c>
    </row>
    <row r="107" spans="1:9" x14ac:dyDescent="0.3">
      <c r="A107" s="26" t="s">
        <v>84</v>
      </c>
      <c r="B107" s="11"/>
      <c r="C107" s="11"/>
      <c r="D107" s="12">
        <f>3.5+1</f>
        <v>4.5</v>
      </c>
      <c r="E107" s="12"/>
      <c r="F107" s="11"/>
      <c r="G107" s="11"/>
      <c r="H107" s="11"/>
      <c r="I107" s="11"/>
    </row>
    <row r="108" spans="1:9" x14ac:dyDescent="0.3">
      <c r="A108" s="26" t="s">
        <v>80</v>
      </c>
      <c r="B108" s="11"/>
      <c r="C108" s="11"/>
      <c r="D108" s="12">
        <f>(85-58-3.5)+1.8+1</f>
        <v>26.3</v>
      </c>
      <c r="E108" s="12"/>
      <c r="F108" s="11"/>
      <c r="G108" s="11"/>
      <c r="H108" s="11"/>
      <c r="I108" s="11"/>
    </row>
    <row r="109" spans="1:9" x14ac:dyDescent="0.3">
      <c r="A109" s="26" t="s">
        <v>63</v>
      </c>
      <c r="B109" s="11"/>
      <c r="C109" s="11"/>
      <c r="D109" s="29">
        <v>2</v>
      </c>
      <c r="E109" s="29">
        <v>2</v>
      </c>
      <c r="F109" s="11"/>
      <c r="G109" s="11"/>
      <c r="H109" s="12">
        <f>$H$100+$D$101-$B$11-$D$107-(D109/2)</f>
        <v>173.054</v>
      </c>
      <c r="I109" s="12">
        <f>I100+$B$11+$E$103</f>
        <v>82.954000000000008</v>
      </c>
    </row>
    <row r="110" spans="1:9" x14ac:dyDescent="0.3">
      <c r="A110" s="26" t="s">
        <v>64</v>
      </c>
      <c r="B110" s="11"/>
      <c r="C110" s="11"/>
      <c r="D110" s="12">
        <f>D109</f>
        <v>2</v>
      </c>
      <c r="E110" s="12">
        <f>E109</f>
        <v>2</v>
      </c>
      <c r="F110" s="11"/>
      <c r="G110" s="11"/>
      <c r="H110" s="12">
        <f>H109</f>
        <v>173.054</v>
      </c>
      <c r="I110" s="12">
        <f>I109+E102</f>
        <v>131.95400000000001</v>
      </c>
    </row>
    <row r="111" spans="1:9" x14ac:dyDescent="0.3">
      <c r="A111" s="26" t="s">
        <v>65</v>
      </c>
      <c r="B111" s="11"/>
      <c r="C111" s="11"/>
      <c r="D111" s="12">
        <f>D109</f>
        <v>2</v>
      </c>
      <c r="E111" s="12">
        <f>E109</f>
        <v>2</v>
      </c>
      <c r="F111" s="11"/>
      <c r="G111" s="11"/>
      <c r="H111" s="12">
        <f>H109-D102</f>
        <v>115.054</v>
      </c>
      <c r="I111" s="12">
        <f>I109</f>
        <v>82.954000000000008</v>
      </c>
    </row>
    <row r="112" spans="1:9" x14ac:dyDescent="0.3">
      <c r="A112" s="26" t="s">
        <v>66</v>
      </c>
      <c r="B112" s="11"/>
      <c r="C112" s="11"/>
      <c r="D112" s="12">
        <f>D109</f>
        <v>2</v>
      </c>
      <c r="E112" s="12">
        <f>E109</f>
        <v>2</v>
      </c>
      <c r="F112" s="11"/>
      <c r="G112" s="11"/>
      <c r="H112" s="12">
        <f>H111</f>
        <v>115.054</v>
      </c>
      <c r="I112" s="12">
        <f>I110</f>
        <v>131.95400000000001</v>
      </c>
    </row>
    <row r="113" spans="1:9" x14ac:dyDescent="0.3">
      <c r="A113" s="26" t="s">
        <v>78</v>
      </c>
      <c r="B113" s="11"/>
      <c r="C113" s="11"/>
      <c r="D113" s="29">
        <v>12.378</v>
      </c>
      <c r="E113" s="12">
        <v>3</v>
      </c>
      <c r="F113" s="11"/>
      <c r="G113" s="11"/>
      <c r="H113" s="12">
        <f>H110+(D110/2)-(D113/2)</f>
        <v>167.86500000000001</v>
      </c>
      <c r="I113" s="12">
        <f>I110+E110+1</f>
        <v>134.95400000000001</v>
      </c>
    </row>
    <row r="114" spans="1:9" x14ac:dyDescent="0.3">
      <c r="A114" s="26" t="s">
        <v>67</v>
      </c>
      <c r="B114" s="11"/>
      <c r="C114" s="11"/>
      <c r="D114" s="29">
        <v>2</v>
      </c>
      <c r="E114" s="29">
        <v>2</v>
      </c>
      <c r="F114" s="11"/>
      <c r="G114" s="11"/>
      <c r="H114" s="12">
        <f>$H$100+$D$101-$B$11-$D$108-(D114/2)</f>
        <v>151.25399999999999</v>
      </c>
      <c r="I114" s="12">
        <f>I109</f>
        <v>82.954000000000008</v>
      </c>
    </row>
    <row r="115" spans="1:9" x14ac:dyDescent="0.3">
      <c r="A115" s="26" t="s">
        <v>68</v>
      </c>
      <c r="B115" s="11"/>
      <c r="C115" s="11"/>
      <c r="D115" s="12">
        <f>D114</f>
        <v>2</v>
      </c>
      <c r="E115" s="12">
        <f>E114</f>
        <v>2</v>
      </c>
      <c r="F115" s="11"/>
      <c r="G115" s="11"/>
      <c r="H115" s="12">
        <f>H114</f>
        <v>151.25399999999999</v>
      </c>
      <c r="I115" s="12">
        <f>I110</f>
        <v>131.95400000000001</v>
      </c>
    </row>
    <row r="116" spans="1:9" x14ac:dyDescent="0.3">
      <c r="A116" s="26" t="s">
        <v>69</v>
      </c>
      <c r="B116" s="11"/>
      <c r="C116" s="11"/>
      <c r="D116" s="12">
        <f>D114</f>
        <v>2</v>
      </c>
      <c r="E116" s="12">
        <f>E114</f>
        <v>2</v>
      </c>
      <c r="F116" s="11"/>
      <c r="G116" s="11"/>
      <c r="H116" s="12">
        <f>H114-D102</f>
        <v>93.253999999999991</v>
      </c>
      <c r="I116" s="12">
        <f>I111</f>
        <v>82.954000000000008</v>
      </c>
    </row>
    <row r="117" spans="1:9" x14ac:dyDescent="0.3">
      <c r="A117" s="26" t="s">
        <v>70</v>
      </c>
      <c r="B117" s="11"/>
      <c r="C117" s="11"/>
      <c r="D117" s="12">
        <f>D114</f>
        <v>2</v>
      </c>
      <c r="E117" s="12">
        <f>E114</f>
        <v>2</v>
      </c>
      <c r="F117" s="11"/>
      <c r="G117" s="11"/>
      <c r="H117" s="12">
        <f>H116</f>
        <v>93.253999999999991</v>
      </c>
      <c r="I117" s="12">
        <f>I112</f>
        <v>131.95400000000001</v>
      </c>
    </row>
    <row r="118" spans="1:9" x14ac:dyDescent="0.3">
      <c r="A118" s="26" t="s">
        <v>79</v>
      </c>
      <c r="B118" s="11"/>
      <c r="C118" s="11"/>
      <c r="D118" s="29">
        <v>9.2439999999999998</v>
      </c>
      <c r="E118" s="12">
        <v>3</v>
      </c>
      <c r="F118" s="11"/>
      <c r="G118" s="11"/>
      <c r="H118" s="12">
        <f>H115+(D115/2)-(D118/2)</f>
        <v>147.63200000000001</v>
      </c>
      <c r="I118" s="12">
        <f>I115+E115+1</f>
        <v>134.95400000000001</v>
      </c>
    </row>
    <row r="119" spans="1:9" x14ac:dyDescent="0.3">
      <c r="H119" s="13">
        <f>H109-H111</f>
        <v>58</v>
      </c>
      <c r="I119" s="13">
        <f>I109-I110</f>
        <v>-49</v>
      </c>
    </row>
    <row r="121" spans="1:9" ht="23.4" x14ac:dyDescent="0.45">
      <c r="A121" s="3" t="s">
        <v>43</v>
      </c>
    </row>
    <row r="122" spans="1:9" ht="23.4" x14ac:dyDescent="0.45">
      <c r="A122" s="8"/>
      <c r="B122" s="10" t="s">
        <v>41</v>
      </c>
      <c r="C122" s="10" t="s">
        <v>42</v>
      </c>
      <c r="D122" s="28"/>
      <c r="E122" s="28"/>
      <c r="F122" s="10" t="s">
        <v>0</v>
      </c>
      <c r="G122" s="10" t="s">
        <v>1</v>
      </c>
      <c r="H122" s="10" t="s">
        <v>7</v>
      </c>
      <c r="I122" s="10" t="s">
        <v>8</v>
      </c>
    </row>
    <row r="123" spans="1:9" x14ac:dyDescent="0.3">
      <c r="A123" s="11" t="s">
        <v>24</v>
      </c>
      <c r="B123" s="12">
        <f>H24+B25+F123/2+1</f>
        <v>200.25399999999999</v>
      </c>
      <c r="C123" s="11">
        <f>C15+(G123/2)</f>
        <v>19.244</v>
      </c>
      <c r="D123" s="11"/>
      <c r="E123" s="11"/>
      <c r="F123" s="12">
        <f>B16</f>
        <v>28</v>
      </c>
      <c r="G123" s="12">
        <f>F123</f>
        <v>28</v>
      </c>
      <c r="H123" s="12">
        <f>B15</f>
        <v>5.2439999999999998</v>
      </c>
      <c r="I123" s="12">
        <f>I100+E101-B11+1</f>
        <v>153.56400000000002</v>
      </c>
    </row>
    <row r="124" spans="1:9" x14ac:dyDescent="0.3">
      <c r="A124" s="11" t="s">
        <v>56</v>
      </c>
      <c r="B124" s="11">
        <f>B123</f>
        <v>200.25399999999999</v>
      </c>
      <c r="C124" s="11">
        <f>C123</f>
        <v>19.244</v>
      </c>
      <c r="D124" s="11"/>
      <c r="E124" s="11"/>
      <c r="F124" s="33">
        <v>5.78</v>
      </c>
      <c r="G124" s="33">
        <v>4.2919999999999998</v>
      </c>
      <c r="H124" s="11">
        <f>H123+(F123/2)-(F124/2)</f>
        <v>16.353999999999999</v>
      </c>
      <c r="I124" s="11">
        <f>I123+(G123/2)-(F124/2)</f>
        <v>164.67400000000004</v>
      </c>
    </row>
    <row r="125" spans="1:9" x14ac:dyDescent="0.3">
      <c r="A125" s="11"/>
      <c r="B125" s="11"/>
      <c r="C125" s="11"/>
      <c r="D125" s="11"/>
      <c r="E125" s="11"/>
      <c r="F125" s="12"/>
      <c r="G125" s="12"/>
      <c r="H125" s="11"/>
      <c r="I125" s="11"/>
    </row>
    <row r="126" spans="1:9" x14ac:dyDescent="0.3">
      <c r="A126" s="11" t="s">
        <v>26</v>
      </c>
      <c r="B126" s="12">
        <f>B123</f>
        <v>200.25399999999999</v>
      </c>
      <c r="C126" s="12">
        <f>C123+G123+1</f>
        <v>48.244</v>
      </c>
      <c r="D126" s="11"/>
      <c r="E126" s="11"/>
      <c r="F126" s="12">
        <f>F123</f>
        <v>28</v>
      </c>
      <c r="G126" s="12">
        <f>G123</f>
        <v>28</v>
      </c>
      <c r="H126" s="12">
        <f>H123+F126+1</f>
        <v>34.244</v>
      </c>
      <c r="I126" s="12">
        <f>I123</f>
        <v>153.56400000000002</v>
      </c>
    </row>
    <row r="127" spans="1:9" x14ac:dyDescent="0.3">
      <c r="A127" s="11" t="s">
        <v>56</v>
      </c>
      <c r="B127" s="11">
        <f>B126</f>
        <v>200.25399999999999</v>
      </c>
      <c r="C127" s="12">
        <f>C126</f>
        <v>48.244</v>
      </c>
      <c r="D127" s="11"/>
      <c r="E127" s="11"/>
      <c r="F127" s="12">
        <f>F124</f>
        <v>5.78</v>
      </c>
      <c r="G127" s="12">
        <f>G124</f>
        <v>4.2919999999999998</v>
      </c>
      <c r="H127" s="11">
        <f>H126+(F126/2)-(F127/2)</f>
        <v>45.353999999999999</v>
      </c>
      <c r="I127" s="11">
        <f>I124</f>
        <v>164.67400000000004</v>
      </c>
    </row>
    <row r="128" spans="1:9" x14ac:dyDescent="0.3">
      <c r="A128" s="11"/>
      <c r="B128" s="11"/>
      <c r="C128" s="11"/>
      <c r="D128" s="11"/>
      <c r="E128" s="11"/>
      <c r="F128" s="12"/>
      <c r="G128" s="12"/>
      <c r="H128" s="11"/>
      <c r="I128" s="11"/>
    </row>
    <row r="129" spans="1:9" x14ac:dyDescent="0.3">
      <c r="A129" s="11" t="s">
        <v>25</v>
      </c>
      <c r="B129" s="12">
        <f>B123</f>
        <v>200.25399999999999</v>
      </c>
      <c r="C129" s="12">
        <f>C126+G123+1</f>
        <v>77.244</v>
      </c>
      <c r="D129" s="11"/>
      <c r="E129" s="11"/>
      <c r="F129" s="12">
        <f>F123</f>
        <v>28</v>
      </c>
      <c r="G129" s="12">
        <f>G123</f>
        <v>28</v>
      </c>
      <c r="H129" s="12">
        <f>H126+F129+1</f>
        <v>63.244</v>
      </c>
      <c r="I129" s="12">
        <f>I123</f>
        <v>153.56400000000002</v>
      </c>
    </row>
    <row r="130" spans="1:9" x14ac:dyDescent="0.3">
      <c r="A130" s="11"/>
      <c r="B130" s="11"/>
      <c r="C130" s="11"/>
      <c r="D130" s="11"/>
      <c r="E130" s="11"/>
      <c r="F130" s="12"/>
      <c r="G130" s="12"/>
      <c r="H130" s="11"/>
      <c r="I130" s="11"/>
    </row>
    <row r="131" spans="1:9" x14ac:dyDescent="0.3">
      <c r="A131" s="11" t="s">
        <v>27</v>
      </c>
      <c r="B131" s="12">
        <f>B123</f>
        <v>200.25399999999999</v>
      </c>
      <c r="C131" s="12">
        <f>C129+G129+1</f>
        <v>106.244</v>
      </c>
      <c r="D131" s="11"/>
      <c r="E131" s="11"/>
      <c r="F131" s="12">
        <f>F123</f>
        <v>28</v>
      </c>
      <c r="G131" s="12">
        <f>G123</f>
        <v>28</v>
      </c>
      <c r="H131" s="12">
        <f>H129+F131+1</f>
        <v>92.244</v>
      </c>
      <c r="I131" s="12">
        <f>I123</f>
        <v>153.56400000000002</v>
      </c>
    </row>
    <row r="132" spans="1:9" x14ac:dyDescent="0.3">
      <c r="A132" s="17"/>
      <c r="B132" s="18"/>
      <c r="C132" s="17"/>
      <c r="D132" s="17"/>
      <c r="E132" s="17"/>
      <c r="F132" s="18"/>
      <c r="G132" s="18"/>
      <c r="H132" s="17"/>
      <c r="I132" s="17"/>
    </row>
    <row r="133" spans="1:9" x14ac:dyDescent="0.3">
      <c r="A133" s="17"/>
      <c r="B133" s="18"/>
      <c r="C133" s="17"/>
      <c r="D133" s="17"/>
      <c r="E133" s="17"/>
      <c r="F133" s="18"/>
      <c r="G133" s="18"/>
      <c r="H133" s="17"/>
      <c r="I133" s="17"/>
    </row>
    <row r="154" spans="1:10" x14ac:dyDescent="0.3">
      <c r="J154" s="13"/>
    </row>
    <row r="156" spans="1:10" x14ac:dyDescent="0.3">
      <c r="A156" s="30"/>
      <c r="B156" s="17"/>
      <c r="C156" s="17"/>
      <c r="D156" s="17"/>
      <c r="E156" s="17"/>
      <c r="F156" s="17"/>
      <c r="G156" s="17"/>
      <c r="H156" s="17"/>
      <c r="I156" s="17"/>
    </row>
    <row r="157" spans="1:10" x14ac:dyDescent="0.3">
      <c r="A157" s="31"/>
    </row>
    <row r="159" spans="1:10" x14ac:dyDescent="0.3">
      <c r="H159" s="13"/>
    </row>
    <row r="167" spans="1:1" x14ac:dyDescent="0.3">
      <c r="A167" s="31"/>
    </row>
    <row r="168" spans="1:1" x14ac:dyDescent="0.3">
      <c r="A168" s="31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2P1_bamboo5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 Porter</cp:lastModifiedBy>
  <cp:lastPrinted>2017-05-01T06:25:15Z</cp:lastPrinted>
  <dcterms:created xsi:type="dcterms:W3CDTF">2015-06-06T17:56:06Z</dcterms:created>
  <dcterms:modified xsi:type="dcterms:W3CDTF">2018-04-15T20:36:11Z</dcterms:modified>
</cp:coreProperties>
</file>