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1" minimized="0" showHorizontalScroll="1" showSheetTabs="1" showVerticalScroll="1" tabRatio="500" visibility="visible" windowHeight="8192" windowWidth="16384" xWindow="0" yWindow="0"/>
  </bookViews>
  <sheets>
    <sheet name="currentHoldings" sheetId="1" state="hidden" r:id="rId1"/>
    <sheet name="Sheet1" sheetId="2" state="visible" r:id="rId2"/>
    <sheet name="aifHoldings" sheetId="3" state="visible" r:id="rId3"/>
    <sheet name="Realized Holdings" sheetId="4" state="visible" r:id="rId4"/>
  </sheets>
  <definedNames>
    <definedName function="0" hidden="1" localSheetId="0" name="_xlnm._FilterDatabase" vbProcedure="0">currentHoldings!$A$3:$O$4</definedName>
    <definedName function="0" hidden="0" name="AIF_DS" vbProcedure="0">#REF!</definedName>
    <definedName function="0" hidden="0" name="bdm.54" vbProcedure="0">#REF!</definedName>
    <definedName function="0" hidden="0" name="BetaRange" vbProcedure="0">#REF!</definedName>
    <definedName function="0" hidden="0" name="CurrentValRange" vbProcedure="0">'aif current holdings'!#ref!</definedName>
    <definedName function="0" hidden="0" name="Curr_BetaRange" vbProcedure="0">'aif current holdings'!#ref!</definedName>
    <definedName function="0" hidden="0" name="Curr_MktCapTypeRange" vbProcedure="0">'aif current holdings'!#ref!</definedName>
    <definedName function="0" hidden="0" name="Curr_MktValRange" vbProcedure="0">'aif current holdings'!#ref!</definedName>
    <definedName function="0" hidden="0" name="Curr_SectorRange" vbProcedure="0">'aif current holdings'!#ref!</definedName>
    <definedName function="0" hidden="0" name="Curr_SubsectorRange" vbProcedure="0">'aif current holdings'!#ref!</definedName>
    <definedName function="0" hidden="0" name="Curr_TickerRange" vbProcedure="0">'aif current holdings'!#ref!</definedName>
    <definedName function="0" hidden="0" name="Curr_WeightRange" vbProcedure="0">'aif current holdings'!#ref!</definedName>
    <definedName function="0" hidden="0" name="Curr_YTD_D_Range" vbProcedure="0">'aif current holdings'!#ref!</definedName>
    <definedName function="0" hidden="0" name="Curr_YTD_P_Range" vbProcedure="0">'aif current holdings'!#ref!</definedName>
    <definedName function="0" hidden="0" name="FinYTD" vbProcedure="0">#REF!</definedName>
    <definedName function="0" hidden="0" name="HealthNew" vbProcedure="0">#REF!</definedName>
    <definedName function="0" hidden="0" name="MATYTD" vbProcedure="0">#REF!</definedName>
    <definedName function="0" hidden="0" name="MktCapTypeRange" vbProcedure="0">#REF!</definedName>
    <definedName function="0" hidden="0" name="REITYTD" vbProcedure="0">#REF!</definedName>
    <definedName function="0" hidden="0" name="TECHY" vbProcedure="0">#REF!</definedName>
    <definedName function="0" hidden="0" name="TechYTD" vbProcedure="0">#REF!</definedName>
    <definedName function="0" hidden="0" name="Telecom" vbProcedure="0">#REF!</definedName>
    <definedName function="0" hidden="0" name="Testing" vbProcedure="0">#REF!</definedName>
    <definedName function="0" hidden="0" name="_bdm.0c51edcb643e436a97d05eb564b886c4.edm" vbProcedure="0">#REF!</definedName>
    <definedName function="0" hidden="0" name="_bdm.55f68999dcce433d8d745018b795680e.edm" vbProcedure="0">#REF!</definedName>
    <definedName function="0" hidden="0" localSheetId="0" name="AIF_DS" vbProcedure="0">currentHoldings!$A$13:$O$5697</definedName>
    <definedName function="0" hidden="0" localSheetId="0" name="BetaRange" vbProcedure="0">currentHoldings!$L$13:$L$3280</definedName>
    <definedName function="0" hidden="0" localSheetId="0" name="MktCapTypeRange" vbProcedure="0">currentHoldings!$N$13:$N$3280</definedName>
    <definedName hidden="1" localSheetId="0" name="_xlnm._FilterDatabase">currentHoldings!$A$3:$O$4</definedName>
  </definedNames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<sst xmlns="http://schemas.openxmlformats.org/spreadsheetml/2006/main" uniqueCount="31">
  <si>
    <t>Ticker</t>
  </si>
  <si>
    <t>Name</t>
  </si>
  <si>
    <t>Shares</t>
  </si>
  <si>
    <t>Avg Share Cost Basis</t>
  </si>
  <si>
    <t>Cost Basis</t>
  </si>
  <si>
    <t>Date Bought</t>
  </si>
  <si>
    <t>Sector</t>
  </si>
  <si>
    <t>Subsector</t>
  </si>
  <si>
    <t>Current Price</t>
  </si>
  <si>
    <t>Current Value of Position</t>
  </si>
  <si>
    <t>Weights</t>
  </si>
  <si>
    <t>Beta (3-year)</t>
  </si>
  <si>
    <t>ESG-Rankings</t>
  </si>
  <si>
    <t>LargeCap/Mid/Small</t>
  </si>
  <si>
    <t>P/E</t>
  </si>
  <si>
    <t>Date Updated as of: 2018-05-06 17:15:24.854322</t>
  </si>
  <si>
    <t>FDRXX</t>
  </si>
  <si>
    <t>Fidelity Government Cash Reserves Shs of Benef Interest</t>
  </si>
  <si>
    <t>Cash</t>
  </si>
  <si>
    <t>PG</t>
  </si>
  <si>
    <t>12/31/2015</t>
  </si>
  <si>
    <t>Consumer Staples</t>
  </si>
  <si>
    <t>PRXL</t>
  </si>
  <si>
    <t>Healthcare</t>
  </si>
  <si>
    <t>PAA</t>
  </si>
  <si>
    <t>Materials</t>
  </si>
  <si>
    <t>NEE</t>
  </si>
  <si>
    <t>Utilities</t>
  </si>
  <si>
    <t>KO</t>
  </si>
  <si>
    <t>04/01/2016</t>
  </si>
  <si>
    <t>Total</t>
  </si>
</sst>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sz val="11"/>
    </font>
    <font>
      <name val="Calibri"/>
      <charset val="1"/>
      <family val="2"/>
      <sz val="11"/>
    </font>
  </fonts>
  <fills count="3">
    <fill>
      <patternFill/>
    </fill>
    <fill>
      <patternFill patternType="gray125"/>
    </fill>
    <fill>
      <patternFill patternType="solid">
        <fgColor rgb="FFBF9000"/>
        <bgColor rgb="FF808000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ck"/>
      <right style="thick"/>
      <top style="thick"/>
      <bottom style="thick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3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center"/>
    </xf>
    <xf applyAlignment="1" borderId="1" fillId="2" fontId="4" numFmtId="0" pivotButton="0" quotePrefix="0" xfId="0">
      <alignment horizontal="general" vertical="bottom"/>
    </xf>
    <xf applyAlignment="1" borderId="2" fillId="2" fontId="4" numFmtId="0" pivotButton="0" quotePrefix="0" xfId="0">
      <alignment horizontal="general" vertical="bottom"/>
    </xf>
    <xf applyAlignment="1" borderId="3" fillId="2" fontId="4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5" numFmtId="0" pivotButton="0" quotePrefix="0" xfId="0">
      <alignment horizontal="general" vertical="bottom"/>
    </xf>
    <xf applyAlignment="1" borderId="1" fillId="2" fontId="4" numFmtId="0" pivotButton="0" quotePrefix="0" xfId="0">
      <alignment horizontal="general" vertical="bottom"/>
    </xf>
    <xf applyAlignment="1" borderId="2" fillId="2" fontId="4" numFmtId="0" pivotButton="0" quotePrefix="0" xfId="0">
      <alignment horizontal="general" vertical="bottom"/>
    </xf>
    <xf applyAlignment="1" borderId="3" fillId="2" fontId="4" numFmtId="0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J3"/>
  <sheetViews>
    <sheetView colorId="64" defaultGridColor="1" rightToLeft="0" showFormulas="0" showGridLines="1" showOutlineSymbols="1" showRowColHeaders="1" showZeros="1" tabSelected="0" topLeftCell="A1" view="normal" workbookViewId="0" zoomScale="70" zoomScaleNormal="70" zoomScalePageLayoutView="100">
      <pane activePane="bottomLeft" state="frozen" topLeftCell="A2" xSplit="0" ySplit="1"/>
      <selection activeCell="A1" activeCellId="0" pane="topLeft" sqref="A1"/>
      <selection activeCell="B21" activeCellId="0" pane="bottomLeft" sqref="B21"/>
    </sheetView>
  </sheetViews>
  <sheetFormatPr baseColWidth="8" defaultRowHeight="13.8" outlineLevelCol="0" outlineLevelRow="0" zeroHeight="0"/>
  <cols>
    <col customWidth="1" max="1" min="1" style="6" width="14.14"/>
    <col customWidth="1" max="2" min="2" style="6" width="60.57"/>
    <col customWidth="1" max="3" min="3" style="6" width="13"/>
    <col customWidth="1" max="4" min="4" style="6" width="16.71"/>
    <col customWidth="1" max="5" min="5" style="6" width="18.14"/>
    <col customWidth="1" max="6" min="6" style="6" width="19.14"/>
    <col customWidth="1" max="7" min="7" style="6" width="19.28"/>
    <col customWidth="1" max="8" min="8" style="6" width="9.140000000000001"/>
    <col customWidth="1" max="9" min="9" style="6" width="17.28"/>
    <col customWidth="1" max="10" min="10" style="6" width="33.86"/>
    <col customWidth="1" max="11" min="11" style="6" width="14"/>
    <col customWidth="1" max="12" min="12" style="6" width="15.57"/>
    <col customWidth="1" max="13" min="13" style="6" width="26"/>
    <col customWidth="1" max="14" min="14" style="6" width="28.14"/>
    <col customWidth="1" max="15" min="15" style="6" width="13.71"/>
    <col customWidth="1" max="1025" min="16" style="6" width="9.140000000000001"/>
  </cols>
  <sheetData>
    <row customHeight="1" ht="60.85" r="1" s="7" spans="1:1024">
      <c r="A1" s="8" t="n"/>
    </row>
    <row customFormat="1" customHeight="1" ht="14.7" r="3" s="9" spans="1:1024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1" t="s">
        <v>9</v>
      </c>
      <c r="K3" s="10" t="s">
        <v>10</v>
      </c>
      <c r="L3" s="10" t="s">
        <v>11</v>
      </c>
      <c r="M3" s="10" t="s">
        <v>12</v>
      </c>
      <c r="N3" s="12" t="s">
        <v>13</v>
      </c>
      <c r="O3" s="12" t="s">
        <v>14</v>
      </c>
      <c r="AJM3" s="6" t="n"/>
      <c r="AJN3" s="6" t="n"/>
      <c r="AJO3" s="6" t="n"/>
      <c r="AJP3" s="6" t="n"/>
      <c r="AJQ3" s="6" t="n"/>
      <c r="AJR3" s="6" t="n"/>
      <c r="AJS3" s="6" t="n"/>
      <c r="AJT3" s="6" t="n"/>
      <c r="AJU3" s="6" t="n"/>
      <c r="AJV3" s="6" t="n"/>
      <c r="AJW3" s="6" t="n"/>
      <c r="AJX3" s="6" t="n"/>
      <c r="AJY3" s="6" t="n"/>
      <c r="AJZ3" s="6" t="n"/>
      <c r="AKA3" s="6" t="n"/>
      <c r="AKB3" s="6" t="n"/>
      <c r="AKC3" s="6" t="n"/>
      <c r="AKD3" s="6" t="n"/>
      <c r="AKE3" s="6" t="n"/>
      <c r="AKF3" s="6" t="n"/>
      <c r="AKG3" s="6" t="n"/>
      <c r="AKH3" s="6" t="n"/>
      <c r="AKI3" s="6" t="n"/>
      <c r="AKJ3" s="6" t="n"/>
      <c r="AKK3" s="6" t="n"/>
      <c r="AKL3" s="6" t="n"/>
      <c r="AKM3" s="6" t="n"/>
      <c r="AKN3" s="6" t="n"/>
      <c r="AKO3" s="6" t="n"/>
      <c r="AKP3" s="6" t="n"/>
      <c r="AKQ3" s="6" t="n"/>
      <c r="AKR3" s="6" t="n"/>
      <c r="AKS3" s="6" t="n"/>
      <c r="AKT3" s="6" t="n"/>
      <c r="AKU3" s="6" t="n"/>
      <c r="AKV3" s="6" t="n"/>
      <c r="AKW3" s="6" t="n"/>
      <c r="AKX3" s="6" t="n"/>
      <c r="AKY3" s="6" t="n"/>
      <c r="AKZ3" s="6" t="n"/>
      <c r="ALA3" s="6" t="n"/>
      <c r="ALB3" s="6" t="n"/>
      <c r="ALC3" s="6" t="n"/>
      <c r="ALD3" s="6" t="n"/>
      <c r="ALE3" s="6" t="n"/>
      <c r="ALF3" s="6" t="n"/>
      <c r="ALG3" s="6" t="n"/>
      <c r="ALH3" s="6" t="n"/>
      <c r="ALI3" s="6" t="n"/>
      <c r="ALJ3" s="6" t="n"/>
      <c r="ALK3" s="6" t="n"/>
      <c r="ALL3" s="6" t="n"/>
      <c r="ALM3" s="6" t="n"/>
      <c r="ALN3" s="6" t="n"/>
      <c r="ALO3" s="6" t="n"/>
      <c r="ALP3" s="6" t="n"/>
      <c r="ALQ3" s="6" t="n"/>
      <c r="ALR3" s="6" t="n"/>
      <c r="ALS3" s="6" t="n"/>
      <c r="ALT3" s="6" t="n"/>
      <c r="ALU3" s="6" t="n"/>
      <c r="ALV3" s="6" t="n"/>
      <c r="ALW3" s="6" t="n"/>
      <c r="ALX3" s="6" t="n"/>
      <c r="ALY3" s="6" t="n"/>
      <c r="ALZ3" s="6" t="n"/>
      <c r="AMA3" s="6" t="n"/>
      <c r="AMB3" s="6" t="n"/>
      <c r="AMC3" s="6" t="n"/>
      <c r="AMD3" s="6" t="n"/>
      <c r="AME3" s="6" t="n"/>
      <c r="AMF3" s="6" t="n"/>
      <c r="AMG3" s="6" t="n"/>
      <c r="AMH3" s="6" t="n"/>
      <c r="AMI3" s="6" t="n"/>
      <c r="AMJ3" s="6" t="n"/>
    </row>
  </sheetData>
  <autoFilter ref="A3:O4"/>
  <mergeCells count="1">
    <mergeCell ref="A1:B1"/>
  </mergeCells>
  <conditionalFormatting sqref="A13:A1048576 A3">
    <cfRule aboveAverage="0" bottom="0" dxfId="0" equalAverage="0" percent="0" priority="2" rank="0" text="" type="duplicateValues">
      <formula>0</formula>
    </cfRule>
  </conditionalFormatting>
  <conditionalFormatting sqref="A13:A1048576">
    <cfRule aboveAverage="0" bottom="0" dxfId="0" equalAverage="0" percent="0" priority="3" rank="0" text="" type="duplicateValues">
      <formula>0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A1" activeCellId="0" pane="topLeft" sqref="A1"/>
    </sheetView>
  </sheetViews>
  <sheetFormatPr baseColWidth="8" defaultRowHeight="12.8" outlineLevelCol="0" outlineLevelRow="0" zeroHeight="0"/>
  <cols>
    <col customWidth="1" max="1025" min="1" style="6" width="9.140000000000001"/>
  </cols>
  <sheetData/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MJ10"/>
  <sheetViews>
    <sheetView workbookViewId="0">
      <selection activeCell="A1" sqref="A1"/>
    </sheetView>
  </sheetViews>
  <sheetFormatPr baseColWidth="8" defaultRowHeight="13.8" outlineLevelCol="0" outlineLevelRow="0" zeroHeight="0"/>
  <cols>
    <col customWidth="1" max="1" min="1" style="6" width="14.14"/>
    <col customWidth="1" max="2" min="2" style="6" width="60.57"/>
    <col customWidth="1" max="3" min="3" style="6" width="13"/>
    <col customWidth="1" max="4" min="4" style="6" width="16.71"/>
    <col customWidth="1" max="5" min="5" style="6" width="18.14"/>
    <col customWidth="1" max="6" min="6" style="6" width="19.14"/>
    <col customWidth="1" max="7" min="7" style="6" width="19.28"/>
    <col customWidth="1" max="8" min="8" style="6" width="9.140000000000001"/>
    <col customWidth="1" max="9" min="9" style="6" width="17.28"/>
    <col customWidth="1" max="10" min="10" style="6" width="33.86"/>
    <col customWidth="1" max="11" min="11" style="6" width="14"/>
    <col customWidth="1" max="12" min="12" style="6" width="15.57"/>
    <col customWidth="1" max="13" min="13" style="6" width="26"/>
    <col customWidth="1" max="14" min="14" style="6" width="28.14"/>
    <col customWidth="1" max="15" min="15" style="6" width="13.71"/>
    <col customWidth="1" max="1025" min="16" style="6" width="9.140000000000001"/>
  </cols>
  <sheetData>
    <row customHeight="1" ht="60.85" r="1" s="7" spans="1:1024">
      <c r="A1" s="8" t="s">
        <v>15</v>
      </c>
    </row>
    <row customFormat="1" customHeight="1" ht="14.7" r="3" s="9" spans="1:1024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1" t="s">
        <v>9</v>
      </c>
      <c r="K3" s="10" t="s">
        <v>10</v>
      </c>
      <c r="L3" s="10" t="s">
        <v>11</v>
      </c>
      <c r="M3" s="10" t="s">
        <v>12</v>
      </c>
      <c r="N3" s="12" t="s">
        <v>13</v>
      </c>
      <c r="O3" s="12" t="s">
        <v>14</v>
      </c>
      <c r="AJM3" s="6" t="n"/>
      <c r="AJN3" s="6" t="n"/>
      <c r="AJO3" s="6" t="n"/>
      <c r="AJP3" s="6" t="n"/>
      <c r="AJQ3" s="6" t="n"/>
      <c r="AJR3" s="6" t="n"/>
      <c r="AJS3" s="6" t="n"/>
      <c r="AJT3" s="6" t="n"/>
      <c r="AJU3" s="6" t="n"/>
      <c r="AJV3" s="6" t="n"/>
      <c r="AJW3" s="6" t="n"/>
      <c r="AJX3" s="6" t="n"/>
      <c r="AJY3" s="6" t="n"/>
      <c r="AJZ3" s="6" t="n"/>
      <c r="AKA3" s="6" t="n"/>
      <c r="AKB3" s="6" t="n"/>
      <c r="AKC3" s="6" t="n"/>
      <c r="AKD3" s="6" t="n"/>
      <c r="AKE3" s="6" t="n"/>
      <c r="AKF3" s="6" t="n"/>
      <c r="AKG3" s="6" t="n"/>
      <c r="AKH3" s="6" t="n"/>
      <c r="AKI3" s="6" t="n"/>
      <c r="AKJ3" s="6" t="n"/>
      <c r="AKK3" s="6" t="n"/>
      <c r="AKL3" s="6" t="n"/>
      <c r="AKM3" s="6" t="n"/>
      <c r="AKN3" s="6" t="n"/>
      <c r="AKO3" s="6" t="n"/>
      <c r="AKP3" s="6" t="n"/>
      <c r="AKQ3" s="6" t="n"/>
      <c r="AKR3" s="6" t="n"/>
      <c r="AKS3" s="6" t="n"/>
      <c r="AKT3" s="6" t="n"/>
      <c r="AKU3" s="6" t="n"/>
      <c r="AKV3" s="6" t="n"/>
      <c r="AKW3" s="6" t="n"/>
      <c r="AKX3" s="6" t="n"/>
      <c r="AKY3" s="6" t="n"/>
      <c r="AKZ3" s="6" t="n"/>
      <c r="ALA3" s="6" t="n"/>
      <c r="ALB3" s="6" t="n"/>
      <c r="ALC3" s="6" t="n"/>
      <c r="ALD3" s="6" t="n"/>
      <c r="ALE3" s="6" t="n"/>
      <c r="ALF3" s="6" t="n"/>
      <c r="ALG3" s="6" t="n"/>
      <c r="ALH3" s="6" t="n"/>
      <c r="ALI3" s="6" t="n"/>
      <c r="ALJ3" s="6" t="n"/>
      <c r="ALK3" s="6" t="n"/>
      <c r="ALL3" s="6" t="n"/>
      <c r="ALM3" s="6" t="n"/>
      <c r="ALN3" s="6" t="n"/>
      <c r="ALO3" s="6" t="n"/>
      <c r="ALP3" s="6" t="n"/>
      <c r="ALQ3" s="6" t="n"/>
      <c r="ALR3" s="6" t="n"/>
      <c r="ALS3" s="6" t="n"/>
      <c r="ALT3" s="6" t="n"/>
      <c r="ALU3" s="6" t="n"/>
      <c r="ALV3" s="6" t="n"/>
      <c r="ALW3" s="6" t="n"/>
      <c r="ALX3" s="6" t="n"/>
      <c r="ALY3" s="6" t="n"/>
      <c r="ALZ3" s="6" t="n"/>
      <c r="AMA3" s="6" t="n"/>
      <c r="AMB3" s="6" t="n"/>
      <c r="AMC3" s="6" t="n"/>
      <c r="AMD3" s="6" t="n"/>
      <c r="AME3" s="6" t="n"/>
      <c r="AMF3" s="6" t="n"/>
      <c r="AMG3" s="6" t="n"/>
      <c r="AMH3" s="6" t="n"/>
      <c r="AMI3" s="6" t="n"/>
      <c r="AMJ3" s="6" t="n"/>
    </row>
    <row r="4" spans="1:1024">
      <c r="A4" t="s">
        <v>16</v>
      </c>
      <c r="B4" t="s">
        <v>17</v>
      </c>
      <c r="C4" t="n">
        <v>1005110.496</v>
      </c>
      <c r="D4" t="n">
        <v>1</v>
      </c>
      <c r="E4" t="n">
        <v>1005110.496</v>
      </c>
      <c r="F4" t="s"/>
      <c r="G4" t="s">
        <v>18</v>
      </c>
      <c r="H4" t="s">
        <v>18</v>
      </c>
      <c r="I4" t="n">
        <v>1005110.496</v>
      </c>
      <c r="J4" t="n">
        <v>1005110.496</v>
      </c>
      <c r="K4">
        <f>J4/J10</f>
        <v/>
      </c>
    </row>
    <row r="5" spans="1:1024">
      <c r="A5" t="s">
        <v>19</v>
      </c>
      <c r="B5">
        <f>fds("PG", "FG_COMPANY_NAME")</f>
        <v/>
      </c>
      <c r="C5" t="n">
        <v>95.5</v>
      </c>
      <c r="D5" t="n">
        <v>79.41</v>
      </c>
      <c r="E5" t="n">
        <v>7583.655</v>
      </c>
      <c r="F5" t="s">
        <v>20</v>
      </c>
      <c r="G5" t="s">
        <v>21</v>
      </c>
      <c r="H5">
        <f>IFNA(fds("PG", "FG_GICS_INDUSTRY"),"Fund")</f>
        <v/>
      </c>
      <c r="I5">
        <f>fds("PG", "FG_PRICE(2018-05-06,2018-05-06)")</f>
        <v/>
      </c>
      <c r="J5">
        <f>(I5*C5)+fds("PG", "P_DIVS_PD_R(12/31/2014,05/06/2018,,,,""TOTAL"")")")</f>
        <v/>
      </c>
      <c r="K5">
        <f>J5/J10</f>
        <v/>
      </c>
      <c r="L5">
        <f>fds("PG", "P_BETA_PR(2018-05-06,,,""3YR"")")</f>
        <v/>
      </c>
      <c r="M5">
        <f>#N/A</f>
        <v/>
      </c>
      <c r="O5">
        <f>IFNA(fds("PG", "FF_PE(CURR,0)"),"NA"</f>
        <v/>
      </c>
    </row>
    <row r="6" spans="1:1024">
      <c r="A6" t="s">
        <v>22</v>
      </c>
      <c r="B6">
        <f>fds("PRXL", "FG_COMPANY_NAME")</f>
        <v/>
      </c>
      <c r="C6" t="n">
        <v>91</v>
      </c>
      <c r="D6" t="n">
        <v>68.12</v>
      </c>
      <c r="E6" t="n">
        <v>6198.92</v>
      </c>
      <c r="F6" t="s">
        <v>20</v>
      </c>
      <c r="G6" t="s">
        <v>23</v>
      </c>
      <c r="H6">
        <f>IFNA(fds("PRXL", "FG_GICS_INDUSTRY"),"Fund")</f>
        <v/>
      </c>
      <c r="I6">
        <f>fds("PRXL", "FG_PRICE(2018-05-06,2018-05-06)")</f>
        <v/>
      </c>
      <c r="J6">
        <f>(I6*C6)+fds("PRXL", "P_DIVS_PD_R(12/31/2014,05/06/2018,,,,""TOTAL"")")")</f>
        <v/>
      </c>
      <c r="K6">
        <f>J6/J10</f>
        <v/>
      </c>
      <c r="L6">
        <f>fds("PRXL", "P_BETA_PR(2018-05-06,,,""3YR"")")</f>
        <v/>
      </c>
      <c r="M6">
        <f>#N/A</f>
        <v/>
      </c>
      <c r="O6">
        <f>IFNA(fds("PRXL", "FF_PE(CURR,0)"),"NA"</f>
        <v/>
      </c>
    </row>
    <row r="7" spans="1:1024">
      <c r="A7" t="s">
        <v>24</v>
      </c>
      <c r="B7">
        <f>fds("PAA", "FG_COMPANY_NAME")</f>
        <v/>
      </c>
      <c r="C7" t="n">
        <v>75</v>
      </c>
      <c r="D7" t="n">
        <v>23.1</v>
      </c>
      <c r="E7" t="n">
        <v>1732.5</v>
      </c>
      <c r="F7" t="s">
        <v>20</v>
      </c>
      <c r="G7" t="s">
        <v>25</v>
      </c>
      <c r="H7">
        <f>IFNA(fds("PAA", "FG_GICS_INDUSTRY"),"Fund")</f>
        <v/>
      </c>
      <c r="I7">
        <f>fds("PAA", "FG_PRICE(2018-05-06,2018-05-06)")</f>
        <v/>
      </c>
      <c r="J7">
        <f>(I7*C7)+fds("PAA", "P_DIVS_PD_R(12/31/2014,05/06/2018,,,,""TOTAL"")")")</f>
        <v/>
      </c>
      <c r="K7">
        <f>J7/J10</f>
        <v/>
      </c>
      <c r="L7">
        <f>fds("PAA", "P_BETA_PR(2018-05-06,,,""3YR"")")</f>
        <v/>
      </c>
      <c r="M7">
        <f>#N/A</f>
        <v/>
      </c>
      <c r="O7">
        <f>IFNA(fds("PAA", "FF_PE(CURR,0)"),"NA"</f>
        <v/>
      </c>
    </row>
    <row r="8" spans="1:1024">
      <c r="A8" t="s">
        <v>26</v>
      </c>
      <c r="B8">
        <f>fds("NEE", "FG_COMPANY_NAME")</f>
        <v/>
      </c>
      <c r="C8" t="n">
        <v>35.5</v>
      </c>
      <c r="D8" t="n">
        <v>103.89</v>
      </c>
      <c r="E8" t="n">
        <v>3688.095</v>
      </c>
      <c r="F8" t="s">
        <v>20</v>
      </c>
      <c r="G8" t="s">
        <v>27</v>
      </c>
      <c r="H8">
        <f>IFNA(fds("NEE", "FG_GICS_INDUSTRY"),"Fund")</f>
        <v/>
      </c>
      <c r="I8">
        <f>fds("NEE", "FG_PRICE(2018-05-06,2018-05-06)")</f>
        <v/>
      </c>
      <c r="J8">
        <f>(I8*C8)+fds("NEE", "P_DIVS_PD_R(12/31/2014,05/06/2018,,,,""TOTAL"")")")</f>
        <v/>
      </c>
      <c r="K8">
        <f>J8/J10</f>
        <v/>
      </c>
      <c r="L8">
        <f>fds("NEE", "P_BETA_PR(2018-05-06,,,""3YR"")")</f>
        <v/>
      </c>
      <c r="M8">
        <f>#N/A</f>
        <v/>
      </c>
      <c r="O8">
        <f>IFNA(fds("NEE", "FF_PE(CURR,0)"),"NA"</f>
        <v/>
      </c>
    </row>
    <row r="9" spans="1:1024">
      <c r="A9" t="s">
        <v>28</v>
      </c>
      <c r="B9">
        <f>fds("KO", "FG_COMPANY_NAME")</f>
        <v/>
      </c>
      <c r="C9" t="n">
        <v>0.475</v>
      </c>
      <c r="D9" t="n">
        <v>42.44</v>
      </c>
      <c r="E9" t="n">
        <v>20.159</v>
      </c>
      <c r="F9" t="s">
        <v>29</v>
      </c>
      <c r="G9" t="s">
        <v>21</v>
      </c>
      <c r="H9">
        <f>IFNA(fds("KO", "FG_GICS_INDUSTRY"),"Fund")</f>
        <v/>
      </c>
      <c r="I9">
        <f>fds("KO", "FG_PRICE(2018-05-06,2018-05-06)")</f>
        <v/>
      </c>
      <c r="J9">
        <f>(I9*C9)+fds("KO", "P_DIVS_PD_R(12/31/2014,05/06/2018,,,,""TOTAL"")")")</f>
        <v/>
      </c>
      <c r="K9">
        <f>J9/J10</f>
        <v/>
      </c>
      <c r="L9">
        <f>fds("KO", "P_BETA_PR(2018-05-06,,,""3YR"")")</f>
        <v/>
      </c>
      <c r="M9">
        <f>#N/A</f>
        <v/>
      </c>
      <c r="O9">
        <f>IFNA(fds("KO", "FF_PE(CURR,0)"),"NA"</f>
        <v/>
      </c>
    </row>
    <row r="10" spans="1:1024">
      <c r="A10" t="s">
        <v>30</v>
      </c>
      <c r="E10">
        <f>sum(E4:E9)</f>
        <v/>
      </c>
      <c r="J10">
        <f>sum(J4:J9)</f>
        <v/>
      </c>
      <c r="K10">
        <f>J10/J10</f>
        <v/>
      </c>
    </row>
  </sheetData>
  <mergeCells count="1">
    <mergeCell ref="A1:B1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MJ8"/>
  <sheetViews>
    <sheetView workbookViewId="0">
      <selection activeCell="A1" sqref="A1"/>
    </sheetView>
  </sheetViews>
  <sheetFormatPr baseColWidth="8" defaultRowHeight="13.8" outlineLevelCol="0" outlineLevelRow="0" zeroHeight="0"/>
  <cols>
    <col customWidth="1" max="1" min="1" style="6" width="14.14"/>
    <col customWidth="1" max="2" min="2" style="6" width="60.57"/>
    <col customWidth="1" max="3" min="3" style="6" width="13"/>
    <col customWidth="1" max="4" min="4" style="6" width="16.71"/>
    <col customWidth="1" max="5" min="5" style="6" width="18.14"/>
    <col customWidth="1" max="6" min="6" style="6" width="19.14"/>
    <col customWidth="1" max="7" min="7" style="6" width="19.28"/>
    <col customWidth="1" max="8" min="8" style="6" width="9.140000000000001"/>
    <col customWidth="1" max="9" min="9" style="6" width="17.28"/>
    <col customWidth="1" max="10" min="10" style="6" width="33.86"/>
    <col customWidth="1" max="11" min="11" style="6" width="14"/>
    <col customWidth="1" max="12" min="12" style="6" width="15.57"/>
    <col customWidth="1" max="13" min="13" style="6" width="26"/>
    <col customWidth="1" max="14" min="14" style="6" width="28.14"/>
    <col customWidth="1" max="15" min="15" style="6" width="13.71"/>
    <col customWidth="1" max="1025" min="16" style="6" width="9.140000000000001"/>
  </cols>
  <sheetData>
    <row customHeight="1" ht="60.85" r="1" s="7" spans="1:1024">
      <c r="A1" s="8" t="n"/>
    </row>
    <row customFormat="1" customHeight="1" ht="14.7" r="3" s="9" spans="1:1024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1" t="s">
        <v>9</v>
      </c>
      <c r="K3" s="10" t="s">
        <v>10</v>
      </c>
      <c r="L3" s="10" t="s">
        <v>11</v>
      </c>
      <c r="M3" s="10" t="s">
        <v>12</v>
      </c>
      <c r="N3" s="12" t="s">
        <v>13</v>
      </c>
      <c r="O3" s="12" t="s">
        <v>14</v>
      </c>
      <c r="AJM3" s="6" t="n"/>
      <c r="AJN3" s="6" t="n"/>
      <c r="AJO3" s="6" t="n"/>
      <c r="AJP3" s="6" t="n"/>
      <c r="AJQ3" s="6" t="n"/>
      <c r="AJR3" s="6" t="n"/>
      <c r="AJS3" s="6" t="n"/>
      <c r="AJT3" s="6" t="n"/>
      <c r="AJU3" s="6" t="n"/>
      <c r="AJV3" s="6" t="n"/>
      <c r="AJW3" s="6" t="n"/>
      <c r="AJX3" s="6" t="n"/>
      <c r="AJY3" s="6" t="n"/>
      <c r="AJZ3" s="6" t="n"/>
      <c r="AKA3" s="6" t="n"/>
      <c r="AKB3" s="6" t="n"/>
      <c r="AKC3" s="6" t="n"/>
      <c r="AKD3" s="6" t="n"/>
      <c r="AKE3" s="6" t="n"/>
      <c r="AKF3" s="6" t="n"/>
      <c r="AKG3" s="6" t="n"/>
      <c r="AKH3" s="6" t="n"/>
      <c r="AKI3" s="6" t="n"/>
      <c r="AKJ3" s="6" t="n"/>
      <c r="AKK3" s="6" t="n"/>
      <c r="AKL3" s="6" t="n"/>
      <c r="AKM3" s="6" t="n"/>
      <c r="AKN3" s="6" t="n"/>
      <c r="AKO3" s="6" t="n"/>
      <c r="AKP3" s="6" t="n"/>
      <c r="AKQ3" s="6" t="n"/>
      <c r="AKR3" s="6" t="n"/>
      <c r="AKS3" s="6" t="n"/>
      <c r="AKT3" s="6" t="n"/>
      <c r="AKU3" s="6" t="n"/>
      <c r="AKV3" s="6" t="n"/>
      <c r="AKW3" s="6" t="n"/>
      <c r="AKX3" s="6" t="n"/>
      <c r="AKY3" s="6" t="n"/>
      <c r="AKZ3" s="6" t="n"/>
      <c r="ALA3" s="6" t="n"/>
      <c r="ALB3" s="6" t="n"/>
      <c r="ALC3" s="6" t="n"/>
      <c r="ALD3" s="6" t="n"/>
      <c r="ALE3" s="6" t="n"/>
      <c r="ALF3" s="6" t="n"/>
      <c r="ALG3" s="6" t="n"/>
      <c r="ALH3" s="6" t="n"/>
      <c r="ALI3" s="6" t="n"/>
      <c r="ALJ3" s="6" t="n"/>
      <c r="ALK3" s="6" t="n"/>
      <c r="ALL3" s="6" t="n"/>
      <c r="ALM3" s="6" t="n"/>
      <c r="ALN3" s="6" t="n"/>
      <c r="ALO3" s="6" t="n"/>
      <c r="ALP3" s="6" t="n"/>
      <c r="ALQ3" s="6" t="n"/>
      <c r="ALR3" s="6" t="n"/>
      <c r="ALS3" s="6" t="n"/>
      <c r="ALT3" s="6" t="n"/>
      <c r="ALU3" s="6" t="n"/>
      <c r="ALV3" s="6" t="n"/>
      <c r="ALW3" s="6" t="n"/>
      <c r="ALX3" s="6" t="n"/>
      <c r="ALY3" s="6" t="n"/>
      <c r="ALZ3" s="6" t="n"/>
      <c r="AMA3" s="6" t="n"/>
      <c r="AMB3" s="6" t="n"/>
      <c r="AMC3" s="6" t="n"/>
      <c r="AMD3" s="6" t="n"/>
      <c r="AME3" s="6" t="n"/>
      <c r="AMF3" s="6" t="n"/>
      <c r="AMG3" s="6" t="n"/>
      <c r="AMH3" s="6" t="n"/>
      <c r="AMI3" s="6" t="n"/>
      <c r="AMJ3" s="6" t="n"/>
    </row>
    <row r="4" spans="1:1024">
      <c r="A4" t="s">
        <v>19</v>
      </c>
      <c r="B4" t="s">
        <v>21</v>
      </c>
      <c r="C4">
        <f>fds("PG", "FG_COMPANY_NAME")</f>
        <v/>
      </c>
      <c r="D4" t="s">
        <v>20</v>
      </c>
      <c r="E4" t="s">
        <v>20</v>
      </c>
      <c r="F4" t="n">
        <v>79.41</v>
      </c>
      <c r="G4">
        <f>(fds("PG", "FG_PRICE(05/06/2018,05/06/2018)")-fds("PG", "FG_PRICE(12/31/2017,12/31/2017)")+fds("PG", "P_DIVS_PD_R(12/31/2014,05/06/2018,,,,""TOTAL"")")"))</f>
        <v/>
      </c>
      <c r="H4" t="n">
        <v>95.5</v>
      </c>
      <c r="I4" t="n">
        <v>79.41</v>
      </c>
      <c r="J4">
        <f>I4*H4</f>
        <v/>
      </c>
      <c r="K4">
        <f>(fds("PG", "FG_PRICE(05/06/2018,05/06/2018)")-fds("PG", "FG_PRICE(2015-12-31 00:00:00,2015-12-31 00:00:00)")+fds("PG", "P_DIVS_PD_R(12/31/2014,05/06/2018,,,,""TOTAL"")")"))*95.5</f>
        <v/>
      </c>
      <c r="L4">
        <f>(fds("PG", "FG_PRICE(05/06/2018,05/06/2018)")-fds("PG", "FG_PRICE(2015-12-31 00:00:00,2015-12-31 00:00:00)")+fds("PG", "P_DIVS_PD_R(12/31/2014,05/06/2018,,,,""TOTAL"")")"))/fds("2015-12-31 00:00:00", "FG_PRICE(2018-05-06,2018-05-06)")</f>
        <v/>
      </c>
    </row>
    <row r="5" spans="1:1024">
      <c r="A5" t="s">
        <v>22</v>
      </c>
      <c r="B5" t="s">
        <v>23</v>
      </c>
      <c r="C5">
        <f>fds("PRXL", "FG_COMPANY_NAME")</f>
        <v/>
      </c>
      <c r="D5" t="s">
        <v>20</v>
      </c>
      <c r="E5" t="s">
        <v>20</v>
      </c>
      <c r="F5" t="n">
        <v>68.12</v>
      </c>
      <c r="G5">
        <f>(fds("PRXL", "FG_PRICE(05/06/2018,05/06/2018)")-fds("PRXL", "FG_PRICE(12/31/2017,12/31/2017)")+fds("PRXL", "P_DIVS_PD_R(12/31/2014,05/06/2018,,,,""TOTAL"")")"))</f>
        <v/>
      </c>
      <c r="H5" t="n">
        <v>91</v>
      </c>
      <c r="I5" t="n">
        <v>68.12</v>
      </c>
      <c r="J5">
        <f>I5*H5</f>
        <v/>
      </c>
      <c r="K5">
        <f>(fds("PRXL", "FG_PRICE(05/06/2018,05/06/2018)")-fds("PRXL", "FG_PRICE(2015-12-31 00:00:00,2015-12-31 00:00:00)")+fds("PRXL", "P_DIVS_PD_R(12/31/2014,05/06/2018,,,,""TOTAL"")")"))*91.0</f>
        <v/>
      </c>
      <c r="L5">
        <f>(fds("PRXL", "FG_PRICE(05/06/2018,05/06/2018)")-fds("PRXL", "FG_PRICE(2015-12-31 00:00:00,2015-12-31 00:00:00)")+fds("PRXL", "P_DIVS_PD_R(12/31/2014,05/06/2018,,,,""TOTAL"")")"))/fds("2015-12-31 00:00:00", "FG_PRICE(2018-05-06,2018-05-06)")</f>
        <v/>
      </c>
    </row>
    <row r="6" spans="1:1024">
      <c r="A6" t="s">
        <v>24</v>
      </c>
      <c r="B6" t="s">
        <v>25</v>
      </c>
      <c r="C6">
        <f>fds("PAA", "FG_COMPANY_NAME")</f>
        <v/>
      </c>
      <c r="D6" t="s">
        <v>20</v>
      </c>
      <c r="E6" t="s">
        <v>20</v>
      </c>
      <c r="F6" t="n">
        <v>23.1</v>
      </c>
      <c r="G6">
        <f>(fds("PAA", "FG_PRICE(05/06/2018,05/06/2018)")-fds("PAA", "FG_PRICE(12/31/2017,12/31/2017)")+fds("PAA", "P_DIVS_PD_R(12/31/2014,05/06/2018,,,,""TOTAL"")")"))</f>
        <v/>
      </c>
      <c r="H6" t="n">
        <v>75</v>
      </c>
      <c r="I6" t="n">
        <v>23.1</v>
      </c>
      <c r="J6">
        <f>I6*H6</f>
        <v/>
      </c>
      <c r="K6">
        <f>(fds("PAA", "FG_PRICE(05/06/2018,05/06/2018)")-fds("PAA", "FG_PRICE(2015-12-31 00:00:00,2015-12-31 00:00:00)")+fds("PAA", "P_DIVS_PD_R(12/31/2014,05/06/2018,,,,""TOTAL"")")"))*75.0</f>
        <v/>
      </c>
      <c r="L6">
        <f>(fds("PAA", "FG_PRICE(05/06/2018,05/06/2018)")-fds("PAA", "FG_PRICE(2015-12-31 00:00:00,2015-12-31 00:00:00)")+fds("PAA", "P_DIVS_PD_R(12/31/2014,05/06/2018,,,,""TOTAL"")")"))/fds("2015-12-31 00:00:00", "FG_PRICE(2018-05-06,2018-05-06)")</f>
        <v/>
      </c>
    </row>
    <row r="7" spans="1:1024">
      <c r="A7" t="s">
        <v>26</v>
      </c>
      <c r="B7" t="s">
        <v>27</v>
      </c>
      <c r="C7">
        <f>fds("NEE", "FG_COMPANY_NAME")</f>
        <v/>
      </c>
      <c r="D7" t="s">
        <v>20</v>
      </c>
      <c r="E7" t="s">
        <v>20</v>
      </c>
      <c r="F7" t="n">
        <v>103.89</v>
      </c>
      <c r="G7">
        <f>(fds("NEE", "FG_PRICE(05/06/2018,05/06/2018)")-fds("NEE", "FG_PRICE(12/31/2017,12/31/2017)")+fds("NEE", "P_DIVS_PD_R(12/31/2014,05/06/2018,,,,""TOTAL"")")"))</f>
        <v/>
      </c>
      <c r="H7" t="n">
        <v>35.5</v>
      </c>
      <c r="I7" t="n">
        <v>103.89</v>
      </c>
      <c r="J7">
        <f>I7*H7</f>
        <v/>
      </c>
      <c r="K7">
        <f>(fds("NEE", "FG_PRICE(05/06/2018,05/06/2018)")-fds("NEE", "FG_PRICE(2015-12-31 00:00:00,2015-12-31 00:00:00)")+fds("NEE", "P_DIVS_PD_R(12/31/2014,05/06/2018,,,,""TOTAL"")")"))*35.5</f>
        <v/>
      </c>
      <c r="L7">
        <f>(fds("NEE", "FG_PRICE(05/06/2018,05/06/2018)")-fds("NEE", "FG_PRICE(2015-12-31 00:00:00,2015-12-31 00:00:00)")+fds("NEE", "P_DIVS_PD_R(12/31/2014,05/06/2018,,,,""TOTAL"")")"))/fds("2015-12-31 00:00:00", "FG_PRICE(2018-05-06,2018-05-06)")</f>
        <v/>
      </c>
    </row>
    <row r="8" spans="1:1024">
      <c r="A8" t="s">
        <v>28</v>
      </c>
      <c r="B8" t="s">
        <v>21</v>
      </c>
      <c r="C8">
        <f>fds("KO", "FG_COMPANY_NAME")</f>
        <v/>
      </c>
      <c r="D8" t="s">
        <v>29</v>
      </c>
      <c r="E8" t="s">
        <v>29</v>
      </c>
      <c r="F8" t="n">
        <v>42.44</v>
      </c>
      <c r="G8">
        <f>(fds("KO", "FG_PRICE(05/06/2018,05/06/2018)")-fds("KO", "FG_PRICE(12/31/2017,12/31/2017)")+fds("KO", "P_DIVS_PD_R(12/31/2014,05/06/2018,,,,""TOTAL"")")"))</f>
        <v/>
      </c>
      <c r="H8" t="n">
        <v>0.475</v>
      </c>
      <c r="I8" t="n">
        <v>42.44</v>
      </c>
      <c r="J8">
        <f>I8*H8</f>
        <v/>
      </c>
      <c r="K8">
        <f>(fds("KO", "FG_PRICE(05/06/2018,05/06/2018)")-fds("KO", "FG_PRICE(2016-04-01 00:00:00,2016-04-01 00:00:00)")+fds("KO", "P_DIVS_PD_R(12/31/2014,05/06/2018,,,,""TOTAL"")")"))*0.475</f>
        <v/>
      </c>
      <c r="L8">
        <f>(fds("KO", "FG_PRICE(05/06/2018,05/06/2018)")-fds("KO", "FG_PRICE(2016-04-01 00:00:00,2016-04-01 00:00:00)")+fds("KO", "P_DIVS_PD_R(12/31/2014,05/06/2018,,,,""TOTAL"")")"))/fds("2016-04-01 00:00:00", "FG_PRICE(2018-05-06,2018-05-06)")</f>
        <v/>
      </c>
    </row>
  </sheetData>
  <mergeCells count="1">
    <mergeCell ref="A1:B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:language>en-US</dc:language>
  <dcterms:created xsi:type="dcterms:W3CDTF">2018-01-31T19:52:11Z</dcterms:created>
  <dcterms:modified xsi:type="dcterms:W3CDTF">2018-03-25T17:01:14Z</dcterms:modified>
  <cp:revision>6</cp:revision>
  <cp:lastPrinted>2018-02-05T16:01:37Z</cp:lastPrinted>
</cp:coreProperties>
</file>