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Edits\Kawhi\"/>
    </mc:Choice>
  </mc:AlternateContent>
  <xr:revisionPtr revIDLastSave="0" documentId="8_{59A480B3-CAA1-49B2-B845-3532C7D04D3B}" xr6:coauthVersionLast="47" xr6:coauthVersionMax="47" xr10:uidLastSave="{00000000-0000-0000-0000-000000000000}"/>
  <bookViews>
    <workbookView xWindow="-120" yWindow="-120" windowWidth="38640" windowHeight="21240" xr2:uid="{F30374AB-914D-44D9-9F12-61FB1DC555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2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5" i="1"/>
  <c r="K2835" i="1"/>
  <c r="J2836" i="1"/>
  <c r="K2836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4" i="1"/>
  <c r="K3564" i="1"/>
  <c r="J3565" i="1"/>
  <c r="K3565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1" i="1"/>
  <c r="K3611" i="1"/>
  <c r="J3612" i="1"/>
  <c r="K3612" i="1"/>
  <c r="J3613" i="1"/>
  <c r="K3613" i="1"/>
  <c r="J3614" i="1"/>
  <c r="K3614" i="1"/>
  <c r="J3615" i="1"/>
  <c r="K3615" i="1"/>
  <c r="J3616" i="1"/>
  <c r="K3616" i="1"/>
  <c r="J3617" i="1"/>
  <c r="K3617" i="1"/>
  <c r="J3618" i="1"/>
  <c r="K3618" i="1"/>
  <c r="J3619" i="1"/>
  <c r="K3619" i="1"/>
  <c r="J3620" i="1"/>
  <c r="K3620" i="1"/>
  <c r="J3621" i="1"/>
  <c r="K3621" i="1"/>
  <c r="J3622" i="1"/>
  <c r="K3622" i="1"/>
  <c r="J3623" i="1"/>
  <c r="K3623" i="1"/>
  <c r="J3624" i="1"/>
  <c r="K3624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1" i="1"/>
  <c r="K3781" i="1"/>
  <c r="J3782" i="1"/>
  <c r="K3782" i="1"/>
  <c r="J3783" i="1"/>
  <c r="K3783" i="1"/>
  <c r="J3784" i="1"/>
  <c r="K3784" i="1"/>
  <c r="J3785" i="1"/>
  <c r="K3785" i="1"/>
  <c r="J3786" i="1"/>
  <c r="K3786" i="1"/>
  <c r="J3787" i="1"/>
  <c r="K3787" i="1"/>
  <c r="J3788" i="1"/>
  <c r="K3788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1" i="1"/>
  <c r="K3831" i="1"/>
  <c r="J3832" i="1"/>
  <c r="K3832" i="1"/>
  <c r="J3833" i="1"/>
  <c r="K3833" i="1"/>
  <c r="J3834" i="1"/>
  <c r="K3834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49" i="1"/>
  <c r="K3849" i="1"/>
  <c r="J3850" i="1"/>
  <c r="K3850" i="1"/>
  <c r="J3851" i="1"/>
  <c r="K3851" i="1"/>
  <c r="J3852" i="1"/>
  <c r="K3852" i="1"/>
  <c r="J3853" i="1"/>
  <c r="K3853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2" i="1"/>
  <c r="K3862" i="1"/>
  <c r="J3863" i="1"/>
  <c r="K3863" i="1"/>
  <c r="J3864" i="1"/>
  <c r="K3864" i="1"/>
  <c r="J3865" i="1"/>
  <c r="K3865" i="1"/>
  <c r="J3866" i="1"/>
  <c r="K3866" i="1"/>
  <c r="J3867" i="1"/>
  <c r="K3867" i="1"/>
  <c r="J3868" i="1"/>
  <c r="K3868" i="1"/>
  <c r="J3869" i="1"/>
  <c r="K3869" i="1"/>
  <c r="J3870" i="1"/>
  <c r="K3870" i="1"/>
  <c r="J3871" i="1"/>
  <c r="K3871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J3891" i="1"/>
  <c r="K3891" i="1"/>
  <c r="J3892" i="1"/>
  <c r="K3892" i="1"/>
  <c r="J3893" i="1"/>
  <c r="K3893" i="1"/>
  <c r="J3894" i="1"/>
  <c r="K3894" i="1"/>
  <c r="J3895" i="1"/>
  <c r="K3895" i="1"/>
  <c r="J3896" i="1"/>
  <c r="K3896" i="1"/>
  <c r="J3897" i="1"/>
  <c r="K3897" i="1"/>
  <c r="J3898" i="1"/>
  <c r="K3898" i="1"/>
  <c r="J3899" i="1"/>
  <c r="K3899" i="1"/>
  <c r="J3900" i="1"/>
  <c r="K3900" i="1"/>
  <c r="J3901" i="1"/>
  <c r="K3901" i="1"/>
  <c r="J3902" i="1"/>
  <c r="K3902" i="1"/>
  <c r="J3903" i="1"/>
  <c r="K3903" i="1"/>
  <c r="J3904" i="1"/>
  <c r="K3904" i="1"/>
  <c r="J3905" i="1"/>
  <c r="K3905" i="1"/>
  <c r="J3906" i="1"/>
  <c r="K3906" i="1"/>
  <c r="J3907" i="1"/>
  <c r="K3907" i="1"/>
  <c r="J3908" i="1"/>
  <c r="K3908" i="1"/>
  <c r="J3909" i="1"/>
  <c r="K3909" i="1"/>
  <c r="J3910" i="1"/>
  <c r="K3910" i="1"/>
  <c r="J3911" i="1"/>
  <c r="K3911" i="1"/>
  <c r="J3912" i="1"/>
  <c r="K3912" i="1"/>
  <c r="J3913" i="1"/>
  <c r="K3913" i="1"/>
  <c r="J3914" i="1"/>
  <c r="K3914" i="1"/>
  <c r="J3915" i="1"/>
  <c r="K3915" i="1"/>
  <c r="J3916" i="1"/>
  <c r="K3916" i="1"/>
  <c r="J3917" i="1"/>
  <c r="K3917" i="1"/>
  <c r="J3918" i="1"/>
  <c r="K3918" i="1"/>
  <c r="J3919" i="1"/>
  <c r="K3919" i="1"/>
  <c r="J3920" i="1"/>
  <c r="K3920" i="1"/>
  <c r="J3921" i="1"/>
  <c r="K3921" i="1"/>
  <c r="J3922" i="1"/>
  <c r="K3922" i="1"/>
  <c r="J3923" i="1"/>
  <c r="K3923" i="1"/>
  <c r="J3924" i="1"/>
  <c r="K3924" i="1"/>
  <c r="J3925" i="1"/>
  <c r="K3925" i="1"/>
  <c r="J3926" i="1"/>
  <c r="K3926" i="1"/>
  <c r="J3927" i="1"/>
  <c r="K3927" i="1"/>
  <c r="J3928" i="1"/>
  <c r="K3928" i="1"/>
  <c r="J3929" i="1"/>
  <c r="K3929" i="1"/>
  <c r="J3930" i="1"/>
  <c r="K3930" i="1"/>
  <c r="J3931" i="1"/>
  <c r="K3931" i="1"/>
  <c r="J3932" i="1"/>
  <c r="K3932" i="1"/>
  <c r="J3933" i="1"/>
  <c r="K3933" i="1"/>
  <c r="J3934" i="1"/>
  <c r="K3934" i="1"/>
  <c r="J3935" i="1"/>
  <c r="K3935" i="1"/>
  <c r="J3936" i="1"/>
  <c r="K3936" i="1"/>
  <c r="J3937" i="1"/>
  <c r="K3937" i="1"/>
  <c r="J3938" i="1"/>
  <c r="K3938" i="1"/>
  <c r="J3939" i="1"/>
  <c r="K3939" i="1"/>
  <c r="J3940" i="1"/>
  <c r="K3940" i="1"/>
  <c r="J3941" i="1"/>
  <c r="K3941" i="1"/>
  <c r="J3942" i="1"/>
  <c r="K3942" i="1"/>
  <c r="J3943" i="1"/>
  <c r="K3943" i="1"/>
  <c r="J3944" i="1"/>
  <c r="K3944" i="1"/>
  <c r="J3945" i="1"/>
  <c r="K3945" i="1"/>
  <c r="J3946" i="1"/>
  <c r="K3946" i="1"/>
  <c r="J3947" i="1"/>
  <c r="K3947" i="1"/>
  <c r="J3948" i="1"/>
  <c r="K3948" i="1"/>
  <c r="J3949" i="1"/>
  <c r="K3949" i="1"/>
  <c r="J3950" i="1"/>
  <c r="K3950" i="1"/>
  <c r="J3951" i="1"/>
  <c r="K3951" i="1"/>
  <c r="J3952" i="1"/>
  <c r="K3952" i="1"/>
  <c r="J3953" i="1"/>
  <c r="K3953" i="1"/>
  <c r="J3954" i="1"/>
  <c r="K3954" i="1"/>
  <c r="J3955" i="1"/>
  <c r="K3955" i="1"/>
  <c r="J3956" i="1"/>
  <c r="K3956" i="1"/>
  <c r="J3957" i="1"/>
  <c r="K3957" i="1"/>
  <c r="J3958" i="1"/>
  <c r="K3958" i="1"/>
  <c r="J3959" i="1"/>
  <c r="K3959" i="1"/>
  <c r="J3960" i="1"/>
  <c r="K3960" i="1"/>
  <c r="J3961" i="1"/>
  <c r="K3961" i="1"/>
  <c r="J3962" i="1"/>
  <c r="K3962" i="1"/>
  <c r="J3963" i="1"/>
  <c r="K3963" i="1"/>
  <c r="J3964" i="1"/>
  <c r="K3964" i="1"/>
  <c r="J3965" i="1"/>
  <c r="K3965" i="1"/>
  <c r="J3966" i="1"/>
  <c r="K3966" i="1"/>
  <c r="J3967" i="1"/>
  <c r="K3967" i="1"/>
  <c r="J3968" i="1"/>
  <c r="K3968" i="1"/>
  <c r="J3969" i="1"/>
  <c r="K3969" i="1"/>
  <c r="J3970" i="1"/>
  <c r="K3970" i="1"/>
  <c r="J3971" i="1"/>
  <c r="K3971" i="1"/>
  <c r="J3972" i="1"/>
  <c r="K3972" i="1"/>
  <c r="J3973" i="1"/>
  <c r="K3973" i="1"/>
  <c r="J3974" i="1"/>
  <c r="K3974" i="1"/>
  <c r="J3975" i="1"/>
  <c r="K3975" i="1"/>
  <c r="J3976" i="1"/>
  <c r="K3976" i="1"/>
  <c r="J3977" i="1"/>
  <c r="K3977" i="1"/>
  <c r="J3978" i="1"/>
  <c r="K3978" i="1"/>
  <c r="J3979" i="1"/>
  <c r="K3979" i="1"/>
  <c r="J3980" i="1"/>
  <c r="K3980" i="1"/>
  <c r="J3981" i="1"/>
  <c r="K3981" i="1"/>
  <c r="J3982" i="1"/>
  <c r="K3982" i="1"/>
  <c r="J3983" i="1"/>
  <c r="K3983" i="1"/>
  <c r="J3984" i="1"/>
  <c r="K3984" i="1"/>
  <c r="J3985" i="1"/>
  <c r="K3985" i="1"/>
  <c r="J3986" i="1"/>
  <c r="K3986" i="1"/>
  <c r="J3987" i="1"/>
  <c r="K3987" i="1"/>
  <c r="J3988" i="1"/>
  <c r="K3988" i="1"/>
  <c r="J3989" i="1"/>
  <c r="K3989" i="1"/>
  <c r="J3990" i="1"/>
  <c r="K3990" i="1"/>
  <c r="J3991" i="1"/>
  <c r="K3991" i="1"/>
  <c r="J3992" i="1"/>
  <c r="K3992" i="1"/>
  <c r="J3993" i="1"/>
  <c r="K3993" i="1"/>
  <c r="J3994" i="1"/>
  <c r="K3994" i="1"/>
  <c r="J3995" i="1"/>
  <c r="K3995" i="1"/>
  <c r="J3996" i="1"/>
  <c r="K3996" i="1"/>
  <c r="J3997" i="1"/>
  <c r="K3997" i="1"/>
  <c r="J3998" i="1"/>
  <c r="K3998" i="1"/>
  <c r="J3999" i="1"/>
  <c r="K3999" i="1"/>
  <c r="J4000" i="1"/>
  <c r="K4000" i="1"/>
  <c r="J4001" i="1"/>
  <c r="K4001" i="1"/>
  <c r="J4002" i="1"/>
  <c r="K4002" i="1"/>
  <c r="J4003" i="1"/>
  <c r="K4003" i="1"/>
  <c r="J4004" i="1"/>
  <c r="K4004" i="1"/>
  <c r="J4005" i="1"/>
  <c r="K4005" i="1"/>
  <c r="J4006" i="1"/>
  <c r="K4006" i="1"/>
  <c r="J4007" i="1"/>
  <c r="K4007" i="1"/>
  <c r="J4008" i="1"/>
  <c r="K4008" i="1"/>
  <c r="J4009" i="1"/>
  <c r="K4009" i="1"/>
  <c r="J4010" i="1"/>
  <c r="K4010" i="1"/>
  <c r="J4011" i="1"/>
  <c r="K4011" i="1"/>
  <c r="J4012" i="1"/>
  <c r="K4012" i="1"/>
  <c r="J4013" i="1"/>
  <c r="K4013" i="1"/>
  <c r="J4014" i="1"/>
  <c r="K4014" i="1"/>
  <c r="J4015" i="1"/>
  <c r="K4015" i="1"/>
  <c r="J4016" i="1"/>
  <c r="K4016" i="1"/>
  <c r="J4017" i="1"/>
  <c r="K4017" i="1"/>
  <c r="J4018" i="1"/>
  <c r="K4018" i="1"/>
  <c r="J4019" i="1"/>
  <c r="K4019" i="1"/>
  <c r="J4020" i="1"/>
  <c r="K4020" i="1"/>
  <c r="J4021" i="1"/>
  <c r="K4021" i="1"/>
  <c r="J4022" i="1"/>
  <c r="K4022" i="1"/>
  <c r="J4023" i="1"/>
  <c r="K4023" i="1"/>
  <c r="J4024" i="1"/>
  <c r="K4024" i="1"/>
  <c r="J4025" i="1"/>
  <c r="K4025" i="1"/>
  <c r="J4026" i="1"/>
  <c r="K4026" i="1"/>
  <c r="J4027" i="1"/>
  <c r="K4027" i="1"/>
  <c r="J4028" i="1"/>
  <c r="K4028" i="1"/>
  <c r="J4029" i="1"/>
  <c r="K4029" i="1"/>
  <c r="J4030" i="1"/>
  <c r="K4030" i="1"/>
  <c r="J4031" i="1"/>
  <c r="K4031" i="1"/>
  <c r="J4032" i="1"/>
  <c r="K4032" i="1"/>
  <c r="J4033" i="1"/>
  <c r="K4033" i="1"/>
  <c r="J4034" i="1"/>
  <c r="K4034" i="1"/>
  <c r="J4035" i="1"/>
  <c r="K4035" i="1"/>
  <c r="J4036" i="1"/>
  <c r="K4036" i="1"/>
  <c r="J4037" i="1"/>
  <c r="K4037" i="1"/>
  <c r="J4038" i="1"/>
  <c r="K4038" i="1"/>
  <c r="J4039" i="1"/>
  <c r="K4039" i="1"/>
  <c r="J4040" i="1"/>
  <c r="K4040" i="1"/>
  <c r="J4041" i="1"/>
  <c r="K4041" i="1"/>
  <c r="J4042" i="1"/>
  <c r="K4042" i="1"/>
  <c r="J4043" i="1"/>
  <c r="K4043" i="1"/>
  <c r="J4044" i="1"/>
  <c r="K4044" i="1"/>
  <c r="J4045" i="1"/>
  <c r="K4045" i="1"/>
  <c r="J4046" i="1"/>
  <c r="K4046" i="1"/>
  <c r="J4047" i="1"/>
  <c r="K4047" i="1"/>
  <c r="J4048" i="1"/>
  <c r="K4048" i="1"/>
  <c r="J4049" i="1"/>
  <c r="K4049" i="1"/>
  <c r="J4050" i="1"/>
  <c r="K4050" i="1"/>
  <c r="J4051" i="1"/>
  <c r="K4051" i="1"/>
  <c r="J4052" i="1"/>
  <c r="K4052" i="1"/>
  <c r="J4053" i="1"/>
  <c r="K4053" i="1"/>
  <c r="J4054" i="1"/>
  <c r="K4054" i="1"/>
  <c r="J4055" i="1"/>
  <c r="K4055" i="1"/>
  <c r="J4056" i="1"/>
  <c r="K4056" i="1"/>
  <c r="J4057" i="1"/>
  <c r="K4057" i="1"/>
  <c r="J4058" i="1"/>
  <c r="K4058" i="1"/>
  <c r="J4059" i="1"/>
  <c r="K4059" i="1"/>
  <c r="J4060" i="1"/>
  <c r="K4060" i="1"/>
  <c r="J4061" i="1"/>
  <c r="K4061" i="1"/>
  <c r="J4062" i="1"/>
  <c r="K4062" i="1"/>
  <c r="J4063" i="1"/>
  <c r="K4063" i="1"/>
  <c r="J4064" i="1"/>
  <c r="K4064" i="1"/>
  <c r="J4065" i="1"/>
  <c r="K4065" i="1"/>
  <c r="J4066" i="1"/>
  <c r="K4066" i="1"/>
  <c r="J4067" i="1"/>
  <c r="K4067" i="1"/>
  <c r="J4068" i="1"/>
  <c r="K4068" i="1"/>
  <c r="J4069" i="1"/>
  <c r="K4069" i="1"/>
  <c r="J4070" i="1"/>
  <c r="K4070" i="1"/>
  <c r="J4071" i="1"/>
  <c r="K4071" i="1"/>
  <c r="J4072" i="1"/>
  <c r="K4072" i="1"/>
  <c r="J4073" i="1"/>
  <c r="K4073" i="1"/>
  <c r="J4074" i="1"/>
  <c r="K4074" i="1"/>
  <c r="J4075" i="1"/>
  <c r="K4075" i="1"/>
  <c r="J4076" i="1"/>
  <c r="K4076" i="1"/>
  <c r="J4077" i="1"/>
  <c r="K4077" i="1"/>
  <c r="J4078" i="1"/>
  <c r="K4078" i="1"/>
  <c r="J4079" i="1"/>
  <c r="K4079" i="1"/>
  <c r="J4080" i="1"/>
  <c r="K4080" i="1"/>
  <c r="J4081" i="1"/>
  <c r="K4081" i="1"/>
  <c r="J4082" i="1"/>
  <c r="K4082" i="1"/>
  <c r="J4083" i="1"/>
  <c r="K4083" i="1"/>
  <c r="J4084" i="1"/>
  <c r="K4084" i="1"/>
  <c r="J4085" i="1"/>
  <c r="K4085" i="1"/>
  <c r="J4086" i="1"/>
  <c r="K4086" i="1"/>
  <c r="J4087" i="1"/>
  <c r="K4087" i="1"/>
  <c r="J4088" i="1"/>
  <c r="K4088" i="1"/>
  <c r="J4089" i="1"/>
  <c r="K4089" i="1"/>
  <c r="J4090" i="1"/>
  <c r="K4090" i="1"/>
  <c r="J4091" i="1"/>
  <c r="K4091" i="1"/>
  <c r="J4092" i="1"/>
  <c r="K4092" i="1"/>
  <c r="J4093" i="1"/>
  <c r="K4093" i="1"/>
  <c r="J4094" i="1"/>
  <c r="K4094" i="1"/>
  <c r="J4095" i="1"/>
  <c r="K4095" i="1"/>
  <c r="J4096" i="1"/>
  <c r="K4096" i="1"/>
  <c r="J4097" i="1"/>
  <c r="K4097" i="1"/>
  <c r="J4098" i="1"/>
  <c r="K4098" i="1"/>
  <c r="J4099" i="1"/>
  <c r="K4099" i="1"/>
  <c r="J4100" i="1"/>
  <c r="K4100" i="1"/>
  <c r="J4101" i="1"/>
  <c r="K4101" i="1"/>
  <c r="J4102" i="1"/>
  <c r="K4102" i="1"/>
  <c r="J4103" i="1"/>
  <c r="K4103" i="1"/>
  <c r="J4104" i="1"/>
  <c r="K4104" i="1"/>
  <c r="J4105" i="1"/>
  <c r="K4105" i="1"/>
  <c r="J4106" i="1"/>
  <c r="K4106" i="1"/>
  <c r="J4107" i="1"/>
  <c r="K4107" i="1"/>
  <c r="J4108" i="1"/>
  <c r="K4108" i="1"/>
  <c r="J4109" i="1"/>
  <c r="K4109" i="1"/>
  <c r="J4110" i="1"/>
  <c r="K4110" i="1"/>
  <c r="J4111" i="1"/>
  <c r="K4111" i="1"/>
  <c r="J4112" i="1"/>
  <c r="K4112" i="1"/>
  <c r="J4113" i="1"/>
  <c r="K4113" i="1"/>
  <c r="J4114" i="1"/>
  <c r="K4114" i="1"/>
  <c r="J4115" i="1"/>
  <c r="K4115" i="1"/>
  <c r="J4116" i="1"/>
  <c r="K4116" i="1"/>
  <c r="J4117" i="1"/>
  <c r="K4117" i="1"/>
  <c r="J4118" i="1"/>
  <c r="K4118" i="1"/>
  <c r="J4119" i="1"/>
  <c r="K4119" i="1"/>
  <c r="J4120" i="1"/>
  <c r="K4120" i="1"/>
  <c r="J4121" i="1"/>
  <c r="K4121" i="1"/>
  <c r="J4122" i="1"/>
  <c r="K4122" i="1"/>
  <c r="J4123" i="1"/>
  <c r="K4123" i="1"/>
  <c r="J4124" i="1"/>
  <c r="K4124" i="1"/>
  <c r="J4125" i="1"/>
  <c r="K4125" i="1"/>
  <c r="J4126" i="1"/>
  <c r="K4126" i="1"/>
  <c r="J4127" i="1"/>
  <c r="K4127" i="1"/>
  <c r="J4128" i="1"/>
  <c r="K4128" i="1"/>
  <c r="J4129" i="1"/>
  <c r="K4129" i="1"/>
  <c r="J4130" i="1"/>
  <c r="K4130" i="1"/>
  <c r="J4131" i="1"/>
  <c r="K4131" i="1"/>
  <c r="J4132" i="1"/>
  <c r="K4132" i="1"/>
  <c r="J4133" i="1"/>
  <c r="K4133" i="1"/>
  <c r="J4134" i="1"/>
  <c r="K4134" i="1"/>
  <c r="J4135" i="1"/>
  <c r="K4135" i="1"/>
  <c r="J4136" i="1"/>
  <c r="K4136" i="1"/>
  <c r="J4137" i="1"/>
  <c r="K4137" i="1"/>
  <c r="J4138" i="1"/>
  <c r="K4138" i="1"/>
  <c r="J4139" i="1"/>
  <c r="K4139" i="1"/>
  <c r="J4140" i="1"/>
  <c r="K4140" i="1"/>
  <c r="J4141" i="1"/>
  <c r="K4141" i="1"/>
  <c r="J4142" i="1"/>
  <c r="K4142" i="1"/>
  <c r="J4143" i="1"/>
  <c r="K4143" i="1"/>
  <c r="J4144" i="1"/>
  <c r="K4144" i="1"/>
  <c r="J4145" i="1"/>
  <c r="K4145" i="1"/>
  <c r="J4146" i="1"/>
  <c r="K4146" i="1"/>
  <c r="J4147" i="1"/>
  <c r="K4147" i="1"/>
  <c r="J4148" i="1"/>
  <c r="K4148" i="1"/>
  <c r="J4149" i="1"/>
  <c r="K4149" i="1"/>
  <c r="J4150" i="1"/>
  <c r="K4150" i="1"/>
  <c r="J4151" i="1"/>
  <c r="K4151" i="1"/>
  <c r="J4152" i="1"/>
  <c r="K4152" i="1"/>
  <c r="J4153" i="1"/>
  <c r="K4153" i="1"/>
  <c r="J4154" i="1"/>
  <c r="K4154" i="1"/>
  <c r="J4155" i="1"/>
  <c r="K4155" i="1"/>
  <c r="J4156" i="1"/>
  <c r="K4156" i="1"/>
  <c r="J4157" i="1"/>
  <c r="K4157" i="1"/>
  <c r="J4158" i="1"/>
  <c r="K4158" i="1"/>
  <c r="J4159" i="1"/>
  <c r="K4159" i="1"/>
  <c r="J4160" i="1"/>
  <c r="K4160" i="1"/>
  <c r="J4161" i="1"/>
  <c r="K4161" i="1"/>
  <c r="J4162" i="1"/>
  <c r="K4162" i="1"/>
  <c r="J4163" i="1"/>
  <c r="K4163" i="1"/>
  <c r="J4164" i="1"/>
  <c r="K4164" i="1"/>
  <c r="J4165" i="1"/>
  <c r="K4165" i="1"/>
  <c r="J4166" i="1"/>
  <c r="K4166" i="1"/>
  <c r="J4167" i="1"/>
  <c r="K4167" i="1"/>
  <c r="J4168" i="1"/>
  <c r="K4168" i="1"/>
  <c r="J4169" i="1"/>
  <c r="K4169" i="1"/>
  <c r="J4170" i="1"/>
  <c r="K4170" i="1"/>
  <c r="J4171" i="1"/>
  <c r="K4171" i="1"/>
  <c r="J4172" i="1"/>
  <c r="K4172" i="1"/>
  <c r="J4173" i="1"/>
  <c r="K4173" i="1"/>
  <c r="J4174" i="1"/>
  <c r="K4174" i="1"/>
  <c r="J4175" i="1"/>
  <c r="K4175" i="1"/>
  <c r="J4176" i="1"/>
  <c r="K4176" i="1"/>
  <c r="J4177" i="1"/>
  <c r="K4177" i="1"/>
  <c r="J4178" i="1"/>
  <c r="K4178" i="1"/>
  <c r="J4179" i="1"/>
  <c r="K4179" i="1"/>
  <c r="J4180" i="1"/>
  <c r="K4180" i="1"/>
  <c r="J4181" i="1"/>
  <c r="K4181" i="1"/>
  <c r="J4182" i="1"/>
  <c r="K4182" i="1"/>
  <c r="J4183" i="1"/>
  <c r="K4183" i="1"/>
  <c r="J4184" i="1"/>
  <c r="K4184" i="1"/>
  <c r="J4185" i="1"/>
  <c r="K4185" i="1"/>
  <c r="J4186" i="1"/>
  <c r="K4186" i="1"/>
  <c r="J4187" i="1"/>
  <c r="K4187" i="1"/>
  <c r="J4188" i="1"/>
  <c r="K4188" i="1"/>
  <c r="J4189" i="1"/>
  <c r="K4189" i="1"/>
  <c r="J4190" i="1"/>
  <c r="K4190" i="1"/>
  <c r="J4191" i="1"/>
  <c r="K4191" i="1"/>
  <c r="J4192" i="1"/>
  <c r="K4192" i="1"/>
  <c r="J4193" i="1"/>
  <c r="K4193" i="1"/>
  <c r="J4194" i="1"/>
  <c r="K4194" i="1"/>
  <c r="J4195" i="1"/>
  <c r="K4195" i="1"/>
  <c r="J4196" i="1"/>
  <c r="K4196" i="1"/>
  <c r="J4197" i="1"/>
  <c r="K4197" i="1"/>
  <c r="J4198" i="1"/>
  <c r="K4198" i="1"/>
  <c r="J4199" i="1"/>
  <c r="K4199" i="1"/>
  <c r="J4200" i="1"/>
  <c r="K4200" i="1"/>
  <c r="J4201" i="1"/>
  <c r="K4201" i="1"/>
  <c r="J4202" i="1"/>
  <c r="K4202" i="1"/>
  <c r="J4203" i="1"/>
  <c r="K4203" i="1"/>
  <c r="J4204" i="1"/>
  <c r="K4204" i="1"/>
  <c r="J4205" i="1"/>
  <c r="K4205" i="1"/>
  <c r="J4206" i="1"/>
  <c r="K4206" i="1"/>
  <c r="J4207" i="1"/>
  <c r="K4207" i="1"/>
  <c r="J4208" i="1"/>
  <c r="K4208" i="1"/>
  <c r="J4209" i="1"/>
  <c r="K4209" i="1"/>
  <c r="J4210" i="1"/>
  <c r="K4210" i="1"/>
  <c r="J4211" i="1"/>
  <c r="K4211" i="1"/>
  <c r="J4212" i="1"/>
  <c r="K4212" i="1"/>
  <c r="J4213" i="1"/>
  <c r="K4213" i="1"/>
  <c r="J4214" i="1"/>
  <c r="K4214" i="1"/>
  <c r="J4215" i="1"/>
  <c r="K4215" i="1"/>
  <c r="J4216" i="1"/>
  <c r="K4216" i="1"/>
  <c r="J4217" i="1"/>
  <c r="K4217" i="1"/>
  <c r="J4218" i="1"/>
  <c r="K4218" i="1"/>
  <c r="J4219" i="1"/>
  <c r="K4219" i="1"/>
  <c r="J4220" i="1"/>
  <c r="K4220" i="1"/>
  <c r="J4221" i="1"/>
  <c r="K4221" i="1"/>
  <c r="J4222" i="1"/>
  <c r="K4222" i="1"/>
  <c r="J4223" i="1"/>
  <c r="K4223" i="1"/>
  <c r="J4224" i="1"/>
  <c r="K4224" i="1"/>
  <c r="J4225" i="1"/>
  <c r="K4225" i="1"/>
  <c r="J4226" i="1"/>
  <c r="K4226" i="1"/>
  <c r="J4227" i="1"/>
  <c r="K4227" i="1"/>
  <c r="J4228" i="1"/>
  <c r="K4228" i="1"/>
  <c r="J4229" i="1"/>
  <c r="K4229" i="1"/>
  <c r="J4230" i="1"/>
  <c r="K4230" i="1"/>
  <c r="J4231" i="1"/>
  <c r="K4231" i="1"/>
  <c r="J4232" i="1"/>
  <c r="K4232" i="1"/>
  <c r="J4233" i="1"/>
  <c r="K4233" i="1"/>
  <c r="J4234" i="1"/>
  <c r="K4234" i="1"/>
  <c r="J4235" i="1"/>
  <c r="K4235" i="1"/>
  <c r="J4236" i="1"/>
  <c r="K4236" i="1"/>
  <c r="J4237" i="1"/>
  <c r="K4237" i="1"/>
  <c r="J4238" i="1"/>
  <c r="K4238" i="1"/>
  <c r="J4239" i="1"/>
  <c r="K4239" i="1"/>
  <c r="J4240" i="1"/>
  <c r="K4240" i="1"/>
  <c r="J4241" i="1"/>
  <c r="K4241" i="1"/>
  <c r="J4242" i="1"/>
  <c r="K4242" i="1"/>
  <c r="J4243" i="1"/>
  <c r="K4243" i="1"/>
  <c r="J4244" i="1"/>
  <c r="K4244" i="1"/>
  <c r="J4245" i="1"/>
  <c r="K4245" i="1"/>
  <c r="J4246" i="1"/>
  <c r="K4246" i="1"/>
  <c r="J4247" i="1"/>
  <c r="K4247" i="1"/>
  <c r="J4248" i="1"/>
  <c r="K4248" i="1"/>
  <c r="J4249" i="1"/>
  <c r="K4249" i="1"/>
  <c r="J4250" i="1"/>
  <c r="K4250" i="1"/>
  <c r="J4251" i="1"/>
  <c r="K4251" i="1"/>
  <c r="J4252" i="1"/>
  <c r="K4252" i="1"/>
  <c r="J4253" i="1"/>
  <c r="K4253" i="1"/>
  <c r="J4254" i="1"/>
  <c r="K4254" i="1"/>
  <c r="J4255" i="1"/>
  <c r="K4255" i="1"/>
  <c r="J4256" i="1"/>
  <c r="K4256" i="1"/>
  <c r="J4257" i="1"/>
  <c r="K4257" i="1"/>
  <c r="J4258" i="1"/>
  <c r="K4258" i="1"/>
  <c r="J4259" i="1"/>
  <c r="K4259" i="1"/>
  <c r="J4260" i="1"/>
  <c r="K4260" i="1"/>
  <c r="J4261" i="1"/>
  <c r="K4261" i="1"/>
  <c r="J4262" i="1"/>
  <c r="K4262" i="1"/>
  <c r="J4263" i="1"/>
  <c r="K4263" i="1"/>
  <c r="J4264" i="1"/>
  <c r="K4264" i="1"/>
  <c r="J4265" i="1"/>
  <c r="K4265" i="1"/>
  <c r="J4266" i="1"/>
  <c r="K4266" i="1"/>
  <c r="J4267" i="1"/>
  <c r="K4267" i="1"/>
  <c r="J4268" i="1"/>
  <c r="K4268" i="1"/>
  <c r="J4269" i="1"/>
  <c r="K4269" i="1"/>
  <c r="J4270" i="1"/>
  <c r="K4270" i="1"/>
  <c r="J4271" i="1"/>
  <c r="K4271" i="1"/>
  <c r="J4272" i="1"/>
  <c r="K4272" i="1"/>
  <c r="J4273" i="1"/>
  <c r="K4273" i="1"/>
  <c r="J4274" i="1"/>
  <c r="K4274" i="1"/>
  <c r="J4275" i="1"/>
  <c r="K4275" i="1"/>
  <c r="J4276" i="1"/>
  <c r="K4276" i="1"/>
  <c r="J4277" i="1"/>
  <c r="K4277" i="1"/>
  <c r="J4278" i="1"/>
  <c r="K4278" i="1"/>
  <c r="J4279" i="1"/>
  <c r="K4279" i="1"/>
  <c r="J4280" i="1"/>
  <c r="K4280" i="1"/>
  <c r="J4281" i="1"/>
  <c r="K4281" i="1"/>
  <c r="J4282" i="1"/>
  <c r="K4282" i="1"/>
  <c r="J4283" i="1"/>
  <c r="K4283" i="1"/>
  <c r="J4284" i="1"/>
  <c r="K4284" i="1"/>
  <c r="J4285" i="1"/>
  <c r="K4285" i="1"/>
  <c r="J4286" i="1"/>
  <c r="K4286" i="1"/>
  <c r="J4287" i="1"/>
  <c r="K4287" i="1"/>
  <c r="J4288" i="1"/>
  <c r="K4288" i="1"/>
  <c r="J4289" i="1"/>
  <c r="K4289" i="1"/>
  <c r="J4290" i="1"/>
  <c r="K4290" i="1"/>
  <c r="J4291" i="1"/>
  <c r="K4291" i="1"/>
  <c r="J4292" i="1"/>
  <c r="K4292" i="1"/>
  <c r="J4293" i="1"/>
  <c r="K4293" i="1"/>
  <c r="J4294" i="1"/>
  <c r="K4294" i="1"/>
  <c r="J4295" i="1"/>
  <c r="K4295" i="1"/>
  <c r="J4296" i="1"/>
  <c r="K4296" i="1"/>
  <c r="J4297" i="1"/>
  <c r="K4297" i="1"/>
  <c r="J4298" i="1"/>
  <c r="K4298" i="1"/>
  <c r="J4299" i="1"/>
  <c r="K4299" i="1"/>
  <c r="J4300" i="1"/>
  <c r="K4300" i="1"/>
  <c r="J4301" i="1"/>
  <c r="K4301" i="1"/>
  <c r="J4302" i="1"/>
  <c r="K4302" i="1"/>
  <c r="J4303" i="1"/>
  <c r="K4303" i="1"/>
  <c r="J4304" i="1"/>
  <c r="K4304" i="1"/>
  <c r="J4305" i="1"/>
  <c r="K4305" i="1"/>
  <c r="J4306" i="1"/>
  <c r="K4306" i="1"/>
  <c r="J4307" i="1"/>
  <c r="K4307" i="1"/>
  <c r="J4308" i="1"/>
  <c r="K4308" i="1"/>
  <c r="J4309" i="1"/>
  <c r="K4309" i="1"/>
  <c r="J4310" i="1"/>
  <c r="K4310" i="1"/>
  <c r="J4311" i="1"/>
  <c r="K4311" i="1"/>
  <c r="J4312" i="1"/>
  <c r="K4312" i="1"/>
  <c r="J4313" i="1"/>
  <c r="K4313" i="1"/>
  <c r="J4314" i="1"/>
  <c r="K4314" i="1"/>
  <c r="J4315" i="1"/>
  <c r="K4315" i="1"/>
  <c r="J4316" i="1"/>
  <c r="K4316" i="1"/>
  <c r="J4317" i="1"/>
  <c r="K4317" i="1"/>
  <c r="J4318" i="1"/>
  <c r="K4318" i="1"/>
  <c r="J4319" i="1"/>
  <c r="K4319" i="1"/>
  <c r="J4320" i="1"/>
  <c r="K4320" i="1"/>
  <c r="J4321" i="1"/>
  <c r="K4321" i="1"/>
  <c r="J4322" i="1"/>
  <c r="K4322" i="1"/>
  <c r="J4323" i="1"/>
  <c r="K4323" i="1"/>
  <c r="J4324" i="1"/>
  <c r="K4324" i="1"/>
  <c r="J4325" i="1"/>
  <c r="K4325" i="1"/>
  <c r="J4326" i="1"/>
  <c r="K4326" i="1"/>
  <c r="J4327" i="1"/>
  <c r="K4327" i="1"/>
  <c r="J4328" i="1"/>
  <c r="K4328" i="1"/>
  <c r="J4329" i="1"/>
  <c r="K4329" i="1"/>
  <c r="J4330" i="1"/>
  <c r="K4330" i="1"/>
  <c r="J4331" i="1"/>
  <c r="K4331" i="1"/>
  <c r="J4332" i="1"/>
  <c r="K4332" i="1"/>
  <c r="J4333" i="1"/>
  <c r="K4333" i="1"/>
  <c r="J4334" i="1"/>
  <c r="K4334" i="1"/>
  <c r="J4335" i="1"/>
  <c r="K4335" i="1"/>
  <c r="J4336" i="1"/>
  <c r="K4336" i="1"/>
  <c r="J4337" i="1"/>
  <c r="K4337" i="1"/>
  <c r="J4338" i="1"/>
  <c r="K4338" i="1"/>
  <c r="J4339" i="1"/>
  <c r="K4339" i="1"/>
  <c r="J4340" i="1"/>
  <c r="K4340" i="1"/>
  <c r="J4341" i="1"/>
  <c r="K4341" i="1"/>
  <c r="J4342" i="1"/>
  <c r="K4342" i="1"/>
  <c r="J4343" i="1"/>
  <c r="K4343" i="1"/>
  <c r="J4344" i="1"/>
  <c r="K4344" i="1"/>
  <c r="J4345" i="1"/>
  <c r="K4345" i="1"/>
  <c r="J4346" i="1"/>
  <c r="K4346" i="1"/>
  <c r="J4347" i="1"/>
  <c r="K4347" i="1"/>
  <c r="J4348" i="1"/>
  <c r="K4348" i="1"/>
  <c r="J4349" i="1"/>
  <c r="K4349" i="1"/>
  <c r="J4350" i="1"/>
  <c r="K4350" i="1"/>
  <c r="J4351" i="1"/>
  <c r="K4351" i="1"/>
  <c r="J4352" i="1"/>
  <c r="K4352" i="1"/>
  <c r="J4353" i="1"/>
  <c r="K4353" i="1"/>
  <c r="J4354" i="1"/>
  <c r="K4354" i="1"/>
  <c r="J4355" i="1"/>
  <c r="K4355" i="1"/>
  <c r="J4356" i="1"/>
  <c r="K4356" i="1"/>
  <c r="J4357" i="1"/>
  <c r="K4357" i="1"/>
  <c r="J4358" i="1"/>
  <c r="K4358" i="1"/>
  <c r="J4359" i="1"/>
  <c r="K4359" i="1"/>
  <c r="J4360" i="1"/>
  <c r="K4360" i="1"/>
  <c r="J4361" i="1"/>
  <c r="K4361" i="1"/>
  <c r="J4362" i="1"/>
  <c r="K4362" i="1"/>
  <c r="J4363" i="1"/>
  <c r="K4363" i="1"/>
  <c r="J4364" i="1"/>
  <c r="K4364" i="1"/>
  <c r="J4365" i="1"/>
  <c r="K4365" i="1"/>
  <c r="J4366" i="1"/>
  <c r="K4366" i="1"/>
  <c r="J4367" i="1"/>
  <c r="K4367" i="1"/>
  <c r="J4368" i="1"/>
  <c r="K4368" i="1"/>
  <c r="J4369" i="1"/>
  <c r="K4369" i="1"/>
  <c r="J4370" i="1"/>
  <c r="K4370" i="1"/>
  <c r="J4371" i="1"/>
  <c r="K4371" i="1"/>
  <c r="J4372" i="1"/>
  <c r="K4372" i="1"/>
  <c r="J4373" i="1"/>
  <c r="K4373" i="1"/>
  <c r="J4374" i="1"/>
  <c r="K4374" i="1"/>
  <c r="J4375" i="1"/>
  <c r="K4375" i="1"/>
  <c r="J4376" i="1"/>
  <c r="K4376" i="1"/>
  <c r="J4377" i="1"/>
  <c r="K4377" i="1"/>
  <c r="J4378" i="1"/>
  <c r="K4378" i="1"/>
  <c r="J4379" i="1"/>
  <c r="K4379" i="1"/>
  <c r="J4380" i="1"/>
  <c r="K4380" i="1"/>
  <c r="J4381" i="1"/>
  <c r="K4381" i="1"/>
  <c r="J4382" i="1"/>
  <c r="K4382" i="1"/>
  <c r="J4383" i="1"/>
  <c r="K4383" i="1"/>
  <c r="J4384" i="1"/>
  <c r="K4384" i="1"/>
  <c r="J4385" i="1"/>
  <c r="K4385" i="1"/>
  <c r="J4386" i="1"/>
  <c r="K4386" i="1"/>
  <c r="J4387" i="1"/>
  <c r="K4387" i="1"/>
  <c r="J4388" i="1"/>
  <c r="K4388" i="1"/>
  <c r="J4389" i="1"/>
  <c r="K4389" i="1"/>
  <c r="J4390" i="1"/>
  <c r="K4390" i="1"/>
  <c r="J4391" i="1"/>
  <c r="K4391" i="1"/>
  <c r="J4392" i="1"/>
  <c r="K4392" i="1"/>
  <c r="J4393" i="1"/>
  <c r="K4393" i="1"/>
  <c r="J4394" i="1"/>
  <c r="K4394" i="1"/>
  <c r="J4395" i="1"/>
  <c r="K4395" i="1"/>
  <c r="J4396" i="1"/>
  <c r="K4396" i="1"/>
  <c r="J4397" i="1"/>
  <c r="K4397" i="1"/>
  <c r="J4398" i="1"/>
  <c r="K4398" i="1"/>
  <c r="J4399" i="1"/>
  <c r="K4399" i="1"/>
  <c r="J4400" i="1"/>
  <c r="K4400" i="1"/>
  <c r="J4401" i="1"/>
  <c r="K4401" i="1"/>
  <c r="J4402" i="1"/>
  <c r="K4402" i="1"/>
  <c r="J4403" i="1"/>
  <c r="K4403" i="1"/>
  <c r="J4404" i="1"/>
  <c r="K4404" i="1"/>
  <c r="J4405" i="1"/>
  <c r="K4405" i="1"/>
  <c r="J4406" i="1"/>
  <c r="K4406" i="1"/>
  <c r="J4407" i="1"/>
  <c r="K4407" i="1"/>
  <c r="J4408" i="1"/>
  <c r="K4408" i="1"/>
  <c r="J4409" i="1"/>
  <c r="K4409" i="1"/>
  <c r="J4410" i="1"/>
  <c r="K4410" i="1"/>
  <c r="J4411" i="1"/>
  <c r="K4411" i="1"/>
  <c r="J4412" i="1"/>
  <c r="K4412" i="1"/>
  <c r="J4413" i="1"/>
  <c r="K4413" i="1"/>
  <c r="J4414" i="1"/>
  <c r="K4414" i="1"/>
  <c r="J4415" i="1"/>
  <c r="K4415" i="1"/>
  <c r="J4416" i="1"/>
  <c r="K4416" i="1"/>
  <c r="J4417" i="1"/>
  <c r="K4417" i="1"/>
  <c r="J4418" i="1"/>
  <c r="K4418" i="1"/>
  <c r="J4419" i="1"/>
  <c r="K4419" i="1"/>
  <c r="J4420" i="1"/>
  <c r="K4420" i="1"/>
  <c r="J4421" i="1"/>
  <c r="K4421" i="1"/>
  <c r="J4422" i="1"/>
  <c r="K4422" i="1"/>
  <c r="J4423" i="1"/>
  <c r="K4423" i="1"/>
  <c r="J4424" i="1"/>
  <c r="K4424" i="1"/>
  <c r="J4425" i="1"/>
  <c r="K4425" i="1"/>
  <c r="J4426" i="1"/>
  <c r="K4426" i="1"/>
  <c r="J4427" i="1"/>
  <c r="K4427" i="1"/>
  <c r="J4428" i="1"/>
  <c r="K4428" i="1"/>
  <c r="J4429" i="1"/>
  <c r="K4429" i="1"/>
  <c r="J4430" i="1"/>
  <c r="K4430" i="1"/>
  <c r="J4431" i="1"/>
  <c r="K4431" i="1"/>
  <c r="J4432" i="1"/>
  <c r="K4432" i="1"/>
  <c r="J4433" i="1"/>
  <c r="K4433" i="1"/>
  <c r="J4434" i="1"/>
  <c r="K4434" i="1"/>
  <c r="J4435" i="1"/>
  <c r="K4435" i="1"/>
  <c r="J4436" i="1"/>
  <c r="K4436" i="1"/>
  <c r="J4437" i="1"/>
  <c r="K4437" i="1"/>
  <c r="J4438" i="1"/>
  <c r="K4438" i="1"/>
  <c r="J4439" i="1"/>
  <c r="K4439" i="1"/>
  <c r="J4440" i="1"/>
  <c r="K4440" i="1"/>
  <c r="J4441" i="1"/>
  <c r="K4441" i="1"/>
  <c r="J4442" i="1"/>
  <c r="K4442" i="1"/>
  <c r="J4443" i="1"/>
  <c r="K4443" i="1"/>
  <c r="J4444" i="1"/>
  <c r="K4444" i="1"/>
  <c r="J4445" i="1"/>
  <c r="K4445" i="1"/>
  <c r="J4446" i="1"/>
  <c r="K4446" i="1"/>
  <c r="J4447" i="1"/>
  <c r="K4447" i="1"/>
  <c r="J4448" i="1"/>
  <c r="K4448" i="1"/>
  <c r="J4449" i="1"/>
  <c r="K4449" i="1"/>
  <c r="J4450" i="1"/>
  <c r="K4450" i="1"/>
  <c r="J4451" i="1"/>
  <c r="K4451" i="1"/>
  <c r="J4452" i="1"/>
  <c r="K4452" i="1"/>
  <c r="J4453" i="1"/>
  <c r="K4453" i="1"/>
  <c r="J4454" i="1"/>
  <c r="K4454" i="1"/>
  <c r="J4455" i="1"/>
  <c r="K4455" i="1"/>
  <c r="J4456" i="1"/>
  <c r="K4456" i="1"/>
  <c r="J4457" i="1"/>
  <c r="K4457" i="1"/>
  <c r="J4458" i="1"/>
  <c r="K4458" i="1"/>
  <c r="J4459" i="1"/>
  <c r="K4459" i="1"/>
  <c r="J4460" i="1"/>
  <c r="K4460" i="1"/>
  <c r="J4461" i="1"/>
  <c r="K4461" i="1"/>
  <c r="J4462" i="1"/>
  <c r="K4462" i="1"/>
  <c r="J4463" i="1"/>
  <c r="K4463" i="1"/>
  <c r="J4464" i="1"/>
  <c r="K4464" i="1"/>
  <c r="J4465" i="1"/>
  <c r="K4465" i="1"/>
  <c r="J4466" i="1"/>
  <c r="K4466" i="1"/>
  <c r="J4467" i="1"/>
  <c r="K4467" i="1"/>
  <c r="J4468" i="1"/>
  <c r="K4468" i="1"/>
  <c r="J4469" i="1"/>
  <c r="K4469" i="1"/>
  <c r="J4470" i="1"/>
  <c r="K4470" i="1"/>
  <c r="J4471" i="1"/>
  <c r="K4471" i="1"/>
  <c r="J4472" i="1"/>
  <c r="K4472" i="1"/>
  <c r="J4473" i="1"/>
  <c r="K4473" i="1"/>
  <c r="J4474" i="1"/>
  <c r="K4474" i="1"/>
  <c r="J4475" i="1"/>
  <c r="K4475" i="1"/>
  <c r="J4476" i="1"/>
  <c r="K4476" i="1"/>
  <c r="J4477" i="1"/>
  <c r="K4477" i="1"/>
  <c r="J4478" i="1"/>
  <c r="K4478" i="1"/>
  <c r="J4479" i="1"/>
  <c r="K4479" i="1"/>
  <c r="J4480" i="1"/>
  <c r="K4480" i="1"/>
  <c r="J4481" i="1"/>
  <c r="K4481" i="1"/>
  <c r="J4482" i="1"/>
  <c r="K4482" i="1"/>
  <c r="J4483" i="1"/>
  <c r="K4483" i="1"/>
  <c r="J4484" i="1"/>
  <c r="K4484" i="1"/>
  <c r="J4485" i="1"/>
  <c r="K4485" i="1"/>
  <c r="J4486" i="1"/>
  <c r="K4486" i="1"/>
  <c r="J4487" i="1"/>
  <c r="K4487" i="1"/>
  <c r="J4488" i="1"/>
  <c r="K4488" i="1"/>
  <c r="J4489" i="1"/>
  <c r="K4489" i="1"/>
  <c r="J4490" i="1"/>
  <c r="K4490" i="1"/>
  <c r="J4491" i="1"/>
  <c r="K4491" i="1"/>
  <c r="J4492" i="1"/>
  <c r="K4492" i="1"/>
  <c r="J4493" i="1"/>
  <c r="K4493" i="1"/>
  <c r="J4494" i="1"/>
  <c r="K4494" i="1"/>
  <c r="J4495" i="1"/>
  <c r="K4495" i="1"/>
  <c r="J4496" i="1"/>
  <c r="K4496" i="1"/>
  <c r="J4497" i="1"/>
  <c r="K4497" i="1"/>
  <c r="J4498" i="1"/>
  <c r="K4498" i="1"/>
  <c r="J4499" i="1"/>
  <c r="K4499" i="1"/>
  <c r="J4500" i="1"/>
  <c r="K4500" i="1"/>
  <c r="J4501" i="1"/>
  <c r="K4501" i="1"/>
  <c r="J4502" i="1"/>
  <c r="K4502" i="1"/>
  <c r="J4503" i="1"/>
  <c r="K4503" i="1"/>
  <c r="J4504" i="1"/>
  <c r="K4504" i="1"/>
  <c r="J4505" i="1"/>
  <c r="K4505" i="1"/>
  <c r="J4506" i="1"/>
  <c r="K4506" i="1"/>
  <c r="J4507" i="1"/>
  <c r="K4507" i="1"/>
  <c r="J4508" i="1"/>
  <c r="K4508" i="1"/>
  <c r="J4509" i="1"/>
  <c r="K4509" i="1"/>
  <c r="J4510" i="1"/>
  <c r="K4510" i="1"/>
  <c r="J4511" i="1"/>
  <c r="K4511" i="1"/>
  <c r="J4512" i="1"/>
  <c r="K4512" i="1"/>
  <c r="J4513" i="1"/>
  <c r="K4513" i="1"/>
  <c r="J4514" i="1"/>
  <c r="K4514" i="1"/>
  <c r="J4515" i="1"/>
  <c r="K4515" i="1"/>
  <c r="J4516" i="1"/>
  <c r="K4516" i="1"/>
  <c r="J4517" i="1"/>
  <c r="K4517" i="1"/>
  <c r="J4518" i="1"/>
  <c r="K4518" i="1"/>
  <c r="J4519" i="1"/>
  <c r="K4519" i="1"/>
  <c r="J4520" i="1"/>
  <c r="K4520" i="1"/>
  <c r="J4521" i="1"/>
  <c r="K4521" i="1"/>
  <c r="J4522" i="1"/>
  <c r="K4522" i="1"/>
  <c r="J4523" i="1"/>
  <c r="K4523" i="1"/>
  <c r="J4524" i="1"/>
  <c r="K4524" i="1"/>
  <c r="J4525" i="1"/>
  <c r="K4525" i="1"/>
  <c r="J4526" i="1"/>
  <c r="K4526" i="1"/>
  <c r="J4527" i="1"/>
  <c r="K4527" i="1"/>
  <c r="J4528" i="1"/>
  <c r="K4528" i="1"/>
  <c r="J4529" i="1"/>
  <c r="K4529" i="1"/>
  <c r="J4530" i="1"/>
  <c r="K4530" i="1"/>
  <c r="J4531" i="1"/>
  <c r="K4531" i="1"/>
  <c r="J4532" i="1"/>
  <c r="K4532" i="1"/>
  <c r="J4533" i="1"/>
  <c r="K4533" i="1"/>
  <c r="J4534" i="1"/>
  <c r="K4534" i="1"/>
  <c r="J4535" i="1"/>
  <c r="K4535" i="1"/>
  <c r="J4536" i="1"/>
  <c r="K4536" i="1"/>
  <c r="J4537" i="1"/>
  <c r="K4537" i="1"/>
  <c r="J4538" i="1"/>
  <c r="K4538" i="1"/>
  <c r="J4539" i="1"/>
  <c r="K4539" i="1"/>
  <c r="J4540" i="1"/>
  <c r="K4540" i="1"/>
  <c r="J4541" i="1"/>
  <c r="K4541" i="1"/>
  <c r="J4542" i="1"/>
  <c r="K4542" i="1"/>
  <c r="J4543" i="1"/>
  <c r="K4543" i="1"/>
  <c r="J4544" i="1"/>
  <c r="K4544" i="1"/>
  <c r="J4545" i="1"/>
  <c r="K4545" i="1"/>
  <c r="J4546" i="1"/>
  <c r="K4546" i="1"/>
  <c r="J4547" i="1"/>
  <c r="K4547" i="1"/>
  <c r="J4548" i="1"/>
  <c r="K4548" i="1"/>
  <c r="J4549" i="1"/>
  <c r="K4549" i="1"/>
  <c r="J4550" i="1"/>
  <c r="K4550" i="1"/>
  <c r="J4551" i="1"/>
  <c r="K4551" i="1"/>
  <c r="J4552" i="1"/>
  <c r="K4552" i="1"/>
  <c r="J4553" i="1"/>
  <c r="K4553" i="1"/>
  <c r="J4554" i="1"/>
  <c r="K4554" i="1"/>
  <c r="J4555" i="1"/>
  <c r="K4555" i="1"/>
  <c r="J4556" i="1"/>
  <c r="K4556" i="1"/>
  <c r="J4557" i="1"/>
  <c r="K4557" i="1"/>
  <c r="J4558" i="1"/>
  <c r="K4558" i="1"/>
  <c r="J4559" i="1"/>
  <c r="K4559" i="1"/>
  <c r="J4560" i="1"/>
  <c r="K4560" i="1"/>
  <c r="J4561" i="1"/>
  <c r="K4561" i="1"/>
  <c r="J4562" i="1"/>
  <c r="K4562" i="1"/>
  <c r="J4563" i="1"/>
  <c r="K4563" i="1"/>
  <c r="J4564" i="1"/>
  <c r="K4564" i="1"/>
  <c r="J4565" i="1"/>
  <c r="K4565" i="1"/>
  <c r="J4566" i="1"/>
  <c r="K4566" i="1"/>
  <c r="J4567" i="1"/>
  <c r="K4567" i="1"/>
  <c r="J4568" i="1"/>
  <c r="K4568" i="1"/>
  <c r="J4569" i="1"/>
  <c r="K4569" i="1"/>
  <c r="J4570" i="1"/>
  <c r="K4570" i="1"/>
  <c r="J4571" i="1"/>
  <c r="K4571" i="1"/>
  <c r="J4572" i="1"/>
  <c r="K4572" i="1"/>
  <c r="J4573" i="1"/>
  <c r="K4573" i="1"/>
  <c r="J4574" i="1"/>
  <c r="K4574" i="1"/>
  <c r="J4575" i="1"/>
  <c r="K4575" i="1"/>
  <c r="J4576" i="1"/>
  <c r="K4576" i="1"/>
  <c r="J4577" i="1"/>
  <c r="K4577" i="1"/>
  <c r="J4578" i="1"/>
  <c r="K4578" i="1"/>
  <c r="J4579" i="1"/>
  <c r="K4579" i="1"/>
  <c r="J4580" i="1"/>
  <c r="K4580" i="1"/>
  <c r="J4581" i="1"/>
  <c r="K4581" i="1"/>
  <c r="J4582" i="1"/>
  <c r="K4582" i="1"/>
  <c r="J4583" i="1"/>
  <c r="K4583" i="1"/>
  <c r="J4584" i="1"/>
  <c r="K4584" i="1"/>
  <c r="J4585" i="1"/>
  <c r="K4585" i="1"/>
  <c r="J4586" i="1"/>
  <c r="K4586" i="1"/>
  <c r="J4587" i="1"/>
  <c r="K4587" i="1"/>
  <c r="J4588" i="1"/>
  <c r="K4588" i="1"/>
  <c r="J4589" i="1"/>
  <c r="K4589" i="1"/>
  <c r="J4590" i="1"/>
  <c r="K4590" i="1"/>
  <c r="J4591" i="1"/>
  <c r="K4591" i="1"/>
  <c r="J4592" i="1"/>
  <c r="K4592" i="1"/>
  <c r="J4593" i="1"/>
  <c r="K4593" i="1"/>
  <c r="J4594" i="1"/>
  <c r="K4594" i="1"/>
  <c r="J4595" i="1"/>
  <c r="K4595" i="1"/>
  <c r="J4596" i="1"/>
  <c r="K4596" i="1"/>
  <c r="J4597" i="1"/>
  <c r="K4597" i="1"/>
  <c r="J4598" i="1"/>
  <c r="K4598" i="1"/>
  <c r="J4599" i="1"/>
  <c r="K4599" i="1"/>
  <c r="J4600" i="1"/>
  <c r="K4600" i="1"/>
  <c r="J4601" i="1"/>
  <c r="K4601" i="1"/>
  <c r="J4602" i="1"/>
  <c r="K4602" i="1"/>
  <c r="J4603" i="1"/>
  <c r="K4603" i="1"/>
  <c r="J4604" i="1"/>
  <c r="K4604" i="1"/>
  <c r="J4605" i="1"/>
  <c r="K4605" i="1"/>
  <c r="J4606" i="1"/>
  <c r="K4606" i="1"/>
  <c r="J4607" i="1"/>
  <c r="K4607" i="1"/>
  <c r="J4608" i="1"/>
  <c r="K4608" i="1"/>
  <c r="J4609" i="1"/>
  <c r="K4609" i="1"/>
  <c r="J4610" i="1"/>
  <c r="K4610" i="1"/>
  <c r="J4611" i="1"/>
  <c r="K4611" i="1"/>
  <c r="J4612" i="1"/>
  <c r="K4612" i="1"/>
  <c r="J4613" i="1"/>
  <c r="K4613" i="1"/>
  <c r="J4614" i="1"/>
  <c r="K4614" i="1"/>
  <c r="J4615" i="1"/>
  <c r="K4615" i="1"/>
  <c r="J4616" i="1"/>
  <c r="K4616" i="1"/>
  <c r="J4617" i="1"/>
  <c r="K4617" i="1"/>
  <c r="J4618" i="1"/>
  <c r="K4618" i="1"/>
  <c r="J4619" i="1"/>
  <c r="K4619" i="1"/>
  <c r="J4620" i="1"/>
  <c r="K4620" i="1"/>
  <c r="J4621" i="1"/>
  <c r="K4621" i="1"/>
  <c r="J4622" i="1"/>
  <c r="K4622" i="1"/>
  <c r="J4623" i="1"/>
  <c r="K4623" i="1"/>
  <c r="J4624" i="1"/>
  <c r="K4624" i="1"/>
  <c r="J4625" i="1"/>
  <c r="K4625" i="1"/>
  <c r="J4626" i="1"/>
  <c r="K4626" i="1"/>
  <c r="J4627" i="1"/>
  <c r="K4627" i="1"/>
  <c r="J4628" i="1"/>
  <c r="K4628" i="1"/>
  <c r="J4629" i="1"/>
  <c r="K4629" i="1"/>
  <c r="J4630" i="1"/>
  <c r="K4630" i="1"/>
  <c r="J4631" i="1"/>
  <c r="K4631" i="1"/>
  <c r="J4632" i="1"/>
  <c r="K4632" i="1"/>
  <c r="J4633" i="1"/>
  <c r="K4633" i="1"/>
  <c r="J4634" i="1"/>
  <c r="K4634" i="1"/>
  <c r="J4635" i="1"/>
  <c r="K4635" i="1"/>
  <c r="J4636" i="1"/>
  <c r="K4636" i="1"/>
  <c r="J4637" i="1"/>
  <c r="K4637" i="1"/>
  <c r="J4638" i="1"/>
  <c r="K4638" i="1"/>
  <c r="J4639" i="1"/>
  <c r="K4639" i="1"/>
  <c r="J4640" i="1"/>
  <c r="K4640" i="1"/>
  <c r="J4641" i="1"/>
  <c r="K4641" i="1"/>
  <c r="J4642" i="1"/>
  <c r="K4642" i="1"/>
  <c r="J4643" i="1"/>
  <c r="K4643" i="1"/>
  <c r="J4644" i="1"/>
  <c r="K4644" i="1"/>
  <c r="J4645" i="1"/>
  <c r="K4645" i="1"/>
  <c r="J4646" i="1"/>
  <c r="K4646" i="1"/>
  <c r="J4647" i="1"/>
  <c r="K4647" i="1"/>
  <c r="J4648" i="1"/>
  <c r="K4648" i="1"/>
  <c r="J4649" i="1"/>
  <c r="K4649" i="1"/>
  <c r="J4650" i="1"/>
  <c r="K4650" i="1"/>
  <c r="J4651" i="1"/>
  <c r="K4651" i="1"/>
  <c r="J4652" i="1"/>
  <c r="K4652" i="1"/>
  <c r="J4653" i="1"/>
  <c r="K4653" i="1"/>
  <c r="J4654" i="1"/>
  <c r="K4654" i="1"/>
  <c r="J4655" i="1"/>
  <c r="K4655" i="1"/>
  <c r="J4656" i="1"/>
  <c r="K4656" i="1"/>
  <c r="J4657" i="1"/>
  <c r="K4657" i="1"/>
  <c r="J4658" i="1"/>
  <c r="K4658" i="1"/>
  <c r="J4659" i="1"/>
  <c r="K4659" i="1"/>
  <c r="J4660" i="1"/>
  <c r="K4660" i="1"/>
  <c r="J4661" i="1"/>
  <c r="K4661" i="1"/>
  <c r="J4662" i="1"/>
  <c r="K4662" i="1"/>
  <c r="J4663" i="1"/>
  <c r="K4663" i="1"/>
  <c r="J4664" i="1"/>
  <c r="K4664" i="1"/>
  <c r="J4665" i="1"/>
  <c r="K4665" i="1"/>
  <c r="J4666" i="1"/>
  <c r="K4666" i="1"/>
  <c r="J4667" i="1"/>
  <c r="K4667" i="1"/>
  <c r="J4668" i="1"/>
  <c r="K4668" i="1"/>
  <c r="J4669" i="1"/>
  <c r="K4669" i="1"/>
  <c r="J4670" i="1"/>
  <c r="K4670" i="1"/>
  <c r="J4671" i="1"/>
  <c r="K4671" i="1"/>
  <c r="J4672" i="1"/>
  <c r="K4672" i="1"/>
  <c r="J4673" i="1"/>
  <c r="K4673" i="1"/>
  <c r="J4674" i="1"/>
  <c r="K4674" i="1"/>
  <c r="J4675" i="1"/>
  <c r="K4675" i="1"/>
  <c r="J4676" i="1"/>
  <c r="K4676" i="1"/>
  <c r="J4677" i="1"/>
  <c r="K4677" i="1"/>
  <c r="J4678" i="1"/>
  <c r="K4678" i="1"/>
  <c r="J4679" i="1"/>
  <c r="K4679" i="1"/>
  <c r="J4680" i="1"/>
  <c r="K4680" i="1"/>
  <c r="J4681" i="1"/>
  <c r="K4681" i="1"/>
  <c r="J4682" i="1"/>
  <c r="K4682" i="1"/>
  <c r="J4683" i="1"/>
  <c r="K4683" i="1"/>
  <c r="J4684" i="1"/>
  <c r="K4684" i="1"/>
  <c r="J4685" i="1"/>
  <c r="K4685" i="1"/>
  <c r="J4686" i="1"/>
  <c r="K4686" i="1"/>
  <c r="J4687" i="1"/>
  <c r="K4687" i="1"/>
  <c r="J4688" i="1"/>
  <c r="K4688" i="1"/>
  <c r="J4689" i="1"/>
  <c r="K4689" i="1"/>
  <c r="J4690" i="1"/>
  <c r="K4690" i="1"/>
  <c r="J4691" i="1"/>
  <c r="K4691" i="1"/>
  <c r="J4692" i="1"/>
  <c r="K4692" i="1"/>
  <c r="J4693" i="1"/>
  <c r="K4693" i="1"/>
  <c r="J4694" i="1"/>
  <c r="K4694" i="1"/>
  <c r="J4695" i="1"/>
  <c r="K4695" i="1"/>
  <c r="J4696" i="1"/>
  <c r="K4696" i="1"/>
  <c r="J4697" i="1"/>
  <c r="K4697" i="1"/>
  <c r="J4698" i="1"/>
  <c r="K4698" i="1"/>
  <c r="J4699" i="1"/>
  <c r="K4699" i="1"/>
  <c r="J4700" i="1"/>
  <c r="K4700" i="1"/>
  <c r="J4701" i="1"/>
  <c r="K4701" i="1"/>
  <c r="J4702" i="1"/>
  <c r="K4702" i="1"/>
  <c r="J4703" i="1"/>
  <c r="K4703" i="1"/>
  <c r="J4704" i="1"/>
  <c r="K4704" i="1"/>
  <c r="J4705" i="1"/>
  <c r="K4705" i="1"/>
  <c r="J4706" i="1"/>
  <c r="K4706" i="1"/>
  <c r="J4707" i="1"/>
  <c r="K4707" i="1"/>
  <c r="J4708" i="1"/>
  <c r="K4708" i="1"/>
  <c r="J4709" i="1"/>
  <c r="K4709" i="1"/>
  <c r="J4710" i="1"/>
  <c r="K4710" i="1"/>
  <c r="J4711" i="1"/>
  <c r="K4711" i="1"/>
  <c r="J4712" i="1"/>
  <c r="K4712" i="1"/>
  <c r="J4713" i="1"/>
  <c r="K4713" i="1"/>
  <c r="J4714" i="1"/>
  <c r="K4714" i="1"/>
  <c r="J4715" i="1"/>
  <c r="K4715" i="1"/>
  <c r="J4716" i="1"/>
  <c r="K4716" i="1"/>
  <c r="J4717" i="1"/>
  <c r="K4717" i="1"/>
  <c r="J4718" i="1"/>
  <c r="K4718" i="1"/>
  <c r="J4719" i="1"/>
  <c r="K4719" i="1"/>
  <c r="J4720" i="1"/>
  <c r="K4720" i="1"/>
  <c r="J4721" i="1"/>
  <c r="K4721" i="1"/>
  <c r="J4722" i="1"/>
  <c r="K4722" i="1"/>
  <c r="J4723" i="1"/>
  <c r="K4723" i="1"/>
  <c r="J4724" i="1"/>
  <c r="K4724" i="1"/>
  <c r="J4725" i="1"/>
  <c r="K4725" i="1"/>
  <c r="J4726" i="1"/>
  <c r="K4726" i="1"/>
  <c r="J4727" i="1"/>
  <c r="K4727" i="1"/>
  <c r="J4728" i="1"/>
  <c r="K4728" i="1"/>
  <c r="J4729" i="1"/>
  <c r="K4729" i="1"/>
  <c r="J4730" i="1"/>
  <c r="K4730" i="1"/>
  <c r="J4731" i="1"/>
  <c r="K4731" i="1"/>
  <c r="J4732" i="1"/>
  <c r="K4732" i="1"/>
  <c r="J4733" i="1"/>
  <c r="K4733" i="1"/>
  <c r="J4734" i="1"/>
  <c r="K4734" i="1"/>
  <c r="J4735" i="1"/>
  <c r="K4735" i="1"/>
  <c r="J4736" i="1"/>
  <c r="K4736" i="1"/>
  <c r="J4737" i="1"/>
  <c r="K4737" i="1"/>
  <c r="J4738" i="1"/>
  <c r="K4738" i="1"/>
  <c r="J4739" i="1"/>
  <c r="K4739" i="1"/>
  <c r="J4740" i="1"/>
  <c r="K4740" i="1"/>
  <c r="J4741" i="1"/>
  <c r="K4741" i="1"/>
  <c r="J4742" i="1"/>
  <c r="K4742" i="1"/>
  <c r="J4743" i="1"/>
  <c r="K4743" i="1"/>
  <c r="J4744" i="1"/>
  <c r="K4744" i="1"/>
  <c r="J4745" i="1"/>
  <c r="K4745" i="1"/>
  <c r="J4746" i="1"/>
  <c r="K4746" i="1"/>
  <c r="J4747" i="1"/>
  <c r="K4747" i="1"/>
  <c r="J4748" i="1"/>
  <c r="K4748" i="1"/>
  <c r="J4749" i="1"/>
  <c r="K4749" i="1"/>
  <c r="J4750" i="1"/>
  <c r="K4750" i="1"/>
  <c r="J4751" i="1"/>
  <c r="K4751" i="1"/>
  <c r="J4752" i="1"/>
  <c r="K4752" i="1"/>
  <c r="J4753" i="1"/>
  <c r="K4753" i="1"/>
  <c r="J4754" i="1"/>
  <c r="K4754" i="1"/>
  <c r="J4755" i="1"/>
  <c r="K4755" i="1"/>
  <c r="J4756" i="1"/>
  <c r="K4756" i="1"/>
  <c r="J4757" i="1"/>
  <c r="K4757" i="1"/>
  <c r="J4758" i="1"/>
  <c r="K4758" i="1"/>
  <c r="J4759" i="1"/>
  <c r="K4759" i="1"/>
  <c r="J4760" i="1"/>
  <c r="K4760" i="1"/>
  <c r="J4761" i="1"/>
  <c r="K4761" i="1"/>
  <c r="J4762" i="1"/>
  <c r="K4762" i="1"/>
  <c r="J4763" i="1"/>
  <c r="K4763" i="1"/>
  <c r="J4764" i="1"/>
  <c r="K4764" i="1"/>
  <c r="J4765" i="1"/>
  <c r="K4765" i="1"/>
  <c r="J4766" i="1"/>
  <c r="K4766" i="1"/>
  <c r="J4767" i="1"/>
  <c r="K4767" i="1"/>
  <c r="J4768" i="1"/>
  <c r="K4768" i="1"/>
  <c r="J4769" i="1"/>
  <c r="K4769" i="1"/>
  <c r="J4770" i="1"/>
  <c r="K4770" i="1"/>
  <c r="J4771" i="1"/>
  <c r="K4771" i="1"/>
  <c r="J4772" i="1"/>
  <c r="K4772" i="1"/>
  <c r="J4773" i="1"/>
  <c r="K4773" i="1"/>
  <c r="J4774" i="1"/>
  <c r="K4774" i="1"/>
  <c r="J4775" i="1"/>
  <c r="K4775" i="1"/>
  <c r="J4776" i="1"/>
  <c r="K4776" i="1"/>
  <c r="J4777" i="1"/>
  <c r="K4777" i="1"/>
  <c r="J4778" i="1"/>
  <c r="K4778" i="1"/>
  <c r="J4779" i="1"/>
  <c r="K4779" i="1"/>
  <c r="J4780" i="1"/>
  <c r="K4780" i="1"/>
  <c r="J4781" i="1"/>
  <c r="K4781" i="1"/>
  <c r="J4782" i="1"/>
  <c r="K4782" i="1"/>
  <c r="J4783" i="1"/>
  <c r="K4783" i="1"/>
  <c r="J4784" i="1"/>
  <c r="K4784" i="1"/>
  <c r="J4785" i="1"/>
  <c r="K4785" i="1"/>
  <c r="J4786" i="1"/>
  <c r="K4786" i="1"/>
  <c r="J4787" i="1"/>
  <c r="K4787" i="1"/>
  <c r="J4788" i="1"/>
  <c r="K4788" i="1"/>
  <c r="J4789" i="1"/>
  <c r="K4789" i="1"/>
  <c r="J4790" i="1"/>
  <c r="K4790" i="1"/>
  <c r="J4791" i="1"/>
  <c r="K4791" i="1"/>
  <c r="J4792" i="1"/>
  <c r="K4792" i="1"/>
  <c r="J4793" i="1"/>
  <c r="K4793" i="1"/>
  <c r="J4794" i="1"/>
  <c r="K4794" i="1"/>
  <c r="J4795" i="1"/>
  <c r="K4795" i="1"/>
  <c r="J4796" i="1"/>
  <c r="K4796" i="1"/>
  <c r="J4797" i="1"/>
  <c r="K4797" i="1"/>
  <c r="J4798" i="1"/>
  <c r="K4798" i="1"/>
  <c r="J4799" i="1"/>
  <c r="K4799" i="1"/>
  <c r="J4800" i="1"/>
  <c r="K4800" i="1"/>
  <c r="J4801" i="1"/>
  <c r="K4801" i="1"/>
  <c r="J4802" i="1"/>
  <c r="K4802" i="1"/>
  <c r="J4803" i="1"/>
  <c r="K4803" i="1"/>
  <c r="J4804" i="1"/>
  <c r="K4804" i="1"/>
  <c r="J4805" i="1"/>
  <c r="K4805" i="1"/>
  <c r="J4806" i="1"/>
  <c r="K4806" i="1"/>
  <c r="J4807" i="1"/>
  <c r="K4807" i="1"/>
  <c r="J4808" i="1"/>
  <c r="K4808" i="1"/>
  <c r="J4809" i="1"/>
  <c r="K4809" i="1"/>
  <c r="J4810" i="1"/>
  <c r="K4810" i="1"/>
  <c r="J4811" i="1"/>
  <c r="K4811" i="1"/>
  <c r="J4812" i="1"/>
  <c r="K4812" i="1"/>
  <c r="J4813" i="1"/>
  <c r="K4813" i="1"/>
  <c r="J4814" i="1"/>
  <c r="K4814" i="1"/>
  <c r="J4815" i="1"/>
  <c r="K4815" i="1"/>
  <c r="J4816" i="1"/>
  <c r="K4816" i="1"/>
  <c r="J4817" i="1"/>
  <c r="K4817" i="1"/>
  <c r="J4818" i="1"/>
  <c r="K4818" i="1"/>
  <c r="J4819" i="1"/>
  <c r="K4819" i="1"/>
  <c r="J4820" i="1"/>
  <c r="K4820" i="1"/>
  <c r="J4821" i="1"/>
  <c r="K4821" i="1"/>
  <c r="J4822" i="1"/>
  <c r="K4822" i="1"/>
  <c r="J4823" i="1"/>
  <c r="K4823" i="1"/>
  <c r="J4824" i="1"/>
  <c r="K4824" i="1"/>
  <c r="J4825" i="1"/>
  <c r="K4825" i="1"/>
  <c r="J4826" i="1"/>
  <c r="K4826" i="1"/>
  <c r="J4827" i="1"/>
  <c r="K4827" i="1"/>
  <c r="J4828" i="1"/>
  <c r="K4828" i="1"/>
  <c r="J4829" i="1"/>
  <c r="K4829" i="1"/>
  <c r="J4830" i="1"/>
  <c r="K4830" i="1"/>
  <c r="J4831" i="1"/>
  <c r="K4831" i="1"/>
  <c r="J4832" i="1"/>
  <c r="K4832" i="1"/>
  <c r="J4833" i="1"/>
  <c r="K4833" i="1"/>
  <c r="J4834" i="1"/>
  <c r="K4834" i="1"/>
  <c r="J4835" i="1"/>
  <c r="K4835" i="1"/>
  <c r="J4836" i="1"/>
  <c r="K4836" i="1"/>
  <c r="J4837" i="1"/>
  <c r="K4837" i="1"/>
  <c r="J4838" i="1"/>
  <c r="K4838" i="1"/>
  <c r="J4839" i="1"/>
  <c r="K4839" i="1"/>
  <c r="J4840" i="1"/>
  <c r="K4840" i="1"/>
  <c r="J4841" i="1"/>
  <c r="K4841" i="1"/>
  <c r="J4842" i="1"/>
  <c r="K4842" i="1"/>
  <c r="J4843" i="1"/>
  <c r="K4843" i="1"/>
  <c r="J4844" i="1"/>
  <c r="K4844" i="1"/>
  <c r="J4845" i="1"/>
  <c r="K4845" i="1"/>
  <c r="J4846" i="1"/>
  <c r="K4846" i="1"/>
  <c r="J4847" i="1"/>
  <c r="K4847" i="1"/>
  <c r="J4848" i="1"/>
  <c r="K4848" i="1"/>
  <c r="J4849" i="1"/>
  <c r="K4849" i="1"/>
  <c r="J4850" i="1"/>
  <c r="K4850" i="1"/>
  <c r="J4851" i="1"/>
  <c r="K4851" i="1"/>
</calcChain>
</file>

<file path=xl/sharedStrings.xml><?xml version="1.0" encoding="utf-8"?>
<sst xmlns="http://schemas.openxmlformats.org/spreadsheetml/2006/main" count="15479" uniqueCount="93">
  <si>
    <t>game_id</t>
  </si>
  <si>
    <t>season</t>
  </si>
  <si>
    <t>shotType</t>
  </si>
  <si>
    <t>actionSub</t>
  </si>
  <si>
    <t>scoreHome</t>
  </si>
  <si>
    <t>scoreAway</t>
  </si>
  <si>
    <t>Q</t>
  </si>
  <si>
    <t>clock</t>
  </si>
  <si>
    <t>Tri</t>
  </si>
  <si>
    <t>Play</t>
  </si>
  <si>
    <t>Link</t>
  </si>
  <si>
    <t>shotDistance</t>
  </si>
  <si>
    <t>x</t>
  </si>
  <si>
    <t>y</t>
  </si>
  <si>
    <t>xLegacy</t>
  </si>
  <si>
    <t>yLegacy</t>
  </si>
  <si>
    <t>3PTM</t>
  </si>
  <si>
    <t>Running Jump Shot</t>
  </si>
  <si>
    <t>SAS</t>
  </si>
  <si>
    <t>Jump Shot</t>
  </si>
  <si>
    <t>2018 Playoffs</t>
  </si>
  <si>
    <t>TOR</t>
  </si>
  <si>
    <t>jumpshot</t>
  </si>
  <si>
    <t>LAC</t>
  </si>
  <si>
    <t>Turnaround Jump Shot</t>
  </si>
  <si>
    <t>2015 Playoffs</t>
  </si>
  <si>
    <t>2013 Playoffs</t>
  </si>
  <si>
    <t>2012 Playoffs</t>
  </si>
  <si>
    <t>2014 Playoffs</t>
  </si>
  <si>
    <t>Pullup Jump shot</t>
  </si>
  <si>
    <t>2016 Playoffs</t>
  </si>
  <si>
    <t>Step Back Jump shot</t>
  </si>
  <si>
    <t>2PTM</t>
  </si>
  <si>
    <t>Fadeaway Jump Shot</t>
  </si>
  <si>
    <t>Turnaround Fadeaway shot</t>
  </si>
  <si>
    <t>Driving Floating Jump Shot</t>
  </si>
  <si>
    <t>Pullup Bank shot</t>
  </si>
  <si>
    <t>Floating Jump shot</t>
  </si>
  <si>
    <t>Jump Bank Shot</t>
  </si>
  <si>
    <t>Running Bank shot</t>
  </si>
  <si>
    <t>Hook Shot</t>
  </si>
  <si>
    <t>Turnaround Bank shot</t>
  </si>
  <si>
    <t>Driving Jump shot</t>
  </si>
  <si>
    <t>Turnaround Hook Shot</t>
  </si>
  <si>
    <t>Hook</t>
  </si>
  <si>
    <t>Jump Hook Shot</t>
  </si>
  <si>
    <t>Driving Floating Bank Jump Shot</t>
  </si>
  <si>
    <t>Layup</t>
  </si>
  <si>
    <t>DUNK</t>
  </si>
  <si>
    <t>Driving Layup Shot</t>
  </si>
  <si>
    <t>layup</t>
  </si>
  <si>
    <t>Reverse Layup Shot</t>
  </si>
  <si>
    <t>Alley Oop Layup shot</t>
  </si>
  <si>
    <t>hook</t>
  </si>
  <si>
    <t>Driving Bank shot</t>
  </si>
  <si>
    <t>Driving Reverse Layup Shot</t>
  </si>
  <si>
    <t>Running Layup Shot</t>
  </si>
  <si>
    <t>Layup Shot</t>
  </si>
  <si>
    <t>Driving Bank Hook Shot</t>
  </si>
  <si>
    <t>Putback Layup Shot</t>
  </si>
  <si>
    <t>Alley Oop Dunk Shot</t>
  </si>
  <si>
    <t>Driving Finger Roll Layup Shot</t>
  </si>
  <si>
    <t>Dunk Shot</t>
  </si>
  <si>
    <t>Running Dunk Shot</t>
  </si>
  <si>
    <t>Putback Dunk Shot</t>
  </si>
  <si>
    <t>dunk</t>
  </si>
  <si>
    <t>Running Reverse Layup Shot</t>
  </si>
  <si>
    <t>Driving Dunk Shot</t>
  </si>
  <si>
    <t>Cutting Dunk Shot</t>
  </si>
  <si>
    <t>Cutting Finger Roll Layup Shot</t>
  </si>
  <si>
    <t>Driving Hook Shot</t>
  </si>
  <si>
    <t>Tip Layup Shot</t>
  </si>
  <si>
    <t>Tip Shot</t>
  </si>
  <si>
    <t>Running Finger Roll Layup Shot</t>
  </si>
  <si>
    <t>Slam Dunk Shot</t>
  </si>
  <si>
    <t>Cutting Layup Shot</t>
  </si>
  <si>
    <t>Driving Slam Dunk Shot</t>
  </si>
  <si>
    <t>Finger Roll Layup Shot</t>
  </si>
  <si>
    <t>Running Hook Shot</t>
  </si>
  <si>
    <t>Reverse Dunk Shot</t>
  </si>
  <si>
    <t>Tip Dunk Shot</t>
  </si>
  <si>
    <t>Running Slam Dunk Shot</t>
  </si>
  <si>
    <t>NULL</t>
  </si>
  <si>
    <t>2020 1st Round</t>
  </si>
  <si>
    <t>2023 1st Round</t>
  </si>
  <si>
    <t>2020 West Semis</t>
  </si>
  <si>
    <t>2022 1st Round</t>
  </si>
  <si>
    <t>Running Pull-Up Jump Shot</t>
  </si>
  <si>
    <t>Fadeaway Bank shot</t>
  </si>
  <si>
    <t>Hook Bank Shot</t>
  </si>
  <si>
    <t>Jump Bank Hook Shot</t>
  </si>
  <si>
    <t>File Name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</si>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</sst>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AF103-C470-46BB-BF88-7D9B3EBAB0F4}" name="Table1" displayName="Table1" ref="A1:R4851" totalsRowShown="0">
  <autoFilter ref="A1:R4851" xr:uid="{4B2AF103-C470-46BB-BF88-7D9B3EBAB0F4}"/>
  <tableColumns count="18">
    <tableColumn id="1" xr3:uid="{C8299ED5-F4A8-438A-9559-AC67109C1827}" name="game_id"/>
    <tableColumn id="2" xr3:uid="{DDB72DCF-49B9-48A9-94CE-2249322835C6}" name="season"/>
    <tableColumn id="3" xr3:uid="{2BA1D076-E9D9-4DFC-A38F-AD65E573389F}" name="shotType"/>
    <tableColumn id="4" xr3:uid="{1B2AA0AF-B028-4308-AE16-0839529A0E99}" name="actionSub"/>
    <tableColumn id="5" xr3:uid="{CC11C79A-330E-4AD4-A078-CD8F1B3ED74B}" name="scoreHome"/>
    <tableColumn id="6" xr3:uid="{EEF2D690-94BB-43E0-AC3D-903DBC138ECA}" name="scoreAway"/>
    <tableColumn id="7" xr3:uid="{9B9F7D50-AD0C-463F-8D27-17A3D0F20050}" name="Q"/>
    <tableColumn id="8" xr3:uid="{DD06BC6A-D81C-41B4-A7CB-D50F9769EEE6}" name="clock" dataDxfId="0"/>
    <tableColumn id="9" xr3:uid="{6EFE147F-29AB-4DFF-BE0C-E9DA25F9055E}" name="Tri"/>
    <tableColumn id="10" xr3:uid="{F0E36ACD-D888-435B-9E7A-F98FCE5540C5}" name="Play" dataCellStyle="Hyperlink"/>
    <tableColumn id="11" xr3:uid="{0A63D84E-677C-4CE6-ADB2-CC07C4B71F42}" name="Link" dataCellStyle="Hyperlink"/>
    <tableColumn id="12" xr3:uid="{852FFAAE-9C28-41ED-9194-C2A26A806EED}" name="shotDistance"/>
    <tableColumn id="13" xr3:uid="{12F38E09-2CEB-4CE4-9F9F-1C5DC32D9467}" name="x"/>
    <tableColumn id="14" xr3:uid="{9472C86E-568B-4086-94BF-74FFD4B0E079}" name="y"/>
    <tableColumn id="15" xr3:uid="{ACEB9C98-DC6B-4AEE-AC78-6102F7F66FEA}" name="xLegacy"/>
    <tableColumn id="16" xr3:uid="{7C6E5743-827F-469F-9838-C42276531F58}" name="yLegacy"/>
    <tableColumn id="17" xr3:uid="{FD79461C-FF85-4613-8D88-EAE24B55DFC4}" name="File Name"/>
    <tableColumn id="18" xr3:uid="{23D33715-B78B-4123-8381-47255233D285}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4D21-C383-4B66-AE8D-0930FAEE34C5}">
  <dimension ref="A1:R4851"/>
  <sheetViews>
    <sheetView tabSelected="1" workbookViewId="0">
      <selection activeCell="Q7" sqref="Q7"/>
    </sheetView>
  </sheetViews>
  <sheetFormatPr defaultRowHeight="15" x14ac:dyDescent="0.25"/>
  <cols>
    <col min="1" max="1" width="10.7109375" bestFit="1" customWidth="1"/>
    <col min="2" max="2" width="15.5703125" bestFit="1" customWidth="1"/>
    <col min="3" max="3" width="11.5703125" bestFit="1" customWidth="1"/>
    <col min="4" max="4" width="29.7109375" bestFit="1" customWidth="1"/>
    <col min="5" max="5" width="13.7109375" bestFit="1" customWidth="1"/>
    <col min="6" max="6" width="12.85546875" bestFit="1" customWidth="1"/>
    <col min="7" max="7" width="4.7109375" bestFit="1" customWidth="1"/>
    <col min="8" max="8" width="8" bestFit="1" customWidth="1"/>
    <col min="9" max="9" width="5.5703125" bestFit="1" customWidth="1"/>
    <col min="10" max="10" width="60.140625" bestFit="1" customWidth="1"/>
    <col min="11" max="11" width="23.28515625" bestFit="1" customWidth="1"/>
    <col min="12" max="12" width="15.42578125" bestFit="1" customWidth="1"/>
    <col min="13" max="14" width="6" bestFit="1" customWidth="1"/>
    <col min="15" max="16" width="10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91</v>
      </c>
      <c r="R1" t="s">
        <v>92</v>
      </c>
    </row>
    <row r="2" spans="1:18" x14ac:dyDescent="0.25">
      <c r="A2">
        <v>21500280</v>
      </c>
      <c r="B2">
        <v>2015</v>
      </c>
      <c r="C2" t="s">
        <v>16</v>
      </c>
      <c r="D2" t="s">
        <v>17</v>
      </c>
      <c r="E2">
        <v>36</v>
      </c>
      <c r="F2">
        <v>48</v>
      </c>
      <c r="G2">
        <v>3</v>
      </c>
      <c r="H2" s="1">
        <v>7.7314814814814815E-3</v>
      </c>
      <c r="I2" t="s">
        <v>18</v>
      </c>
      <c r="J2" s="2" t="str">
        <f>HYPERLINK("https://www.nba.com/stats/events?CFID=&amp;CFPARAMS=&amp;GameEventID=247&amp;GameID=0021500280&amp;Season=2015-16&amp;flag=1&amp;title=Leonard%2026'%203PT%20Running%20Jump%20Shot%20(10%20PTS)%20(Parker%202%20AST)", "Leonard 26' 3PT Running Jump Shot (10 PTS) (Parker 2 AST)")</f>
        <v>Leonard 26' 3PT Running Jump Shot (10 PTS) (Parker 2 AST)</v>
      </c>
      <c r="K2" s="2" t="str">
        <f>HYPERLINK("https://www.nba.com/game/...-vs-...-0021500280/play-by-play?watchFullGame=true", "SAS vs MEM - Q3 11:08.00")</f>
        <v>SAS vs MEM - Q3 11:08.00</v>
      </c>
      <c r="L2">
        <v>26</v>
      </c>
      <c r="M2">
        <v>-245</v>
      </c>
      <c r="N2">
        <v>72</v>
      </c>
      <c r="O2">
        <v>-245</v>
      </c>
      <c r="P2">
        <v>72</v>
      </c>
    </row>
    <row r="3" spans="1:18" x14ac:dyDescent="0.25">
      <c r="A3">
        <v>21500090</v>
      </c>
      <c r="B3">
        <v>2015</v>
      </c>
      <c r="C3" t="s">
        <v>16</v>
      </c>
      <c r="D3" t="s">
        <v>19</v>
      </c>
      <c r="E3">
        <v>29</v>
      </c>
      <c r="F3">
        <v>21</v>
      </c>
      <c r="G3">
        <v>1</v>
      </c>
      <c r="H3" s="1">
        <v>3.3564814814814815E-5</v>
      </c>
      <c r="I3" t="s">
        <v>18</v>
      </c>
      <c r="J3" s="2" t="str">
        <f>HYPERLINK("https://www.nba.com/stats/events?CFID=&amp;CFPARAMS=&amp;GameEventID=126&amp;GameID=0021500090&amp;Season=2015-16&amp;flag=1&amp;title=Leonard%2024'%203PT%20Jump%20Shot%20(7%20PTS)%20(Ginobili%201%20AST)", "Leonard 24' 3PT Jump Shot (7 PTS) (Ginobili 1 AST)")</f>
        <v>Leonard 24' 3PT Jump Shot (7 PTS) (Ginobili 1 AST)</v>
      </c>
      <c r="K3" s="2" t="str">
        <f>HYPERLINK("https://www.nba.com/game/...-vs-...-0021500090/play-by-play?watchFullGame=true", "SAS vs CHA - Q1 00:02.90")</f>
        <v>SAS vs CHA - Q1 00:02.90</v>
      </c>
      <c r="L3">
        <v>24</v>
      </c>
      <c r="M3">
        <v>-243</v>
      </c>
      <c r="N3">
        <v>-10</v>
      </c>
      <c r="O3">
        <v>-243</v>
      </c>
      <c r="P3">
        <v>-10</v>
      </c>
    </row>
    <row r="4" spans="1:18" x14ac:dyDescent="0.25">
      <c r="A4">
        <v>21501140</v>
      </c>
      <c r="B4">
        <v>2015</v>
      </c>
      <c r="C4" t="s">
        <v>16</v>
      </c>
      <c r="D4" t="s">
        <v>19</v>
      </c>
      <c r="E4">
        <v>55</v>
      </c>
      <c r="F4">
        <v>44</v>
      </c>
      <c r="G4">
        <v>2</v>
      </c>
      <c r="H4" s="1">
        <v>1.9675925925925925E-5</v>
      </c>
      <c r="I4" t="s">
        <v>18</v>
      </c>
      <c r="J4" s="2" t="str">
        <f>HYPERLINK("https://www.nba.com/stats/events?CFID=&amp;CFPARAMS=&amp;GameEventID=210&amp;GameID=0021501140&amp;Season=2015-16&amp;flag=1&amp;title=Leonard%2024'%203PT%20Jump%20Shot%20(13%20PTS)%20(Parker%204%20AST)", "Leonard 24' 3PT Jump Shot (13 PTS) (Parker 4 AST)")</f>
        <v>Leonard 24' 3PT Jump Shot (13 PTS) (Parker 4 AST)</v>
      </c>
      <c r="K4" s="2" t="str">
        <f>HYPERLINK("https://www.nba.com/game/...-vs-...-0021501140/play-by-play?watchFullGame=true", "SAS vs TOR - Q2 00:01.70")</f>
        <v>SAS vs TOR - Q2 00:01.70</v>
      </c>
      <c r="L4">
        <v>24</v>
      </c>
      <c r="M4">
        <v>-243</v>
      </c>
      <c r="N4">
        <v>-1</v>
      </c>
      <c r="O4">
        <v>-243</v>
      </c>
      <c r="P4">
        <v>-1</v>
      </c>
    </row>
    <row r="5" spans="1:18" x14ac:dyDescent="0.25">
      <c r="A5">
        <v>21500854</v>
      </c>
      <c r="B5">
        <v>2015</v>
      </c>
      <c r="C5" t="s">
        <v>16</v>
      </c>
      <c r="D5" t="s">
        <v>19</v>
      </c>
      <c r="E5">
        <v>72</v>
      </c>
      <c r="F5">
        <v>89</v>
      </c>
      <c r="G5">
        <v>4</v>
      </c>
      <c r="H5" s="1">
        <v>5.7754629629629631E-3</v>
      </c>
      <c r="I5" t="s">
        <v>18</v>
      </c>
      <c r="J5" s="2" t="str">
        <f>HYPERLINK("https://www.nba.com/stats/events?CFID=&amp;CFPARAMS=&amp;GameEventID=408&amp;GameID=0021500854&amp;Season=2015-16&amp;flag=1&amp;title=Leonard%2024'%203PT%20Jump%20Shot%20(12%20PTS)%20(West%201%20AST)", "Leonard 24' 3PT Jump Shot (12 PTS) (West 1 AST)")</f>
        <v>Leonard 24' 3PT Jump Shot (12 PTS) (West 1 AST)</v>
      </c>
      <c r="K5" s="2" t="str">
        <f>HYPERLINK("https://www.nba.com/game/...-vs-...-0021500854/play-by-play?watchFullGame=true", "SAS vs SAC - Q4 08:19.00")</f>
        <v>SAS vs SAC - Q4 08:19.00</v>
      </c>
      <c r="L5">
        <v>24</v>
      </c>
      <c r="M5">
        <v>-243</v>
      </c>
      <c r="N5">
        <v>23</v>
      </c>
      <c r="O5">
        <v>-243</v>
      </c>
      <c r="P5">
        <v>23</v>
      </c>
    </row>
    <row r="6" spans="1:18" x14ac:dyDescent="0.25">
      <c r="A6">
        <v>21500450</v>
      </c>
      <c r="B6">
        <v>2015</v>
      </c>
      <c r="C6" t="s">
        <v>16</v>
      </c>
      <c r="D6" t="s">
        <v>19</v>
      </c>
      <c r="E6">
        <v>59</v>
      </c>
      <c r="F6">
        <v>42</v>
      </c>
      <c r="G6">
        <v>3</v>
      </c>
      <c r="H6" s="1">
        <v>7.5694444444444446E-3</v>
      </c>
      <c r="I6" t="s">
        <v>18</v>
      </c>
      <c r="J6" s="2" t="str">
        <f>HYPERLINK("https://www.nba.com/stats/events?CFID=&amp;CFPARAMS=&amp;GameEventID=240&amp;GameID=0021500450&amp;Season=2015-16&amp;flag=1&amp;title=Leonard%2025'%203PT%20Jump%20Shot%20(9%20PTS)%20(West%206%20AST)", "Leonard 25' 3PT Jump Shot (9 PTS) (West 6 AST)")</f>
        <v>Leonard 25' 3PT Jump Shot (9 PTS) (West 6 AST)</v>
      </c>
      <c r="K6" s="2" t="str">
        <f>HYPERLINK("https://www.nba.com/game/...-vs-...-0021500450/play-by-play?watchFullGame=true", "SAS vs DEN - Q3 10:54.00")</f>
        <v>SAS vs DEN - Q3 10:54.00</v>
      </c>
      <c r="L6">
        <v>25</v>
      </c>
      <c r="M6">
        <v>-243</v>
      </c>
      <c r="N6">
        <v>41</v>
      </c>
      <c r="O6">
        <v>-243</v>
      </c>
      <c r="P6">
        <v>41</v>
      </c>
    </row>
    <row r="7" spans="1:18" x14ac:dyDescent="0.25">
      <c r="A7">
        <v>41800211</v>
      </c>
      <c r="B7" t="s">
        <v>20</v>
      </c>
      <c r="C7" t="s">
        <v>16</v>
      </c>
      <c r="D7" t="s">
        <v>19</v>
      </c>
      <c r="E7">
        <v>101</v>
      </c>
      <c r="F7">
        <v>85</v>
      </c>
      <c r="G7">
        <v>4</v>
      </c>
      <c r="H7" s="1">
        <v>5.3935185185185188E-3</v>
      </c>
      <c r="I7" t="s">
        <v>21</v>
      </c>
      <c r="J7" s="2" t="str">
        <f>HYPERLINK("https://www.nba.com/stats/events?CFID=&amp;CFPARAMS=&amp;GameEventID=531&amp;GameID=0041800211&amp;Season=2018-19&amp;flag=1&amp;title=Leonard%2024'%203PT%20Jump%20Shot%20(39%20PTS)%20(Powell%202%20AST)", "Leonard 24' 3PT Jump Shot (39 PTS) (Powell 2 AST)")</f>
        <v>Leonard 24' 3PT Jump Shot (39 PTS) (Powell 2 AST)</v>
      </c>
      <c r="K7" s="2" t="str">
        <f>HYPERLINK("https://www.nba.com/game/...-vs-...-0041800211/play-by-play?watchFullGame=true", "TOR vs PHI - Q4 07:46.00")</f>
        <v>TOR vs PHI - Q4 07:46.00</v>
      </c>
      <c r="L7">
        <v>24</v>
      </c>
      <c r="M7">
        <v>-242</v>
      </c>
      <c r="N7">
        <v>-5</v>
      </c>
      <c r="O7">
        <v>-242</v>
      </c>
      <c r="P7">
        <v>-5</v>
      </c>
    </row>
    <row r="8" spans="1:18" x14ac:dyDescent="0.25">
      <c r="A8">
        <v>21300898</v>
      </c>
      <c r="B8">
        <v>2013</v>
      </c>
      <c r="C8" t="s">
        <v>16</v>
      </c>
      <c r="D8" t="s">
        <v>19</v>
      </c>
      <c r="E8">
        <v>51</v>
      </c>
      <c r="F8">
        <v>65</v>
      </c>
      <c r="G8">
        <v>3</v>
      </c>
      <c r="H8" s="1">
        <v>4.363425925925926E-3</v>
      </c>
      <c r="I8" t="s">
        <v>18</v>
      </c>
      <c r="J8" s="2" t="str">
        <f>HYPERLINK("https://www.nba.com/stats/events?CFID=&amp;CFPARAMS=&amp;GameEventID=343&amp;GameID=0021300898&amp;Season=2013-14&amp;flag=1&amp;title=Leonard%2024'%203PT%20Jump%20Shot%20(12%20PTS)%20(Parker%203%20AST)", "Leonard 24' 3PT Jump Shot (12 PTS) (Parker 3 AST)")</f>
        <v>Leonard 24' 3PT Jump Shot (12 PTS) (Parker 3 AST)</v>
      </c>
      <c r="K8" s="2" t="str">
        <f>HYPERLINK("https://www.nba.com/game/...-vs-...-0021300898/play-by-play?watchFullGame=true", "SAS vs CLE - Q3 06:17.00")</f>
        <v>SAS vs CLE - Q3 06:17.00</v>
      </c>
      <c r="L8">
        <v>24</v>
      </c>
      <c r="M8">
        <v>-242</v>
      </c>
      <c r="N8">
        <v>1</v>
      </c>
      <c r="O8">
        <v>-242</v>
      </c>
      <c r="P8">
        <v>1</v>
      </c>
    </row>
    <row r="9" spans="1:18" x14ac:dyDescent="0.25">
      <c r="A9">
        <v>21900157</v>
      </c>
      <c r="B9">
        <v>2019</v>
      </c>
      <c r="C9" t="s">
        <v>16</v>
      </c>
      <c r="D9" t="s">
        <v>22</v>
      </c>
      <c r="E9">
        <v>17</v>
      </c>
      <c r="F9">
        <v>11</v>
      </c>
      <c r="G9">
        <v>1</v>
      </c>
      <c r="H9" s="1">
        <v>3.9004629629629628E-3</v>
      </c>
      <c r="I9" t="s">
        <v>23</v>
      </c>
      <c r="J9" s="2" t="str">
        <f>HYPERLINK("https://www.nba.com/stats/events?CFID=&amp;CFPARAMS=&amp;GameEventID=84&amp;GameID=0021900157&amp;Season=2019-20&amp;flag=1&amp;title=Leonard%2024'%203PT%20%20(3%20PTS)%20(P.%20Beverley%201%20AST)", "24' 3PT  (3 PTS) (P. Beverley 1 AST)")</f>
        <v>24' 3PT  (3 PTS) (P. Beverley 1 AST)</v>
      </c>
      <c r="K9" s="2" t="str">
        <f>HYPERLINK("https://www.nba.com/game/...-vs-...-0021900157/play-by-play?watchFullGame=true", "LAC vs HOU - Q1 05:37.00")</f>
        <v>LAC vs HOU - Q1 05:37.00</v>
      </c>
      <c r="L9">
        <v>24.37</v>
      </c>
      <c r="M9">
        <v>91.77</v>
      </c>
      <c r="N9">
        <v>1.65</v>
      </c>
      <c r="O9">
        <v>-242</v>
      </c>
      <c r="P9">
        <v>25</v>
      </c>
    </row>
    <row r="10" spans="1:18" x14ac:dyDescent="0.25">
      <c r="A10">
        <v>21500195</v>
      </c>
      <c r="B10">
        <v>2015</v>
      </c>
      <c r="C10" t="s">
        <v>16</v>
      </c>
      <c r="D10" t="s">
        <v>19</v>
      </c>
      <c r="E10">
        <v>91</v>
      </c>
      <c r="F10">
        <v>82</v>
      </c>
      <c r="G10">
        <v>4</v>
      </c>
      <c r="H10" s="1">
        <v>1.875E-4</v>
      </c>
      <c r="I10" t="s">
        <v>18</v>
      </c>
      <c r="J10" s="2" t="str">
        <f>HYPERLINK("https://www.nba.com/stats/events?CFID=&amp;CFPARAMS=&amp;GameEventID=458&amp;GameID=0021500195&amp;Season=2015-16&amp;flag=1&amp;title=Leonard%2024'%203PT%20Jump%20Shot%20(18%20PTS)", "Leonard 24' 3PT Jump Shot (18 PTS)")</f>
        <v>Leonard 24' 3PT Jump Shot (18 PTS)</v>
      </c>
      <c r="K10" s="2" t="str">
        <f>HYPERLINK("https://www.nba.com/game/...-vs-...-0021500195/play-by-play?watchFullGame=true", "SAS vs MEM - Q4 00:16.20")</f>
        <v>SAS vs MEM - Q4 00:16.20</v>
      </c>
      <c r="L10">
        <v>24</v>
      </c>
      <c r="M10">
        <v>-241</v>
      </c>
      <c r="N10">
        <v>-16</v>
      </c>
      <c r="O10">
        <v>-241</v>
      </c>
      <c r="P10">
        <v>-16</v>
      </c>
    </row>
    <row r="11" spans="1:18" x14ac:dyDescent="0.25">
      <c r="A11">
        <v>21500172</v>
      </c>
      <c r="B11">
        <v>2015</v>
      </c>
      <c r="C11" t="s">
        <v>16</v>
      </c>
      <c r="D11" t="s">
        <v>24</v>
      </c>
      <c r="E11">
        <v>49</v>
      </c>
      <c r="F11">
        <v>40</v>
      </c>
      <c r="G11">
        <v>2</v>
      </c>
      <c r="H11" s="1">
        <v>4.2245370370370371E-3</v>
      </c>
      <c r="I11" t="s">
        <v>18</v>
      </c>
      <c r="J11" s="2" t="str">
        <f>HYPERLINK("https://www.nba.com/stats/events?CFID=&amp;CFPARAMS=&amp;GameEventID=196&amp;GameID=0021500172&amp;Season=2015-16&amp;flag=1&amp;title=Leonard%2024'%203PT%20Turnaround%20Jump%20Shot%20(6%20PTS)%20(Green%203%20AST)", "Leonard 24' 3PT Turnaround Jump Shot (6 PTS) (Green 3 AST)")</f>
        <v>Leonard 24' 3PT Turnaround Jump Shot (6 PTS) (Green 3 AST)</v>
      </c>
      <c r="K11" s="2" t="str">
        <f>HYPERLINK("https://www.nba.com/game/...-vs-...-0021500172/play-by-play?watchFullGame=true", "SAS vs DEN - Q2 06:05.00")</f>
        <v>SAS vs DEN - Q2 06:05.00</v>
      </c>
      <c r="L11">
        <v>24</v>
      </c>
      <c r="M11">
        <v>-241</v>
      </c>
      <c r="N11">
        <v>0</v>
      </c>
      <c r="O11">
        <v>-241</v>
      </c>
      <c r="P11">
        <v>0</v>
      </c>
    </row>
    <row r="12" spans="1:18" x14ac:dyDescent="0.25">
      <c r="A12">
        <v>21500713</v>
      </c>
      <c r="B12">
        <v>2015</v>
      </c>
      <c r="C12" t="s">
        <v>16</v>
      </c>
      <c r="D12" t="s">
        <v>19</v>
      </c>
      <c r="E12">
        <v>13</v>
      </c>
      <c r="F12">
        <v>9</v>
      </c>
      <c r="G12">
        <v>1</v>
      </c>
      <c r="H12" s="1">
        <v>5.7175925925925927E-3</v>
      </c>
      <c r="I12" t="s">
        <v>18</v>
      </c>
      <c r="J12" s="2" t="str">
        <f>HYPERLINK("https://www.nba.com/stats/events?CFID=&amp;CFPARAMS=&amp;GameEventID=38&amp;GameID=0021500713&amp;Season=2015-16&amp;flag=1&amp;title=Leonard%2024'%203PT%20Jump%20Shot%20(5%20PTS)%20(Parker%203%20AST)", "Leonard 24' 3PT Jump Shot (5 PTS) (Parker 3 AST)")</f>
        <v>Leonard 24' 3PT Jump Shot (5 PTS) (Parker 3 AST)</v>
      </c>
      <c r="K12" s="2" t="str">
        <f>HYPERLINK("https://www.nba.com/game/...-vs-...-0021500713/play-by-play?watchFullGame=true", "SAS vs CLE - Q1 08:14.00")</f>
        <v>SAS vs CLE - Q1 08:14.00</v>
      </c>
      <c r="L12">
        <v>24</v>
      </c>
      <c r="M12">
        <v>-241</v>
      </c>
      <c r="N12">
        <v>2</v>
      </c>
      <c r="O12">
        <v>-241</v>
      </c>
      <c r="P12">
        <v>2</v>
      </c>
    </row>
    <row r="13" spans="1:18" x14ac:dyDescent="0.25">
      <c r="A13">
        <v>21601161</v>
      </c>
      <c r="B13">
        <v>2016</v>
      </c>
      <c r="C13" t="s">
        <v>16</v>
      </c>
      <c r="D13" t="s">
        <v>19</v>
      </c>
      <c r="E13">
        <v>36</v>
      </c>
      <c r="F13">
        <v>35</v>
      </c>
      <c r="G13">
        <v>3</v>
      </c>
      <c r="H13" s="1">
        <v>8.1365740740740738E-3</v>
      </c>
      <c r="I13" t="s">
        <v>18</v>
      </c>
      <c r="J13" s="2" t="str">
        <f>HYPERLINK("https://www.nba.com/stats/events?CFID=&amp;CFPARAMS=&amp;GameEventID=245&amp;GameID=0021601161&amp;Season=2016-17&amp;flag=1&amp;title=Leonard%2024'%203PT%20Jump%20Shot%20(12%20PTS)%20(Simmons%202%20AST)", "Leonard 24' 3PT Jump Shot (12 PTS) (Simmons 2 AST)")</f>
        <v>Leonard 24' 3PT Jump Shot (12 PTS) (Simmons 2 AST)</v>
      </c>
      <c r="K13" s="2" t="str">
        <f>HYPERLINK("https://www.nba.com/game/...-vs-...-0021601161/play-by-play?watchFullGame=true", "SAS vs MEM - Q3 11:43.00")</f>
        <v>SAS vs MEM - Q3 11:43.00</v>
      </c>
      <c r="L13">
        <v>24</v>
      </c>
      <c r="M13">
        <v>-241</v>
      </c>
      <c r="N13">
        <v>28</v>
      </c>
      <c r="O13">
        <v>-241</v>
      </c>
      <c r="P13">
        <v>28</v>
      </c>
    </row>
    <row r="14" spans="1:18" x14ac:dyDescent="0.25">
      <c r="A14">
        <v>21500242</v>
      </c>
      <c r="B14">
        <v>2015</v>
      </c>
      <c r="C14" t="s">
        <v>16</v>
      </c>
      <c r="D14" t="s">
        <v>19</v>
      </c>
      <c r="E14">
        <v>11</v>
      </c>
      <c r="F14">
        <v>3</v>
      </c>
      <c r="G14">
        <v>1</v>
      </c>
      <c r="H14" s="1">
        <v>5.092592592592593E-3</v>
      </c>
      <c r="I14" t="s">
        <v>18</v>
      </c>
      <c r="J14" s="2" t="str">
        <f>HYPERLINK("https://www.nba.com/stats/events?CFID=&amp;CFPARAMS=&amp;GameEventID=40&amp;GameID=0021500242&amp;Season=2015-16&amp;flag=1&amp;title=Leonard%2025'%203PT%20Jump%20Shot%20(3%20PTS)%20(Duncan%202%20AST)", "Leonard 25' 3PT Jump Shot (3 PTS) (Duncan 2 AST)")</f>
        <v>Leonard 25' 3PT Jump Shot (3 PTS) (Duncan 2 AST)</v>
      </c>
      <c r="K14" s="2" t="str">
        <f>HYPERLINK("https://www.nba.com/game/...-vs-...-0021500242/play-by-play?watchFullGame=true", "SAS vs ATL - Q1 07:20.00")</f>
        <v>SAS vs ATL - Q1 07:20.00</v>
      </c>
      <c r="L14">
        <v>25</v>
      </c>
      <c r="M14">
        <v>-241</v>
      </c>
      <c r="N14">
        <v>52</v>
      </c>
      <c r="O14">
        <v>-241</v>
      </c>
      <c r="P14">
        <v>52</v>
      </c>
    </row>
    <row r="15" spans="1:18" x14ac:dyDescent="0.25">
      <c r="A15">
        <v>21500439</v>
      </c>
      <c r="B15">
        <v>2015</v>
      </c>
      <c r="C15" t="s">
        <v>16</v>
      </c>
      <c r="D15" t="s">
        <v>19</v>
      </c>
      <c r="E15">
        <v>13</v>
      </c>
      <c r="F15">
        <v>14</v>
      </c>
      <c r="G15">
        <v>1</v>
      </c>
      <c r="H15" s="1">
        <v>2.5925925925925925E-3</v>
      </c>
      <c r="I15" t="s">
        <v>18</v>
      </c>
      <c r="J15" s="2" t="str">
        <f>HYPERLINK("https://www.nba.com/stats/events?CFID=&amp;CFPARAMS=&amp;GameEventID=72&amp;GameID=0021500439&amp;Season=2015-16&amp;flag=1&amp;title=Leonard%2025'%203PT%20Jump%20Shot%20(5%20PTS)%20(Mills%201%20AST)", "Leonard 25' 3PT Jump Shot (5 PTS) (Mills 1 AST)")</f>
        <v>Leonard 25' 3PT Jump Shot (5 PTS) (Mills 1 AST)</v>
      </c>
      <c r="K15" s="2" t="str">
        <f>HYPERLINK("https://www.nba.com/game/...-vs-...-0021500439/play-by-play?watchFullGame=true", "SAS vs HOU - Q1 03:44.00")</f>
        <v>SAS vs HOU - Q1 03:44.00</v>
      </c>
      <c r="L15">
        <v>25</v>
      </c>
      <c r="M15">
        <v>-241</v>
      </c>
      <c r="N15">
        <v>70</v>
      </c>
      <c r="O15">
        <v>-241</v>
      </c>
      <c r="P15">
        <v>70</v>
      </c>
    </row>
    <row r="16" spans="1:18" x14ac:dyDescent="0.25">
      <c r="A16">
        <v>21601033</v>
      </c>
      <c r="B16">
        <v>2016</v>
      </c>
      <c r="C16" t="s">
        <v>16</v>
      </c>
      <c r="D16" t="s">
        <v>19</v>
      </c>
      <c r="E16">
        <v>87</v>
      </c>
      <c r="F16">
        <v>81</v>
      </c>
      <c r="G16">
        <v>4</v>
      </c>
      <c r="H16" s="1">
        <v>5.2893518518518515E-3</v>
      </c>
      <c r="I16" t="s">
        <v>18</v>
      </c>
      <c r="J16" s="2" t="str">
        <f>HYPERLINK("https://www.nba.com/stats/events?CFID=&amp;CFPARAMS=&amp;GameEventID=425&amp;GameID=0021601033&amp;Season=2016-17&amp;flag=1&amp;title=Leonard%2024'%203PT%20Jump%20Shot%20(19%20PTS)%20(Bertans%201%20AST)", "Leonard 24' 3PT Jump Shot (19 PTS) (Bertans 1 AST)")</f>
        <v>Leonard 24' 3PT Jump Shot (19 PTS) (Bertans 1 AST)</v>
      </c>
      <c r="K16" s="2" t="str">
        <f>HYPERLINK("https://www.nba.com/game/...-vs-...-0021601033/play-by-play?watchFullGame=true", "SAS vs MEM - Q4 07:37.00")</f>
        <v>SAS vs MEM - Q4 07:37.00</v>
      </c>
      <c r="L16">
        <v>24</v>
      </c>
      <c r="M16">
        <v>-240</v>
      </c>
      <c r="N16">
        <v>-21</v>
      </c>
      <c r="O16">
        <v>-240</v>
      </c>
      <c r="P16">
        <v>-21</v>
      </c>
    </row>
    <row r="17" spans="1:16" x14ac:dyDescent="0.25">
      <c r="A17">
        <v>22200509</v>
      </c>
      <c r="B17">
        <v>2022</v>
      </c>
      <c r="C17" t="s">
        <v>16</v>
      </c>
      <c r="D17" t="s">
        <v>19</v>
      </c>
      <c r="E17">
        <v>25</v>
      </c>
      <c r="F17">
        <v>27</v>
      </c>
      <c r="G17">
        <v>1</v>
      </c>
      <c r="H17" s="1">
        <v>6.111111111111111E-4</v>
      </c>
      <c r="I17" t="s">
        <v>23</v>
      </c>
      <c r="J17" s="2" t="str">
        <f>HYPERLINK("https://www.nba.com/stats/events?CFID=&amp;CFPARAMS=&amp;GameEventID=138&amp;GameID=0022200509&amp;Season=2022-23&amp;flag=1&amp;title=Leonard%2024'%203PT%20%20(5%20PTS)%20(M.%20Morris%20Sr.%201%20AST)", "24' 3PT  (5 PTS) (M. Morris Sr. 1 AST)")</f>
        <v>24' 3PT  (5 PTS) (M. Morris Sr. 1 AST)</v>
      </c>
      <c r="K17" s="2" t="str">
        <f>HYPERLINK("https://www.nba.com/game/...-vs-...-0022200509/play-by-play?watchFullGame=true", "LAC vs TOR - Q1 00:52.80")</f>
        <v>LAC vs TOR - Q1 00:52.80</v>
      </c>
      <c r="L17">
        <v>24.09</v>
      </c>
      <c r="M17">
        <v>96.4</v>
      </c>
      <c r="N17">
        <v>1.96</v>
      </c>
      <c r="O17">
        <v>-240</v>
      </c>
      <c r="P17">
        <v>-19</v>
      </c>
    </row>
    <row r="18" spans="1:16" x14ac:dyDescent="0.25">
      <c r="A18">
        <v>21401039</v>
      </c>
      <c r="B18">
        <v>2014</v>
      </c>
      <c r="C18" t="s">
        <v>16</v>
      </c>
      <c r="D18" t="s">
        <v>19</v>
      </c>
      <c r="E18">
        <v>87</v>
      </c>
      <c r="F18">
        <v>106</v>
      </c>
      <c r="G18">
        <v>4</v>
      </c>
      <c r="H18" s="1">
        <v>2.5231481481481481E-3</v>
      </c>
      <c r="I18" t="s">
        <v>18</v>
      </c>
      <c r="J18" s="2" t="str">
        <f>HYPERLINK("https://www.nba.com/stats/events?CFID=&amp;CFPARAMS=&amp;GameEventID=448&amp;GameID=0021401039&amp;Season=2014-15&amp;flag=1&amp;title=Leonard%2024'%203PT%20Jump%20Shot%20(20%20PTS)%20(Diaw%202%20AST)", "Leonard 24' 3PT Jump Shot (20 PTS) (Diaw 2 AST)")</f>
        <v>Leonard 24' 3PT Jump Shot (20 PTS) (Diaw 2 AST)</v>
      </c>
      <c r="K18" s="2" t="str">
        <f>HYPERLINK("https://www.nba.com/game/...-vs-...-0021401039/play-by-play?watchFullGame=true", "SAS vs ATL - Q4 03:38.00")</f>
        <v>SAS vs ATL - Q4 03:38.00</v>
      </c>
      <c r="L18">
        <v>24</v>
      </c>
      <c r="M18">
        <v>-240</v>
      </c>
      <c r="N18">
        <v>14</v>
      </c>
      <c r="O18">
        <v>-240</v>
      </c>
      <c r="P18">
        <v>14</v>
      </c>
    </row>
    <row r="19" spans="1:16" x14ac:dyDescent="0.25">
      <c r="A19">
        <v>21401084</v>
      </c>
      <c r="B19">
        <v>2014</v>
      </c>
      <c r="C19" t="s">
        <v>16</v>
      </c>
      <c r="D19" t="s">
        <v>19</v>
      </c>
      <c r="E19">
        <v>3</v>
      </c>
      <c r="F19">
        <v>0</v>
      </c>
      <c r="G19">
        <v>1</v>
      </c>
      <c r="H19" s="1">
        <v>8.067129629629629E-3</v>
      </c>
      <c r="I19" t="s">
        <v>18</v>
      </c>
      <c r="J19" s="2" t="str">
        <f>HYPERLINK("https://www.nba.com/stats/events?CFID=&amp;CFPARAMS=&amp;GameEventID=2&amp;GameID=0021401084&amp;Season=2014-15&amp;flag=1&amp;title=Leonard%2024'%203PT%20Jump%20Shot%20(3%20PTS)%20(Splitter%201%20AST)", "Leonard 24' 3PT Jump Shot (3 PTS) (Splitter 1 AST)")</f>
        <v>Leonard 24' 3PT Jump Shot (3 PTS) (Splitter 1 AST)</v>
      </c>
      <c r="K19" s="2" t="str">
        <f>HYPERLINK("https://www.nba.com/game/...-vs-...-0021401084/play-by-play?watchFullGame=true", "SAS vs DAL - Q1 11:37.00")</f>
        <v>SAS vs DAL - Q1 11:37.00</v>
      </c>
      <c r="L19">
        <v>24</v>
      </c>
      <c r="M19">
        <v>-239</v>
      </c>
      <c r="N19">
        <v>11</v>
      </c>
      <c r="O19">
        <v>-239</v>
      </c>
      <c r="P19">
        <v>11</v>
      </c>
    </row>
    <row r="20" spans="1:16" x14ac:dyDescent="0.25">
      <c r="A20">
        <v>21500612</v>
      </c>
      <c r="B20">
        <v>2015</v>
      </c>
      <c r="C20" t="s">
        <v>16</v>
      </c>
      <c r="D20" t="s">
        <v>19</v>
      </c>
      <c r="E20">
        <v>34</v>
      </c>
      <c r="F20">
        <v>31</v>
      </c>
      <c r="G20">
        <v>2</v>
      </c>
      <c r="H20" s="1">
        <v>2.5925925925925925E-3</v>
      </c>
      <c r="I20" t="s">
        <v>18</v>
      </c>
      <c r="J20" s="2" t="str">
        <f>HYPERLINK("https://www.nba.com/stats/events?CFID=&amp;CFPARAMS=&amp;GameEventID=215&amp;GameID=0021500612&amp;Season=2015-16&amp;flag=1&amp;title=Leonard%2024'%203PT%20Jump%20Shot%20(7%20PTS)%20(Aldridge%201%20AST)", "Leonard 24' 3PT Jump Shot (7 PTS) (Aldridge 1 AST)")</f>
        <v>Leonard 24' 3PT Jump Shot (7 PTS) (Aldridge 1 AST)</v>
      </c>
      <c r="K20" s="2" t="str">
        <f>HYPERLINK("https://www.nba.com/game/...-vs-...-0021500612/play-by-play?watchFullGame=true", "SAS vs DAL - Q2 03:44.00")</f>
        <v>SAS vs DAL - Q2 03:44.00</v>
      </c>
      <c r="L20">
        <v>24</v>
      </c>
      <c r="M20">
        <v>-238</v>
      </c>
      <c r="N20">
        <v>-16</v>
      </c>
      <c r="O20">
        <v>-238</v>
      </c>
      <c r="P20">
        <v>-16</v>
      </c>
    </row>
    <row r="21" spans="1:16" x14ac:dyDescent="0.25">
      <c r="A21">
        <v>22300637</v>
      </c>
      <c r="B21">
        <v>2023</v>
      </c>
      <c r="C21" t="s">
        <v>16</v>
      </c>
      <c r="D21" t="s">
        <v>19</v>
      </c>
      <c r="E21">
        <v>63</v>
      </c>
      <c r="F21">
        <v>77</v>
      </c>
      <c r="G21">
        <v>3</v>
      </c>
      <c r="H21" s="1">
        <v>5.4629629629629629E-3</v>
      </c>
      <c r="I21" t="s">
        <v>23</v>
      </c>
      <c r="J21" s="2" t="str">
        <f>HYPERLINK("https://www.nba.com/stats/events?CFID=&amp;CFPARAMS=&amp;GameEventID=380&amp;GameID=0022300637&amp;Season=2023-24&amp;flag=1&amp;title=Leonard%203PT%20%20(9%20PTS)%20(P.%20George%201%20AST)", "3PT  (9 PTS) (P. George 1 AST)")</f>
        <v>3PT  (9 PTS) (P. George 1 AST)</v>
      </c>
      <c r="K21" s="2" t="str">
        <f>HYPERLINK("https://www.nba.com/game/...-vs-...-0022300637/play-by-play?watchFullGame=true", "LAC vs TOR - Q3 07:52.00")</f>
        <v>LAC vs TOR - Q3 07:52.00</v>
      </c>
      <c r="L21">
        <v>23.82</v>
      </c>
      <c r="M21">
        <v>4.0199999999999996</v>
      </c>
      <c r="N21">
        <v>97.55</v>
      </c>
      <c r="O21">
        <v>-238</v>
      </c>
      <c r="P21">
        <v>-15</v>
      </c>
    </row>
    <row r="22" spans="1:16" x14ac:dyDescent="0.25">
      <c r="A22">
        <v>22000308</v>
      </c>
      <c r="B22">
        <v>2020</v>
      </c>
      <c r="C22" t="s">
        <v>16</v>
      </c>
      <c r="D22" t="s">
        <v>19</v>
      </c>
      <c r="E22">
        <v>57</v>
      </c>
      <c r="F22">
        <v>57</v>
      </c>
      <c r="G22">
        <v>2</v>
      </c>
      <c r="H22" s="1">
        <v>2.685185185185185E-3</v>
      </c>
      <c r="I22" t="s">
        <v>23</v>
      </c>
      <c r="J22" s="2" t="str">
        <f>HYPERLINK("https://www.nba.com/stats/events?CFID=&amp;CFPARAMS=&amp;GameEventID=254&amp;GameID=0022000308&amp;Season=2020-21&amp;flag=1&amp;title=Leonard%203PT%20%20(10%20PTS)%20(L.%20Williams%203%20AST)", "3PT  (10 PTS) (L. Williams 3 AST)")</f>
        <v>3PT  (10 PTS) (L. Williams 3 AST)</v>
      </c>
      <c r="K22" s="2" t="str">
        <f>HYPERLINK("https://www.nba.com/game/...-vs-...-0022000308/play-by-play?watchFullGame=true", "LAC vs NYK - Q2 03:52.00")</f>
        <v>LAC vs NYK - Q2 03:52.00</v>
      </c>
      <c r="L22">
        <v>23.83</v>
      </c>
      <c r="M22">
        <v>4.55</v>
      </c>
      <c r="N22">
        <v>97.62</v>
      </c>
      <c r="O22">
        <v>-238</v>
      </c>
      <c r="P22">
        <v>-10</v>
      </c>
    </row>
    <row r="23" spans="1:16" x14ac:dyDescent="0.25">
      <c r="A23">
        <v>41500151</v>
      </c>
      <c r="B23" t="s">
        <v>25</v>
      </c>
      <c r="C23" t="s">
        <v>16</v>
      </c>
      <c r="D23" t="s">
        <v>19</v>
      </c>
      <c r="E23">
        <v>5</v>
      </c>
      <c r="F23">
        <v>3</v>
      </c>
      <c r="G23">
        <v>1</v>
      </c>
      <c r="H23" s="1">
        <v>6.8634259259259256E-3</v>
      </c>
      <c r="I23" t="s">
        <v>18</v>
      </c>
      <c r="J23" s="2" t="str">
        <f>HYPERLINK("https://www.nba.com/stats/events?CFID=&amp;CFPARAMS=&amp;GameEventID=15&amp;GameID=0041500151&amp;Season=2015-16&amp;flag=1&amp;title=Leonard%2024'%203PT%20Jump%20Shot%20(5%20PTS)%20(Parker%201%20AST)", "Leonard 24' 3PT Jump Shot (5 PTS) (Parker 1 AST)")</f>
        <v>Leonard 24' 3PT Jump Shot (5 PTS) (Parker 1 AST)</v>
      </c>
      <c r="K23" s="2" t="str">
        <f>HYPERLINK("https://www.nba.com/game/...-vs-...-0041500151/play-by-play?watchFullGame=true", "SAS vs MEM - Q1 09:53.00")</f>
        <v>SAS vs MEM - Q1 09:53.00</v>
      </c>
      <c r="L23">
        <v>24</v>
      </c>
      <c r="M23">
        <v>-238</v>
      </c>
      <c r="N23">
        <v>-10</v>
      </c>
      <c r="O23">
        <v>-238</v>
      </c>
      <c r="P23">
        <v>-10</v>
      </c>
    </row>
    <row r="24" spans="1:16" x14ac:dyDescent="0.25">
      <c r="A24">
        <v>22000788</v>
      </c>
      <c r="B24">
        <v>2020</v>
      </c>
      <c r="C24" t="s">
        <v>16</v>
      </c>
      <c r="D24" t="s">
        <v>19</v>
      </c>
      <c r="E24">
        <v>48</v>
      </c>
      <c r="F24">
        <v>43</v>
      </c>
      <c r="G24">
        <v>2</v>
      </c>
      <c r="H24" s="1">
        <v>2.9282407407407408E-3</v>
      </c>
      <c r="I24" t="s">
        <v>23</v>
      </c>
      <c r="J24" s="2" t="str">
        <f>HYPERLINK("https://www.nba.com/stats/events?CFID=&amp;CFPARAMS=&amp;GameEventID=235&amp;GameID=0022000788&amp;Season=2020-21&amp;flag=1&amp;title=Leonard%203PT%20%20(5%20PTS)%20(P.%20Beverley%202%20AST)", "3PT  (5 PTS) (P. Beverley 2 AST)")</f>
        <v>3PT  (5 PTS) (P. Beverley 2 AST)</v>
      </c>
      <c r="K24" s="2" t="str">
        <f>HYPERLINK("https://www.nba.com/game/...-vs-...-0022000788/play-by-play?watchFullGame=true", "LAC vs PHX - Q2 04:13.00")</f>
        <v>LAC vs PHX - Q2 04:13.00</v>
      </c>
      <c r="L24">
        <v>23.81</v>
      </c>
      <c r="M24">
        <v>6</v>
      </c>
      <c r="N24">
        <v>97.62</v>
      </c>
      <c r="O24">
        <v>-238</v>
      </c>
      <c r="P24">
        <v>4</v>
      </c>
    </row>
    <row r="25" spans="1:16" x14ac:dyDescent="0.25">
      <c r="A25">
        <v>22300074</v>
      </c>
      <c r="B25">
        <v>2023</v>
      </c>
      <c r="C25" t="s">
        <v>16</v>
      </c>
      <c r="D25" t="s">
        <v>19</v>
      </c>
      <c r="E25">
        <v>9</v>
      </c>
      <c r="F25">
        <v>4</v>
      </c>
      <c r="G25">
        <v>1</v>
      </c>
      <c r="H25" s="1">
        <v>5.5555555555555558E-3</v>
      </c>
      <c r="I25" t="s">
        <v>23</v>
      </c>
      <c r="J25" s="2" t="str">
        <f>HYPERLINK("https://www.nba.com/stats/events?CFID=&amp;CFPARAMS=&amp;GameEventID=59&amp;GameID=0022300074&amp;Season=2023-24&amp;flag=1&amp;title=Leonard%203PT%20%20(5%20PTS)%20(R.%20Westbrook%202%20AST)", "3PT  (5 PTS) (R. Westbrook 2 AST)")</f>
        <v>3PT  (5 PTS) (R. Westbrook 2 AST)</v>
      </c>
      <c r="K25" s="2" t="str">
        <f>HYPERLINK("https://www.nba.com/game/...-vs-...-0022300074/play-by-play?watchFullGame=true", "LAC vs POR - Q1 08:00.00")</f>
        <v>LAC vs POR - Q1 08:00.00</v>
      </c>
      <c r="L25">
        <v>23.8</v>
      </c>
      <c r="M25">
        <v>93.08</v>
      </c>
      <c r="N25">
        <v>2.4500000000000002</v>
      </c>
      <c r="O25">
        <v>-238</v>
      </c>
      <c r="P25">
        <v>13</v>
      </c>
    </row>
    <row r="26" spans="1:16" x14ac:dyDescent="0.25">
      <c r="A26">
        <v>22400679</v>
      </c>
      <c r="B26">
        <v>2024</v>
      </c>
      <c r="C26" t="s">
        <v>16</v>
      </c>
      <c r="D26" t="s">
        <v>19</v>
      </c>
      <c r="E26">
        <v>6</v>
      </c>
      <c r="F26">
        <v>14</v>
      </c>
      <c r="G26">
        <v>1</v>
      </c>
      <c r="H26" s="1">
        <v>4.8379629629629632E-3</v>
      </c>
      <c r="I26" t="s">
        <v>23</v>
      </c>
      <c r="J26" s="2" t="str">
        <f>HYPERLINK("https://www.nba.com/stats/events?CFID=&amp;CFPARAMS=&amp;GameEventID=53&amp;GameID=0022400679&amp;Season=2024-25&amp;flag=1&amp;title=Leonard%2024'%203PT%20pullup%20(3%20PTS)%20(J.%20Harden%202%20AST)", "24' 3PT pullup (3 PTS) (J. Harden 2 AST)")</f>
        <v>24' 3PT pullup (3 PTS) (J. Harden 2 AST)</v>
      </c>
      <c r="K26" s="2" t="str">
        <f>HYPERLINK("https://www.nba.com/game/...-vs-...-0022400679/play-by-play?watchFullGame=true", "LAC vs CHA - Q1 06:58.00")</f>
        <v>LAC vs CHA - Q1 06:58.00</v>
      </c>
      <c r="L26">
        <v>24.3</v>
      </c>
      <c r="M26">
        <v>89.04</v>
      </c>
      <c r="N26">
        <v>2.4500000000000002</v>
      </c>
      <c r="O26">
        <v>-238</v>
      </c>
      <c r="P26">
        <v>50</v>
      </c>
    </row>
    <row r="27" spans="1:16" x14ac:dyDescent="0.25">
      <c r="A27">
        <v>21501063</v>
      </c>
      <c r="B27">
        <v>2015</v>
      </c>
      <c r="C27" t="s">
        <v>16</v>
      </c>
      <c r="D27" t="s">
        <v>19</v>
      </c>
      <c r="E27">
        <v>7</v>
      </c>
      <c r="F27">
        <v>2</v>
      </c>
      <c r="G27">
        <v>1</v>
      </c>
      <c r="H27" s="1">
        <v>6.3425925925925924E-3</v>
      </c>
      <c r="I27" t="s">
        <v>18</v>
      </c>
      <c r="J27" s="2" t="str">
        <f>HYPERLINK("https://www.nba.com/stats/events?CFID=&amp;CFPARAMS=&amp;GameEventID=18&amp;GameID=0021501063&amp;Season=2015-16&amp;flag=1&amp;title=Leonard%2024'%203PT%20Jump%20Shot%20(5%20PTS)%20(Green%201%20AST)", "Leonard 24' 3PT Jump Shot (5 PTS) (Green 1 AST)")</f>
        <v>Leonard 24' 3PT Jump Shot (5 PTS) (Green 1 AST)</v>
      </c>
      <c r="K27" s="2" t="str">
        <f>HYPERLINK("https://www.nba.com/game/...-vs-...-0021501063/play-by-play?watchFullGame=true", "SAS vs MIA - Q1 09:08.00")</f>
        <v>SAS vs MIA - Q1 09:08.00</v>
      </c>
      <c r="L27">
        <v>24</v>
      </c>
      <c r="M27">
        <v>-237</v>
      </c>
      <c r="N27">
        <v>-19</v>
      </c>
      <c r="O27">
        <v>-237</v>
      </c>
      <c r="P27">
        <v>-19</v>
      </c>
    </row>
    <row r="28" spans="1:16" x14ac:dyDescent="0.25">
      <c r="A28">
        <v>41300222</v>
      </c>
      <c r="B28" t="s">
        <v>26</v>
      </c>
      <c r="C28" t="s">
        <v>16</v>
      </c>
      <c r="D28" t="s">
        <v>19</v>
      </c>
      <c r="E28">
        <v>12</v>
      </c>
      <c r="F28">
        <v>7</v>
      </c>
      <c r="G28">
        <v>1</v>
      </c>
      <c r="H28" s="1">
        <v>5.3356481481481484E-3</v>
      </c>
      <c r="I28" t="s">
        <v>18</v>
      </c>
      <c r="J28" s="2" t="str">
        <f>HYPERLINK("https://www.nba.com/stats/events?CFID=&amp;CFPARAMS=&amp;GameEventID=40&amp;GameID=0041300222&amp;Season=2013-14&amp;flag=1&amp;title=Leonard%2024'%203PT%20Jump%20Shot%20(8%20PTS)%20(Parker%203%20AST)", "Leonard 24' 3PT Jump Shot (8 PTS) (Parker 3 AST)")</f>
        <v>Leonard 24' 3PT Jump Shot (8 PTS) (Parker 3 AST)</v>
      </c>
      <c r="K28" s="2" t="str">
        <f>HYPERLINK("https://www.nba.com/game/...-vs-...-0041300222/play-by-play?watchFullGame=true", "SAS vs POR - Q1 07:41.00")</f>
        <v>SAS vs POR - Q1 07:41.00</v>
      </c>
      <c r="L28">
        <v>24</v>
      </c>
      <c r="M28">
        <v>-237</v>
      </c>
      <c r="N28">
        <v>-19</v>
      </c>
      <c r="O28">
        <v>-237</v>
      </c>
      <c r="P28">
        <v>-19</v>
      </c>
    </row>
    <row r="29" spans="1:16" x14ac:dyDescent="0.25">
      <c r="A29">
        <v>21500689</v>
      </c>
      <c r="B29">
        <v>2015</v>
      </c>
      <c r="C29" t="s">
        <v>16</v>
      </c>
      <c r="D29" t="s">
        <v>19</v>
      </c>
      <c r="E29">
        <v>16</v>
      </c>
      <c r="F29">
        <v>8</v>
      </c>
      <c r="G29">
        <v>1</v>
      </c>
      <c r="H29" s="1">
        <v>6.2500000000000003E-3</v>
      </c>
      <c r="I29" t="s">
        <v>18</v>
      </c>
      <c r="J29" s="2" t="str">
        <f>HYPERLINK("https://www.nba.com/stats/events?CFID=&amp;CFPARAMS=&amp;GameEventID=27&amp;GameID=0021500689&amp;Season=2015-16&amp;flag=1&amp;title=Leonard%2024'%203PT%20Jump%20Shot%20(6%20PTS)%20(Parker%202%20AST)", "Leonard 24' 3PT Jump Shot (6 PTS) (Parker 2 AST)")</f>
        <v>Leonard 24' 3PT Jump Shot (6 PTS) (Parker 2 AST)</v>
      </c>
      <c r="K29" s="2" t="str">
        <f>HYPERLINK("https://www.nba.com/game/...-vs-...-0021500689/play-by-play?watchFullGame=true", "SAS vs HOU - Q1 09:00.00")</f>
        <v>SAS vs HOU - Q1 09:00.00</v>
      </c>
      <c r="L29">
        <v>24</v>
      </c>
      <c r="M29">
        <v>-237</v>
      </c>
      <c r="N29">
        <v>-16</v>
      </c>
      <c r="O29">
        <v>-237</v>
      </c>
      <c r="P29">
        <v>-16</v>
      </c>
    </row>
    <row r="30" spans="1:16" x14ac:dyDescent="0.25">
      <c r="A30">
        <v>21300296</v>
      </c>
      <c r="B30">
        <v>2013</v>
      </c>
      <c r="C30" t="s">
        <v>16</v>
      </c>
      <c r="D30" t="s">
        <v>19</v>
      </c>
      <c r="E30">
        <v>78</v>
      </c>
      <c r="F30">
        <v>99</v>
      </c>
      <c r="G30">
        <v>4</v>
      </c>
      <c r="H30" s="1">
        <v>4.7569444444444447E-3</v>
      </c>
      <c r="I30" t="s">
        <v>18</v>
      </c>
      <c r="J30" s="2" t="str">
        <f>HYPERLINK("https://www.nba.com/stats/events?CFID=&amp;CFPARAMS=&amp;GameEventID=375&amp;GameID=0021300296&amp;Season=2013-14&amp;flag=1&amp;title=Leonard%2024'%203PT%20Jump%20Shot%20(18%20PTS)%20(Mills%203%20AST)", "Leonard 24' 3PT Jump Shot (18 PTS) (Mills 3 AST)")</f>
        <v>Leonard 24' 3PT Jump Shot (18 PTS) (Mills 3 AST)</v>
      </c>
      <c r="K30" s="2" t="str">
        <f>HYPERLINK("https://www.nba.com/game/...-vs-...-0021300296/play-by-play?watchFullGame=true", "SAS vs IND - Q4 06:51.00")</f>
        <v>SAS vs IND - Q4 06:51.00</v>
      </c>
      <c r="L30">
        <v>24</v>
      </c>
      <c r="M30">
        <v>-237</v>
      </c>
      <c r="N30">
        <v>-14</v>
      </c>
      <c r="O30">
        <v>-237</v>
      </c>
      <c r="P30">
        <v>-14</v>
      </c>
    </row>
    <row r="31" spans="1:16" x14ac:dyDescent="0.25">
      <c r="A31">
        <v>21401134</v>
      </c>
      <c r="B31">
        <v>2014</v>
      </c>
      <c r="C31" t="s">
        <v>16</v>
      </c>
      <c r="D31" t="s">
        <v>19</v>
      </c>
      <c r="E31">
        <v>80</v>
      </c>
      <c r="F31">
        <v>54</v>
      </c>
      <c r="G31">
        <v>3</v>
      </c>
      <c r="H31" s="1">
        <v>5.8449074074074072E-3</v>
      </c>
      <c r="I31" t="s">
        <v>18</v>
      </c>
      <c r="J31" s="2" t="str">
        <f>HYPERLINK("https://www.nba.com/stats/events?CFID=&amp;CFPARAMS=&amp;GameEventID=261&amp;GameID=0021401134&amp;Season=2014-15&amp;flag=1&amp;title=Leonard%2024'%203PT%20Jump%20Shot%20(18%20PTS)%20(Parker%208%20AST)", "Leonard 24' 3PT Jump Shot (18 PTS) (Parker 8 AST)")</f>
        <v>Leonard 24' 3PT Jump Shot (18 PTS) (Parker 8 AST)</v>
      </c>
      <c r="K31" s="2" t="str">
        <f>HYPERLINK("https://www.nba.com/game/...-vs-...-0021401134/play-by-play?watchFullGame=true", "SAS vs DEN - Q3 08:25.00")</f>
        <v>SAS vs DEN - Q3 08:25.00</v>
      </c>
      <c r="L31">
        <v>24</v>
      </c>
      <c r="M31">
        <v>-237</v>
      </c>
      <c r="N31">
        <v>-10</v>
      </c>
      <c r="O31">
        <v>-237</v>
      </c>
      <c r="P31">
        <v>-10</v>
      </c>
    </row>
    <row r="32" spans="1:16" x14ac:dyDescent="0.25">
      <c r="A32">
        <v>41500151</v>
      </c>
      <c r="B32" t="s">
        <v>25</v>
      </c>
      <c r="C32" t="s">
        <v>16</v>
      </c>
      <c r="D32" t="s">
        <v>19</v>
      </c>
      <c r="E32">
        <v>66</v>
      </c>
      <c r="F32">
        <v>47</v>
      </c>
      <c r="G32">
        <v>3</v>
      </c>
      <c r="H32" s="1">
        <v>4.43287037037037E-3</v>
      </c>
      <c r="I32" t="s">
        <v>18</v>
      </c>
      <c r="J32" s="2" t="str">
        <f>HYPERLINK("https://www.nba.com/stats/events?CFID=&amp;CFPARAMS=&amp;GameEventID=271&amp;GameID=0041500151&amp;Season=2015-16&amp;flag=1&amp;title=Leonard%2024'%203PT%20Jump%20Shot%20(17%20PTS)%20(Parker%206%20AST)", "Leonard 24' 3PT Jump Shot (17 PTS) (Parker 6 AST)")</f>
        <v>Leonard 24' 3PT Jump Shot (17 PTS) (Parker 6 AST)</v>
      </c>
      <c r="K32" s="2" t="str">
        <f>HYPERLINK("https://www.nba.com/game/...-vs-...-0041500151/play-by-play?watchFullGame=true", "SAS vs MEM - Q3 06:23.00")</f>
        <v>SAS vs MEM - Q3 06:23.00</v>
      </c>
      <c r="L32">
        <v>24</v>
      </c>
      <c r="M32">
        <v>-237</v>
      </c>
      <c r="N32">
        <v>-6</v>
      </c>
      <c r="O32">
        <v>-237</v>
      </c>
      <c r="P32">
        <v>-6</v>
      </c>
    </row>
    <row r="33" spans="1:16" x14ac:dyDescent="0.25">
      <c r="A33">
        <v>21401010</v>
      </c>
      <c r="B33">
        <v>2014</v>
      </c>
      <c r="C33" t="s">
        <v>16</v>
      </c>
      <c r="D33" t="s">
        <v>19</v>
      </c>
      <c r="E33">
        <v>8</v>
      </c>
      <c r="F33">
        <v>7</v>
      </c>
      <c r="G33">
        <v>1</v>
      </c>
      <c r="H33" s="1">
        <v>5.6944444444444447E-3</v>
      </c>
      <c r="I33" t="s">
        <v>18</v>
      </c>
      <c r="J33" s="2" t="str">
        <f>HYPERLINK("https://www.nba.com/stats/events?CFID=&amp;CFPARAMS=&amp;GameEventID=45&amp;GameID=0021401010&amp;Season=2014-15&amp;flag=1&amp;title=Leonard%2024'%203PT%20Jump%20Shot%20(5%20PTS)%20(Duncan%201%20AST)", "Leonard 24' 3PT Jump Shot (5 PTS) (Duncan 1 AST)")</f>
        <v>Leonard 24' 3PT Jump Shot (5 PTS) (Duncan 1 AST)</v>
      </c>
      <c r="K33" s="2" t="str">
        <f>HYPERLINK("https://www.nba.com/game/...-vs-...-0021401010/play-by-play?watchFullGame=true", "SAS vs MIL - Q1 08:12.00")</f>
        <v>SAS vs MIL - Q1 08:12.00</v>
      </c>
      <c r="L33">
        <v>24</v>
      </c>
      <c r="M33">
        <v>-237</v>
      </c>
      <c r="N33">
        <v>-3</v>
      </c>
      <c r="O33">
        <v>-237</v>
      </c>
      <c r="P33">
        <v>-3</v>
      </c>
    </row>
    <row r="34" spans="1:16" x14ac:dyDescent="0.25">
      <c r="A34">
        <v>21300117</v>
      </c>
      <c r="B34">
        <v>2013</v>
      </c>
      <c r="C34" t="s">
        <v>16</v>
      </c>
      <c r="D34" t="s">
        <v>19</v>
      </c>
      <c r="E34">
        <v>5</v>
      </c>
      <c r="F34">
        <v>0</v>
      </c>
      <c r="G34">
        <v>1</v>
      </c>
      <c r="H34" s="1">
        <v>7.7083333333333335E-3</v>
      </c>
      <c r="I34" t="s">
        <v>18</v>
      </c>
      <c r="J34" s="2" t="str">
        <f>HYPERLINK("https://www.nba.com/stats/events?CFID=&amp;CFPARAMS=&amp;GameEventID=5&amp;GameID=0021300117&amp;Season=2013-14&amp;flag=1&amp;title=Leonard%2024'%203PT%20Jump%20Shot%20(5%20PTS)%20(Green%201%20AST)", "Leonard 24' 3PT Jump Shot (5 PTS) (Green 1 AST)")</f>
        <v>Leonard 24' 3PT Jump Shot (5 PTS) (Green 1 AST)</v>
      </c>
      <c r="K34" s="2" t="str">
        <f>HYPERLINK("https://www.nba.com/game/...-vs-...-0021300117/play-by-play?watchFullGame=true", "SAS vs WAS - Q1 11:06.00")</f>
        <v>SAS vs WAS - Q1 11:06.00</v>
      </c>
      <c r="L34">
        <v>24</v>
      </c>
      <c r="M34">
        <v>-237</v>
      </c>
      <c r="N34">
        <v>-2</v>
      </c>
      <c r="O34">
        <v>-237</v>
      </c>
      <c r="P34">
        <v>-2</v>
      </c>
    </row>
    <row r="35" spans="1:16" x14ac:dyDescent="0.25">
      <c r="A35">
        <v>21500040</v>
      </c>
      <c r="B35">
        <v>2015</v>
      </c>
      <c r="C35" t="s">
        <v>16</v>
      </c>
      <c r="D35" t="s">
        <v>19</v>
      </c>
      <c r="E35">
        <v>79</v>
      </c>
      <c r="F35">
        <v>86</v>
      </c>
      <c r="G35">
        <v>4</v>
      </c>
      <c r="H35" s="1">
        <v>2.1643518518518518E-3</v>
      </c>
      <c r="I35" t="s">
        <v>18</v>
      </c>
      <c r="J35" s="2" t="str">
        <f>HYPERLINK("https://www.nba.com/stats/events?CFID=&amp;CFPARAMS=&amp;GameEventID=536&amp;GameID=0021500040&amp;Season=2015-16&amp;flag=1&amp;title=Leonard%2024'%203PT%20Jump%20Shot%20(15%20PTS)%20(Aldridge%205%20AST)", "Leonard 24' 3PT Jump Shot (15 PTS) (Aldridge 5 AST)")</f>
        <v>Leonard 24' 3PT Jump Shot (15 PTS) (Aldridge 5 AST)</v>
      </c>
      <c r="K35" s="2" t="str">
        <f>HYPERLINK("https://www.nba.com/game/...-vs-...-0021500040/play-by-play?watchFullGame=true", "SAS vs BOS - Q4 03:07.00")</f>
        <v>SAS vs BOS - Q4 03:07.00</v>
      </c>
      <c r="L35">
        <v>24</v>
      </c>
      <c r="M35">
        <v>-237</v>
      </c>
      <c r="N35">
        <v>-1</v>
      </c>
      <c r="O35">
        <v>-237</v>
      </c>
      <c r="P35">
        <v>-1</v>
      </c>
    </row>
    <row r="36" spans="1:16" x14ac:dyDescent="0.25">
      <c r="A36">
        <v>21300414</v>
      </c>
      <c r="B36">
        <v>2013</v>
      </c>
      <c r="C36" t="s">
        <v>16</v>
      </c>
      <c r="D36" t="s">
        <v>19</v>
      </c>
      <c r="E36">
        <v>112</v>
      </c>
      <c r="F36">
        <v>99</v>
      </c>
      <c r="G36">
        <v>4</v>
      </c>
      <c r="H36" s="1">
        <v>8.1018518518518516E-5</v>
      </c>
      <c r="I36" t="s">
        <v>18</v>
      </c>
      <c r="J36" s="2" t="str">
        <f>HYPERLINK("https://www.nba.com/stats/events?CFID=&amp;CFPARAMS=&amp;GameEventID=555&amp;GameID=0021300414&amp;Season=2013-14&amp;flag=1&amp;title=Leonard%2024'%203PT%20Jump%20Shot%20(13%20PTS)%20(Mills%202%20AST)", "Leonard 24' 3PT Jump Shot (13 PTS) (Mills 2 AST)")</f>
        <v>Leonard 24' 3PT Jump Shot (13 PTS) (Mills 2 AST)</v>
      </c>
      <c r="K36" s="2" t="str">
        <f>HYPERLINK("https://www.nba.com/game/...-vs-...-0021300414/play-by-play?watchFullGame=true", "SAS vs TOR - Q4 00:07.00")</f>
        <v>SAS vs TOR - Q4 00:07.00</v>
      </c>
      <c r="L36">
        <v>24</v>
      </c>
      <c r="M36">
        <v>-237</v>
      </c>
      <c r="N36">
        <v>0</v>
      </c>
      <c r="O36">
        <v>-237</v>
      </c>
      <c r="P36">
        <v>0</v>
      </c>
    </row>
    <row r="37" spans="1:16" x14ac:dyDescent="0.25">
      <c r="A37">
        <v>21300451</v>
      </c>
      <c r="B37">
        <v>2013</v>
      </c>
      <c r="C37" t="s">
        <v>16</v>
      </c>
      <c r="D37" t="s">
        <v>19</v>
      </c>
      <c r="E37">
        <v>75</v>
      </c>
      <c r="F37">
        <v>75</v>
      </c>
      <c r="G37">
        <v>3</v>
      </c>
      <c r="H37" s="1">
        <v>2.488425925925926E-3</v>
      </c>
      <c r="I37" t="s">
        <v>18</v>
      </c>
      <c r="J37" s="2" t="str">
        <f>HYPERLINK("https://www.nba.com/stats/events?CFID=&amp;CFPARAMS=&amp;GameEventID=349&amp;GameID=0021300451&amp;Season=2013-14&amp;flag=1&amp;title=Leonard%2024'%203PT%20Jump%20Shot%20(5%20PTS)%20(Diaw%205%20AST)", "Leonard 24' 3PT Jump Shot (5 PTS) (Diaw 5 AST)")</f>
        <v>Leonard 24' 3PT Jump Shot (5 PTS) (Diaw 5 AST)</v>
      </c>
      <c r="K37" s="2" t="str">
        <f>HYPERLINK("https://www.nba.com/game/...-vs-...-0021300451/play-by-play?watchFullGame=true", "SAS vs SAC - Q3 03:35.00")</f>
        <v>SAS vs SAC - Q3 03:35.00</v>
      </c>
      <c r="L37">
        <v>24</v>
      </c>
      <c r="M37">
        <v>-237</v>
      </c>
      <c r="N37">
        <v>3</v>
      </c>
      <c r="O37">
        <v>-237</v>
      </c>
      <c r="P37">
        <v>3</v>
      </c>
    </row>
    <row r="38" spans="1:16" x14ac:dyDescent="0.25">
      <c r="A38">
        <v>21400986</v>
      </c>
      <c r="B38">
        <v>2014</v>
      </c>
      <c r="C38" t="s">
        <v>16</v>
      </c>
      <c r="D38" t="s">
        <v>19</v>
      </c>
      <c r="E38">
        <v>32</v>
      </c>
      <c r="F38">
        <v>23</v>
      </c>
      <c r="G38">
        <v>2</v>
      </c>
      <c r="H38" s="1">
        <v>8.0208333333333329E-3</v>
      </c>
      <c r="I38" t="s">
        <v>18</v>
      </c>
      <c r="J38" s="2" t="str">
        <f>HYPERLINK("https://www.nba.com/stats/events?CFID=&amp;CFPARAMS=&amp;GameEventID=111&amp;GameID=0021400986&amp;Season=2014-15&amp;flag=1&amp;title=Leonard%2024'%203PT%20Jump%20Shot%20(3%20PTS)%20(Green%201%20AST)", "Leonard 24' 3PT Jump Shot (3 PTS) (Green 1 AST)")</f>
        <v>Leonard 24' 3PT Jump Shot (3 PTS) (Green 1 AST)</v>
      </c>
      <c r="K38" s="2" t="str">
        <f>HYPERLINK("https://www.nba.com/game/...-vs-...-0021400986/play-by-play?watchFullGame=true", "SAS vs MIN - Q2 11:33.00")</f>
        <v>SAS vs MIN - Q2 11:33.00</v>
      </c>
      <c r="L38">
        <v>24</v>
      </c>
      <c r="M38">
        <v>-237</v>
      </c>
      <c r="N38">
        <v>7</v>
      </c>
      <c r="O38">
        <v>-237</v>
      </c>
      <c r="P38">
        <v>7</v>
      </c>
    </row>
    <row r="39" spans="1:16" x14ac:dyDescent="0.25">
      <c r="A39">
        <v>41200404</v>
      </c>
      <c r="B39" t="s">
        <v>27</v>
      </c>
      <c r="C39" t="s">
        <v>16</v>
      </c>
      <c r="D39" t="s">
        <v>19</v>
      </c>
      <c r="E39">
        <v>15</v>
      </c>
      <c r="F39">
        <v>5</v>
      </c>
      <c r="G39">
        <v>1</v>
      </c>
      <c r="H39" s="1">
        <v>4.9768518518518521E-3</v>
      </c>
      <c r="I39" t="s">
        <v>18</v>
      </c>
      <c r="J39" s="2" t="str">
        <f>HYPERLINK("https://www.nba.com/stats/events?CFID=&amp;CFPARAMS=&amp;GameEventID=37&amp;GameID=0041200404&amp;Season=2012-13&amp;flag=1&amp;title=Leonard%2024'%203PT%20Jump%20Shot%20(3%20PTS)%20(Parker%202%20AST)", "Leonard 24' 3PT Jump Shot (3 PTS) (Parker 2 AST)")</f>
        <v>Leonard 24' 3PT Jump Shot (3 PTS) (Parker 2 AST)</v>
      </c>
      <c r="K39" s="2" t="str">
        <f>HYPERLINK("https://www.nba.com/game/...-vs-...-0041200404/play-by-play?watchFullGame=true", "SAS vs MIA - Q1 07:10.00")</f>
        <v>SAS vs MIA - Q1 07:10.00</v>
      </c>
      <c r="L39">
        <v>24</v>
      </c>
      <c r="M39">
        <v>-237</v>
      </c>
      <c r="N39">
        <v>15</v>
      </c>
      <c r="O39">
        <v>-237</v>
      </c>
      <c r="P39">
        <v>15</v>
      </c>
    </row>
    <row r="40" spans="1:16" x14ac:dyDescent="0.25">
      <c r="A40">
        <v>21400231</v>
      </c>
      <c r="B40">
        <v>2014</v>
      </c>
      <c r="C40" t="s">
        <v>16</v>
      </c>
      <c r="D40" t="s">
        <v>19</v>
      </c>
      <c r="E40">
        <v>53</v>
      </c>
      <c r="F40">
        <v>43</v>
      </c>
      <c r="G40">
        <v>2</v>
      </c>
      <c r="H40" s="1">
        <v>1.7708333333333332E-3</v>
      </c>
      <c r="I40" t="s">
        <v>18</v>
      </c>
      <c r="J40" s="2" t="str">
        <f>HYPERLINK("https://www.nba.com/stats/events?CFID=&amp;CFPARAMS=&amp;GameEventID=223&amp;GameID=0021400231&amp;Season=2014-15&amp;flag=1&amp;title=Leonard%2024'%203PT%20Jump%20Shot%20(7%20PTS)%20(Parker%204%20AST)", "Leonard 24' 3PT Jump Shot (7 PTS) (Parker 4 AST)")</f>
        <v>Leonard 24' 3PT Jump Shot (7 PTS) (Parker 4 AST)</v>
      </c>
      <c r="K40" s="2" t="str">
        <f>HYPERLINK("https://www.nba.com/game/...-vs-...-0021400231/play-by-play?watchFullGame=true", "SAS vs SAC - Q2 02:33.00")</f>
        <v>SAS vs SAC - Q2 02:33.00</v>
      </c>
      <c r="L40">
        <v>24</v>
      </c>
      <c r="M40">
        <v>-237</v>
      </c>
      <c r="N40">
        <v>17</v>
      </c>
      <c r="O40">
        <v>-237</v>
      </c>
      <c r="P40">
        <v>17</v>
      </c>
    </row>
    <row r="41" spans="1:16" x14ac:dyDescent="0.25">
      <c r="A41">
        <v>21601193</v>
      </c>
      <c r="B41">
        <v>2016</v>
      </c>
      <c r="C41" t="s">
        <v>16</v>
      </c>
      <c r="D41" t="s">
        <v>19</v>
      </c>
      <c r="E41">
        <v>58</v>
      </c>
      <c r="F41">
        <v>64</v>
      </c>
      <c r="G41">
        <v>3</v>
      </c>
      <c r="H41" s="1">
        <v>4.386574074074074E-3</v>
      </c>
      <c r="I41" t="s">
        <v>18</v>
      </c>
      <c r="J41" s="2" t="str">
        <f>HYPERLINK("https://www.nba.com/stats/events?CFID=&amp;CFPARAMS=&amp;GameEventID=281&amp;GameID=0021601193&amp;Season=2016-17&amp;flag=1&amp;title=Leonard%2024'%203PT%20Jump%20Shot%20(21%20PTS)%20(Simmons%203%20AST)", "Leonard 24' 3PT Jump Shot (21 PTS) (Simmons 3 AST)")</f>
        <v>Leonard 24' 3PT Jump Shot (21 PTS) (Simmons 3 AST)</v>
      </c>
      <c r="K41" s="2" t="str">
        <f>HYPERLINK("https://www.nba.com/game/...-vs-...-0021601193/play-by-play?watchFullGame=true", "SAS vs LAC - Q3 06:19.00")</f>
        <v>SAS vs LAC - Q3 06:19.00</v>
      </c>
      <c r="L41">
        <v>24</v>
      </c>
      <c r="M41">
        <v>-237</v>
      </c>
      <c r="N41">
        <v>41</v>
      </c>
      <c r="O41">
        <v>-237</v>
      </c>
      <c r="P41">
        <v>41</v>
      </c>
    </row>
    <row r="42" spans="1:16" x14ac:dyDescent="0.25">
      <c r="A42">
        <v>22000188</v>
      </c>
      <c r="B42">
        <v>2020</v>
      </c>
      <c r="C42" t="s">
        <v>16</v>
      </c>
      <c r="D42" t="s">
        <v>19</v>
      </c>
      <c r="E42">
        <v>3</v>
      </c>
      <c r="F42">
        <v>3</v>
      </c>
      <c r="G42">
        <v>1</v>
      </c>
      <c r="H42" s="1">
        <v>7.9282407407407409E-3</v>
      </c>
      <c r="I42" t="s">
        <v>23</v>
      </c>
      <c r="J42" s="2" t="str">
        <f>HYPERLINK("https://www.nba.com/stats/events?CFID=&amp;CFPARAMS=&amp;GameEventID=11&amp;GameID=0022000188&amp;Season=2020-21&amp;flag=1&amp;title=Leonard%2024'%203PT%20%20(3%20PTS)%20(N.%20Batum%201%20AST)", "24' 3PT  (3 PTS) (N. Batum 1 AST)")</f>
        <v>24' 3PT  (3 PTS) (N. Batum 1 AST)</v>
      </c>
      <c r="K42" s="2" t="str">
        <f>HYPERLINK("https://www.nba.com/game/...-vs-...-0022000188/play-by-play?watchFullGame=true", "LAC vs SAC - Q1 11:25.00")</f>
        <v>LAC vs SAC - Q1 11:25.00</v>
      </c>
      <c r="L42">
        <v>24.32</v>
      </c>
      <c r="M42">
        <v>88.78</v>
      </c>
      <c r="N42">
        <v>2.52</v>
      </c>
      <c r="O42">
        <v>-237</v>
      </c>
      <c r="P42">
        <v>53</v>
      </c>
    </row>
    <row r="43" spans="1:16" x14ac:dyDescent="0.25">
      <c r="A43">
        <v>21300630</v>
      </c>
      <c r="B43">
        <v>2013</v>
      </c>
      <c r="C43" t="s">
        <v>16</v>
      </c>
      <c r="D43" t="s">
        <v>19</v>
      </c>
      <c r="E43">
        <v>5</v>
      </c>
      <c r="F43">
        <v>6</v>
      </c>
      <c r="G43">
        <v>1</v>
      </c>
      <c r="H43" s="1">
        <v>6.6087962962962966E-3</v>
      </c>
      <c r="I43" t="s">
        <v>18</v>
      </c>
      <c r="J43" s="2" t="str">
        <f>HYPERLINK("https://www.nba.com/stats/events?CFID=&amp;CFPARAMS=&amp;GameEventID=18&amp;GameID=0021300630&amp;Season=2013-14&amp;flag=1&amp;title=Leonard%2024'%203PT%20Jump%20Shot%20(3%20PTS)%20(Parker%201%20AST)", "Leonard 24' 3PT Jump Shot (3 PTS) (Parker 1 AST)")</f>
        <v>Leonard 24' 3PT Jump Shot (3 PTS) (Parker 1 AST)</v>
      </c>
      <c r="K43" s="2" t="str">
        <f>HYPERLINK("https://www.nba.com/game/...-vs-...-0021300630/play-by-play?watchFullGame=true", "SAS vs OKC - Q1 09:31.00")</f>
        <v>SAS vs OKC - Q1 09:31.00</v>
      </c>
      <c r="L43">
        <v>24</v>
      </c>
      <c r="M43">
        <v>-235</v>
      </c>
      <c r="N43">
        <v>-17</v>
      </c>
      <c r="O43">
        <v>-235</v>
      </c>
      <c r="P43">
        <v>-17</v>
      </c>
    </row>
    <row r="44" spans="1:16" x14ac:dyDescent="0.25">
      <c r="A44">
        <v>22300658</v>
      </c>
      <c r="B44">
        <v>2023</v>
      </c>
      <c r="C44" t="s">
        <v>16</v>
      </c>
      <c r="D44" t="s">
        <v>19</v>
      </c>
      <c r="E44">
        <v>72</v>
      </c>
      <c r="F44">
        <v>73</v>
      </c>
      <c r="G44">
        <v>3</v>
      </c>
      <c r="H44" s="1">
        <v>2.8124999999999999E-3</v>
      </c>
      <c r="I44" t="s">
        <v>23</v>
      </c>
      <c r="J44" s="2" t="str">
        <f>HYPERLINK("https://www.nba.com/stats/events?CFID=&amp;CFPARAMS=&amp;GameEventID=424&amp;GameID=0022300658&amp;Season=2023-24&amp;flag=1&amp;title=Leonard%203PT%20step%20back%20(24%20PTS)", "3PT step back (24 PTS)")</f>
        <v>3PT step back (24 PTS)</v>
      </c>
      <c r="K44" s="2" t="str">
        <f>HYPERLINK("https://www.nba.com/game/...-vs-...-0022300658/play-by-play?watchFullGame=true", "LAC vs CLE - Q3 04:03.00")</f>
        <v>LAC vs CLE - Q3 04:03.00</v>
      </c>
      <c r="L44">
        <v>23.55</v>
      </c>
      <c r="M44">
        <v>4.55</v>
      </c>
      <c r="N44">
        <v>97.06</v>
      </c>
      <c r="O44">
        <v>-235</v>
      </c>
      <c r="P44">
        <v>-10</v>
      </c>
    </row>
    <row r="45" spans="1:16" x14ac:dyDescent="0.25">
      <c r="A45">
        <v>21500431</v>
      </c>
      <c r="B45">
        <v>2015</v>
      </c>
      <c r="C45" t="s">
        <v>16</v>
      </c>
      <c r="D45" t="s">
        <v>19</v>
      </c>
      <c r="E45">
        <v>8</v>
      </c>
      <c r="F45">
        <v>15</v>
      </c>
      <c r="G45">
        <v>1</v>
      </c>
      <c r="H45" s="1">
        <v>4.3518518518518515E-3</v>
      </c>
      <c r="I45" t="s">
        <v>18</v>
      </c>
      <c r="J45" s="2" t="str">
        <f>HYPERLINK("https://www.nba.com/stats/events?CFID=&amp;CFPARAMS=&amp;GameEventID=42&amp;GameID=0021500431&amp;Season=2015-16&amp;flag=1&amp;title=Leonard%2024'%203PT%20Jump%20Shot%20(5%20PTS)%20(Parker%201%20AST)", "Leonard 24' 3PT Jump Shot (5 PTS) (Parker 1 AST)")</f>
        <v>Leonard 24' 3PT Jump Shot (5 PTS) (Parker 1 AST)</v>
      </c>
      <c r="K45" s="2" t="str">
        <f>HYPERLINK("https://www.nba.com/game/...-vs-...-0021500431/play-by-play?watchFullGame=true", "SAS vs MIN - Q1 06:16.00")</f>
        <v>SAS vs MIN - Q1 06:16.00</v>
      </c>
      <c r="L45">
        <v>24</v>
      </c>
      <c r="M45">
        <v>-235</v>
      </c>
      <c r="N45">
        <v>-6</v>
      </c>
      <c r="O45">
        <v>-235</v>
      </c>
      <c r="P45">
        <v>-6</v>
      </c>
    </row>
    <row r="46" spans="1:16" x14ac:dyDescent="0.25">
      <c r="A46">
        <v>21300898</v>
      </c>
      <c r="B46">
        <v>2013</v>
      </c>
      <c r="C46" t="s">
        <v>16</v>
      </c>
      <c r="D46" t="s">
        <v>19</v>
      </c>
      <c r="E46">
        <v>9</v>
      </c>
      <c r="F46">
        <v>9</v>
      </c>
      <c r="G46">
        <v>1</v>
      </c>
      <c r="H46" s="1">
        <v>3.3449074074074076E-3</v>
      </c>
      <c r="I46" t="s">
        <v>18</v>
      </c>
      <c r="J46" s="2" t="str">
        <f>HYPERLINK("https://www.nba.com/stats/events?CFID=&amp;CFPARAMS=&amp;GameEventID=80&amp;GameID=0021300898&amp;Season=2013-14&amp;flag=1&amp;title=Leonard%2024'%203PT%20Jump%20Shot%20(3%20PTS)%20(Splitter%202%20AST)", "Leonard 24' 3PT Jump Shot (3 PTS) (Splitter 2 AST)")</f>
        <v>Leonard 24' 3PT Jump Shot (3 PTS) (Splitter 2 AST)</v>
      </c>
      <c r="K46" s="2" t="str">
        <f>HYPERLINK("https://www.nba.com/game/...-vs-...-0021300898/play-by-play?watchFullGame=true", "SAS vs CLE - Q1 04:49.00")</f>
        <v>SAS vs CLE - Q1 04:49.00</v>
      </c>
      <c r="L46">
        <v>24</v>
      </c>
      <c r="M46">
        <v>-235</v>
      </c>
      <c r="N46">
        <v>-3</v>
      </c>
      <c r="O46">
        <v>-235</v>
      </c>
      <c r="P46">
        <v>-3</v>
      </c>
    </row>
    <row r="47" spans="1:16" x14ac:dyDescent="0.25">
      <c r="A47">
        <v>41300222</v>
      </c>
      <c r="B47" t="s">
        <v>26</v>
      </c>
      <c r="C47" t="s">
        <v>16</v>
      </c>
      <c r="D47" t="s">
        <v>19</v>
      </c>
      <c r="E47">
        <v>107</v>
      </c>
      <c r="F47">
        <v>93</v>
      </c>
      <c r="G47">
        <v>4</v>
      </c>
      <c r="H47" s="1">
        <v>2.3032407407407407E-3</v>
      </c>
      <c r="I47" t="s">
        <v>18</v>
      </c>
      <c r="J47" s="2" t="str">
        <f>HYPERLINK("https://www.nba.com/stats/events?CFID=&amp;CFPARAMS=&amp;GameEventID=451&amp;GameID=0041300222&amp;Season=2013-14&amp;flag=1&amp;title=Leonard%2024'%203PT%20Jump%20Shot%20(20%20PTS)%20(Ginobili%204%20AST)", "Leonard 24' 3PT Jump Shot (20 PTS) (Ginobili 4 AST)")</f>
        <v>Leonard 24' 3PT Jump Shot (20 PTS) (Ginobili 4 AST)</v>
      </c>
      <c r="K47" s="2" t="str">
        <f>HYPERLINK("https://www.nba.com/game/...-vs-...-0041300222/play-by-play?watchFullGame=true", "SAS vs POR - Q4 03:19.00")</f>
        <v>SAS vs POR - Q4 03:19.00</v>
      </c>
      <c r="L47">
        <v>24</v>
      </c>
      <c r="M47">
        <v>-235</v>
      </c>
      <c r="N47">
        <v>12</v>
      </c>
      <c r="O47">
        <v>-235</v>
      </c>
      <c r="P47">
        <v>12</v>
      </c>
    </row>
    <row r="48" spans="1:16" x14ac:dyDescent="0.25">
      <c r="A48">
        <v>22400733</v>
      </c>
      <c r="B48">
        <v>2024</v>
      </c>
      <c r="C48" t="s">
        <v>16</v>
      </c>
      <c r="D48" t="s">
        <v>19</v>
      </c>
      <c r="E48">
        <v>8</v>
      </c>
      <c r="F48">
        <v>2</v>
      </c>
      <c r="G48">
        <v>1</v>
      </c>
      <c r="H48" s="1">
        <v>6.9675925925925929E-3</v>
      </c>
      <c r="I48" t="s">
        <v>23</v>
      </c>
      <c r="J48" s="2" t="str">
        <f>HYPERLINK("https://www.nba.com/stats/events?CFID=&amp;CFPARAMS=&amp;GameEventID=21&amp;GameID=0022400733&amp;Season=2024-25&amp;flag=1&amp;title=Leonard%203PT%20%20(3%20PTS)%20(N.%20Powell%201%20AST)", "3PT  (3 PTS) (N. Powell 1 AST)")</f>
        <v>3PT  (3 PTS) (N. Powell 1 AST)</v>
      </c>
      <c r="K48" s="2" t="str">
        <f>HYPERLINK("https://www.nba.com/game/...-vs-...-0022400733/play-by-play?watchFullGame=true", "LAC vs IND - Q1 10:02.00")</f>
        <v>LAC vs IND - Q1 10:02.00</v>
      </c>
      <c r="L48">
        <v>23.68</v>
      </c>
      <c r="M48">
        <v>91.54</v>
      </c>
      <c r="N48">
        <v>2.94</v>
      </c>
      <c r="O48">
        <v>-235</v>
      </c>
      <c r="P48">
        <v>27</v>
      </c>
    </row>
    <row r="49" spans="1:16" x14ac:dyDescent="0.25">
      <c r="A49">
        <v>21600127</v>
      </c>
      <c r="B49">
        <v>2016</v>
      </c>
      <c r="C49" t="s">
        <v>16</v>
      </c>
      <c r="D49" t="s">
        <v>19</v>
      </c>
      <c r="E49">
        <v>65</v>
      </c>
      <c r="F49">
        <v>61</v>
      </c>
      <c r="G49">
        <v>3</v>
      </c>
      <c r="H49" s="1">
        <v>3.5648148148148149E-3</v>
      </c>
      <c r="I49" t="s">
        <v>18</v>
      </c>
      <c r="J49" s="2" t="str">
        <f>HYPERLINK("https://www.nba.com/stats/events?CFID=&amp;CFPARAMS=&amp;GameEventID=277&amp;GameID=0021600127&amp;Season=2016-17&amp;flag=1&amp;title=Leonard%2024'%203PT%20Jump%20Shot%20(14%20PTS)%20(Ginobili%201%20AST)", "Leonard 24' 3PT Jump Shot (14 PTS) (Ginobili 1 AST)")</f>
        <v>Leonard 24' 3PT Jump Shot (14 PTS) (Ginobili 1 AST)</v>
      </c>
      <c r="K49" s="2" t="str">
        <f>HYPERLINK("https://www.nba.com/game/...-vs-...-0021600127/play-by-play?watchFullGame=true", "SAS vs DET - Q3 05:08.00")</f>
        <v>SAS vs DET - Q3 05:08.00</v>
      </c>
      <c r="L49">
        <v>24</v>
      </c>
      <c r="M49">
        <v>-235</v>
      </c>
      <c r="N49">
        <v>65</v>
      </c>
      <c r="O49">
        <v>-235</v>
      </c>
      <c r="P49">
        <v>65</v>
      </c>
    </row>
    <row r="50" spans="1:16" x14ac:dyDescent="0.25">
      <c r="A50">
        <v>22200687</v>
      </c>
      <c r="B50">
        <v>2022</v>
      </c>
      <c r="C50" t="s">
        <v>16</v>
      </c>
      <c r="D50" t="s">
        <v>19</v>
      </c>
      <c r="E50">
        <v>90</v>
      </c>
      <c r="F50">
        <v>86</v>
      </c>
      <c r="G50">
        <v>3</v>
      </c>
      <c r="H50" s="1">
        <v>3.5069444444444445E-3</v>
      </c>
      <c r="I50" t="s">
        <v>23</v>
      </c>
      <c r="J50" s="2" t="str">
        <f>HYPERLINK("https://www.nba.com/stats/events?CFID=&amp;CFPARAMS=&amp;GameEventID=360&amp;GameID=0022200687&amp;Season=2022-23&amp;flag=1&amp;title=Leonard%203PT%20step%20back%20(25%20PTS)%20(N.%20Batum%202%20AST)", "3PT step back (25 PTS) (N. Batum 2 AST)")</f>
        <v>3PT step back (25 PTS) (N. Batum 2 AST)</v>
      </c>
      <c r="K50" s="2" t="str">
        <f>HYPERLINK("https://www.nba.com/game/...-vs-...-0022200687/play-by-play?watchFullGame=true", "LAC vs SAS - Q3 05:03.00")</f>
        <v>LAC vs SAS - Q3 05:03.00</v>
      </c>
      <c r="L50">
        <v>23.44</v>
      </c>
      <c r="M50">
        <v>4.29</v>
      </c>
      <c r="N50">
        <v>96.81</v>
      </c>
      <c r="O50">
        <v>-234</v>
      </c>
      <c r="P50">
        <v>-12</v>
      </c>
    </row>
    <row r="51" spans="1:16" x14ac:dyDescent="0.25">
      <c r="A51">
        <v>41400166</v>
      </c>
      <c r="B51" t="s">
        <v>28</v>
      </c>
      <c r="C51" t="s">
        <v>16</v>
      </c>
      <c r="D51" t="s">
        <v>19</v>
      </c>
      <c r="E51">
        <v>6</v>
      </c>
      <c r="F51">
        <v>5</v>
      </c>
      <c r="G51">
        <v>1</v>
      </c>
      <c r="H51" s="1">
        <v>6.9560185185185185E-3</v>
      </c>
      <c r="I51" t="s">
        <v>18</v>
      </c>
      <c r="J51" s="2" t="str">
        <f>HYPERLINK("https://www.nba.com/stats/events?CFID=&amp;CFPARAMS=&amp;GameEventID=17&amp;GameID=0041400166&amp;Season=2014-15&amp;flag=1&amp;title=Leonard%20%203PT%20Jump%20Shot%20(3%20PTS)%20(Green%201%20AST)", "Leonard  3PT Jump Shot (3 PTS) (Green 1 AST)")</f>
        <v>Leonard  3PT Jump Shot (3 PTS) (Green 1 AST)</v>
      </c>
      <c r="K51" s="2" t="str">
        <f>HYPERLINK("https://www.nba.com/game/...-vs-...-0041400166/play-by-play?watchFullGame=true", "SAS vs LAC - Q1 10:01.00")</f>
        <v>SAS vs LAC - Q1 10:01.00</v>
      </c>
      <c r="L51">
        <v>0</v>
      </c>
      <c r="M51">
        <v>-234</v>
      </c>
      <c r="N51">
        <v>1</v>
      </c>
      <c r="O51">
        <v>-234</v>
      </c>
      <c r="P51">
        <v>1</v>
      </c>
    </row>
    <row r="52" spans="1:16" x14ac:dyDescent="0.25">
      <c r="A52">
        <v>21300312</v>
      </c>
      <c r="B52">
        <v>2013</v>
      </c>
      <c r="C52" t="s">
        <v>16</v>
      </c>
      <c r="D52" t="s">
        <v>19</v>
      </c>
      <c r="E52">
        <v>13</v>
      </c>
      <c r="F52">
        <v>9</v>
      </c>
      <c r="G52">
        <v>1</v>
      </c>
      <c r="H52" s="1">
        <v>5.8333333333333336E-3</v>
      </c>
      <c r="I52" t="s">
        <v>18</v>
      </c>
      <c r="J52" s="2" t="str">
        <f>HYPERLINK("https://www.nba.com/stats/events?CFID=&amp;CFPARAMS=&amp;GameEventID=20&amp;GameID=0021300312&amp;Season=2013-14&amp;flag=1&amp;title=Leonard%20%203PT%20Jump%20Shot%20(3%20PTS)%20(Parker%203%20AST)", "Leonard  3PT Jump Shot (3 PTS) (Parker 3 AST)")</f>
        <v>Leonard  3PT Jump Shot (3 PTS) (Parker 3 AST)</v>
      </c>
      <c r="K52" s="2" t="str">
        <f>HYPERLINK("https://www.nba.com/game/...-vs-...-0021300312/play-by-play?watchFullGame=true", "SAS vs TOR - Q1 08:24.00")</f>
        <v>SAS vs TOR - Q1 08:24.00</v>
      </c>
      <c r="L52">
        <v>0</v>
      </c>
      <c r="M52">
        <v>-234</v>
      </c>
      <c r="N52">
        <v>1</v>
      </c>
      <c r="O52">
        <v>-234</v>
      </c>
      <c r="P52">
        <v>1</v>
      </c>
    </row>
    <row r="53" spans="1:16" x14ac:dyDescent="0.25">
      <c r="A53">
        <v>22200902</v>
      </c>
      <c r="B53">
        <v>2022</v>
      </c>
      <c r="C53" t="s">
        <v>16</v>
      </c>
      <c r="D53" t="s">
        <v>19</v>
      </c>
      <c r="E53">
        <v>5</v>
      </c>
      <c r="F53">
        <v>8</v>
      </c>
      <c r="G53">
        <v>1</v>
      </c>
      <c r="H53" s="1">
        <v>7.1875000000000003E-3</v>
      </c>
      <c r="I53" t="s">
        <v>23</v>
      </c>
      <c r="J53" s="2" t="str">
        <f>HYPERLINK("https://www.nba.com/stats/events?CFID=&amp;CFPARAMS=&amp;GameEventID=23&amp;GameID=0022200902&amp;Season=2022-23&amp;flag=1&amp;title=Leonard%203PT%20%20(3%20PTS)%20(M.%20Morris%20Sr.%201%20AST)", "3PT  (3 PTS) (M. Morris Sr. 1 AST)")</f>
        <v>3PT  (3 PTS) (M. Morris Sr. 1 AST)</v>
      </c>
      <c r="K53" s="2" t="str">
        <f>HYPERLINK("https://www.nba.com/game/...-vs-...-0022200902/play-by-play?watchFullGame=true", "LAC vs SAC - Q1 10:21.00")</f>
        <v>LAC vs SAC - Q1 10:21.00</v>
      </c>
      <c r="L53">
        <v>23.41</v>
      </c>
      <c r="M53">
        <v>94.4</v>
      </c>
      <c r="N53">
        <v>3.19</v>
      </c>
      <c r="O53">
        <v>-234</v>
      </c>
      <c r="P53">
        <v>3</v>
      </c>
    </row>
    <row r="54" spans="1:16" x14ac:dyDescent="0.25">
      <c r="A54">
        <v>22000387</v>
      </c>
      <c r="B54">
        <v>2020</v>
      </c>
      <c r="C54" t="s">
        <v>16</v>
      </c>
      <c r="D54" t="s">
        <v>19</v>
      </c>
      <c r="E54">
        <v>44</v>
      </c>
      <c r="F54">
        <v>37</v>
      </c>
      <c r="G54">
        <v>2</v>
      </c>
      <c r="H54" s="1">
        <v>3.9120370370370368E-3</v>
      </c>
      <c r="I54" t="s">
        <v>23</v>
      </c>
      <c r="J54" s="2" t="str">
        <f>HYPERLINK("https://www.nba.com/stats/events?CFID=&amp;CFPARAMS=&amp;GameEventID=257&amp;GameID=0022000387&amp;Season=2020-21&amp;flag=1&amp;title=Leonard%203PT%20%20(12%20PTS)%20(R.%20Jackson%202%20AST)", "3PT  (12 PTS) (R. Jackson 2 AST)")</f>
        <v>3PT  (12 PTS) (R. Jackson 2 AST)</v>
      </c>
      <c r="K54" s="2" t="str">
        <f>HYPERLINK("https://www.nba.com/game/...-vs-...-0022000387/play-by-play?watchFullGame=true", "LAC vs MIN - Q2 05:38.00")</f>
        <v>LAC vs MIN - Q2 05:38.00</v>
      </c>
      <c r="L54">
        <v>23.37</v>
      </c>
      <c r="M54">
        <v>94.04</v>
      </c>
      <c r="N54">
        <v>3.26</v>
      </c>
      <c r="O54">
        <v>-234</v>
      </c>
      <c r="P54">
        <v>4</v>
      </c>
    </row>
    <row r="55" spans="1:16" x14ac:dyDescent="0.25">
      <c r="A55">
        <v>41800404</v>
      </c>
      <c r="B55" t="s">
        <v>20</v>
      </c>
      <c r="C55" t="s">
        <v>16</v>
      </c>
      <c r="D55" t="s">
        <v>29</v>
      </c>
      <c r="E55">
        <v>13</v>
      </c>
      <c r="F55">
        <v>10</v>
      </c>
      <c r="G55">
        <v>1</v>
      </c>
      <c r="H55" s="1">
        <v>3.3796296296296296E-3</v>
      </c>
      <c r="I55" t="s">
        <v>21</v>
      </c>
      <c r="J55" s="2" t="str">
        <f>HYPERLINK("https://www.nba.com/stats/events?CFID=&amp;CFPARAMS=&amp;GameEventID=87&amp;GameID=0041800404&amp;Season=2018-19&amp;flag=1&amp;title=Leonard%203PT%20Pullup%20Jump%20Shot%20(7%20PTS)%20(Gasol%201%20AST)", "Leonard 3PT Pullup Jump Shot (7 PTS) (Gasol 1 AST)")</f>
        <v>Leonard 3PT Pullup Jump Shot (7 PTS) (Gasol 1 AST)</v>
      </c>
      <c r="K55" s="2" t="str">
        <f>HYPERLINK("https://www.nba.com/game/...-vs-...-0041800404/play-by-play?watchFullGame=true", "TOR vs GSW - Q1 04:52.00")</f>
        <v>TOR vs GSW - Q1 04:52.00</v>
      </c>
      <c r="L55">
        <v>0</v>
      </c>
      <c r="M55">
        <v>-234</v>
      </c>
      <c r="N55">
        <v>18</v>
      </c>
      <c r="O55">
        <v>-234</v>
      </c>
      <c r="P55">
        <v>18</v>
      </c>
    </row>
    <row r="56" spans="1:16" x14ac:dyDescent="0.25">
      <c r="A56">
        <v>41400164</v>
      </c>
      <c r="B56" t="s">
        <v>28</v>
      </c>
      <c r="C56" t="s">
        <v>16</v>
      </c>
      <c r="D56" t="s">
        <v>19</v>
      </c>
      <c r="E56">
        <v>45</v>
      </c>
      <c r="F56">
        <v>46</v>
      </c>
      <c r="G56">
        <v>2</v>
      </c>
      <c r="H56" s="1">
        <v>1.3541666666666667E-3</v>
      </c>
      <c r="I56" t="s">
        <v>18</v>
      </c>
      <c r="J56" s="2" t="str">
        <f>HYPERLINK("https://www.nba.com/stats/events?CFID=&amp;CFPARAMS=&amp;GameEventID=220&amp;GameID=0041400164&amp;Season=2014-15&amp;flag=1&amp;title=Leonard%2024'%203PT%20Jump%20Shot%20(11%20PTS)%20(Ginobili%202%20AST)", "Leonard 24' 3PT Jump Shot (11 PTS) (Ginobili 2 AST)")</f>
        <v>Leonard 24' 3PT Jump Shot (11 PTS) (Ginobili 2 AST)</v>
      </c>
      <c r="K56" s="2" t="str">
        <f>HYPERLINK("https://www.nba.com/game/...-vs-...-0041400164/play-by-play?watchFullGame=true", "SAS vs LAC - Q2 01:57.00")</f>
        <v>SAS vs LAC - Q2 01:57.00</v>
      </c>
      <c r="L56">
        <v>24</v>
      </c>
      <c r="M56">
        <v>-234</v>
      </c>
      <c r="N56">
        <v>22</v>
      </c>
      <c r="O56">
        <v>-234</v>
      </c>
      <c r="P56">
        <v>22</v>
      </c>
    </row>
    <row r="57" spans="1:16" x14ac:dyDescent="0.25">
      <c r="A57">
        <v>41600154</v>
      </c>
      <c r="B57" t="s">
        <v>30</v>
      </c>
      <c r="C57" t="s">
        <v>16</v>
      </c>
      <c r="D57" t="s">
        <v>31</v>
      </c>
      <c r="E57">
        <v>5</v>
      </c>
      <c r="F57">
        <v>9</v>
      </c>
      <c r="G57">
        <v>1</v>
      </c>
      <c r="H57" s="1">
        <v>6.0879629629629626E-3</v>
      </c>
      <c r="I57" t="s">
        <v>18</v>
      </c>
      <c r="J57" s="2" t="str">
        <f>HYPERLINK("https://www.nba.com/stats/events?CFID=&amp;CFPARAMS=&amp;GameEventID=21&amp;GameID=0041600154&amp;Season=2016-17&amp;flag=1&amp;title=Leonard%20%203PT%20Step%20Back%20Jump%20Shot%20(3%20PTS)%20(Parker%202%20AST)", "Leonard  3PT Step Back Jump Shot (3 PTS) (Parker 2 AST)")</f>
        <v>Leonard  3PT Step Back Jump Shot (3 PTS) (Parker 2 AST)</v>
      </c>
      <c r="K57" s="2" t="str">
        <f>HYPERLINK("https://www.nba.com/game/...-vs-...-0041600154/play-by-play?watchFullGame=true", "SAS vs MEM - Q1 08:46.00")</f>
        <v>SAS vs MEM - Q1 08:46.00</v>
      </c>
      <c r="L57">
        <v>0</v>
      </c>
      <c r="M57">
        <v>-233</v>
      </c>
      <c r="N57">
        <v>-26</v>
      </c>
      <c r="O57">
        <v>-233</v>
      </c>
      <c r="P57">
        <v>-26</v>
      </c>
    </row>
    <row r="58" spans="1:16" x14ac:dyDescent="0.25">
      <c r="A58">
        <v>41600311</v>
      </c>
      <c r="B58" t="s">
        <v>30</v>
      </c>
      <c r="C58" t="s">
        <v>16</v>
      </c>
      <c r="D58" t="s">
        <v>29</v>
      </c>
      <c r="E58">
        <v>52</v>
      </c>
      <c r="F58">
        <v>70</v>
      </c>
      <c r="G58">
        <v>3</v>
      </c>
      <c r="H58" s="1">
        <v>6.7824074074074071E-3</v>
      </c>
      <c r="I58" t="s">
        <v>18</v>
      </c>
      <c r="J58" s="2" t="str">
        <f>HYPERLINK("https://www.nba.com/stats/events?CFID=&amp;CFPARAMS=&amp;GameEventID=302&amp;GameID=0041600311&amp;Season=2016-17&amp;flag=1&amp;title=Leonard%20%203PT%20Pullup%20Jump%20Shot%20(23%20PTS)%20(Mills%202%20AST)", "Leonard  3PT Pullup Jump Shot (23 PTS) (Mills 2 AST)")</f>
        <v>Leonard  3PT Pullup Jump Shot (23 PTS) (Mills 2 AST)</v>
      </c>
      <c r="K58" s="2" t="str">
        <f>HYPERLINK("https://www.nba.com/game/...-vs-...-0041600311/play-by-play?watchFullGame=true", "SAS vs GSW - Q3 09:46.00")</f>
        <v>SAS vs GSW - Q3 09:46.00</v>
      </c>
      <c r="L58">
        <v>0</v>
      </c>
      <c r="M58">
        <v>-233</v>
      </c>
      <c r="N58">
        <v>2</v>
      </c>
      <c r="O58">
        <v>-233</v>
      </c>
      <c r="P58">
        <v>2</v>
      </c>
    </row>
    <row r="59" spans="1:16" x14ac:dyDescent="0.25">
      <c r="A59">
        <v>21600717</v>
      </c>
      <c r="B59">
        <v>2016</v>
      </c>
      <c r="C59" t="s">
        <v>16</v>
      </c>
      <c r="D59" t="s">
        <v>19</v>
      </c>
      <c r="E59">
        <v>59</v>
      </c>
      <c r="F59">
        <v>47</v>
      </c>
      <c r="G59">
        <v>2</v>
      </c>
      <c r="H59" s="1">
        <v>1.0069444444444444E-3</v>
      </c>
      <c r="I59" t="s">
        <v>18</v>
      </c>
      <c r="J59" s="2" t="str">
        <f>HYPERLINK("https://www.nba.com/stats/events?CFID=&amp;CFPARAMS=&amp;GameEventID=255&amp;GameID=0021600717&amp;Season=2016-17&amp;flag=1&amp;title=Leonard%20%203PT%20Jump%20Shot%20(11%20PTS)%20(Lee%203%20AST)", "Leonard  3PT Jump Shot (11 PTS) (Lee 3 AST)")</f>
        <v>Leonard  3PT Jump Shot (11 PTS) (Lee 3 AST)</v>
      </c>
      <c r="K59" s="2" t="str">
        <f>HYPERLINK("https://www.nba.com/game/...-vs-...-0021600717/play-by-play?watchFullGame=true", "SAS vs DAL - Q2 01:27.00")</f>
        <v>SAS vs DAL - Q2 01:27.00</v>
      </c>
      <c r="L59">
        <v>0</v>
      </c>
      <c r="M59">
        <v>-233</v>
      </c>
      <c r="N59">
        <v>8</v>
      </c>
      <c r="O59">
        <v>-233</v>
      </c>
      <c r="P59">
        <v>8</v>
      </c>
    </row>
    <row r="60" spans="1:16" x14ac:dyDescent="0.25">
      <c r="A60">
        <v>41600155</v>
      </c>
      <c r="B60" t="s">
        <v>30</v>
      </c>
      <c r="C60" t="s">
        <v>16</v>
      </c>
      <c r="D60" t="s">
        <v>19</v>
      </c>
      <c r="E60">
        <v>41</v>
      </c>
      <c r="F60">
        <v>37</v>
      </c>
      <c r="G60">
        <v>2</v>
      </c>
      <c r="H60" s="1">
        <v>3.5763888888888889E-3</v>
      </c>
      <c r="I60" t="s">
        <v>18</v>
      </c>
      <c r="J60" s="2" t="str">
        <f>HYPERLINK("https://www.nba.com/stats/events?CFID=&amp;CFPARAMS=&amp;GameEventID=186&amp;GameID=0041600155&amp;Season=2016-17&amp;flag=1&amp;title=Leonard%20%203PT%20Jump%20Shot%20(8%20PTS)%20(Parker%201%20AST)", "Leonard  3PT Jump Shot (8 PTS) (Parker 1 AST)")</f>
        <v>Leonard  3PT Jump Shot (8 PTS) (Parker 1 AST)</v>
      </c>
      <c r="K60" s="2" t="str">
        <f>HYPERLINK("https://www.nba.com/game/...-vs-...-0041600155/play-by-play?watchFullGame=true", "SAS vs MEM - Q2 05:09.00")</f>
        <v>SAS vs MEM - Q2 05:09.00</v>
      </c>
      <c r="L60">
        <v>0</v>
      </c>
      <c r="M60">
        <v>-233</v>
      </c>
      <c r="N60">
        <v>16</v>
      </c>
      <c r="O60">
        <v>-233</v>
      </c>
      <c r="P60">
        <v>16</v>
      </c>
    </row>
    <row r="61" spans="1:16" x14ac:dyDescent="0.25">
      <c r="A61">
        <v>21600150</v>
      </c>
      <c r="B61">
        <v>2016</v>
      </c>
      <c r="C61" t="s">
        <v>16</v>
      </c>
      <c r="D61" t="s">
        <v>19</v>
      </c>
      <c r="E61">
        <v>53</v>
      </c>
      <c r="F61">
        <v>35</v>
      </c>
      <c r="G61">
        <v>2</v>
      </c>
      <c r="H61" s="1">
        <v>1.3541666666666667E-3</v>
      </c>
      <c r="I61" t="s">
        <v>18</v>
      </c>
      <c r="J61" s="2" t="str">
        <f>HYPERLINK("https://www.nba.com/stats/events?CFID=&amp;CFPARAMS=&amp;GameEventID=229&amp;GameID=0021600150&amp;Season=2016-17&amp;flag=1&amp;title=Leonard%2024'%203PT%20Jump%20Shot%20(13%20PTS)%20(Aldridge%201%20AST)", "Leonard 24' 3PT Jump Shot (13 PTS) (Aldridge 1 AST)")</f>
        <v>Leonard 24' 3PT Jump Shot (13 PTS) (Aldridge 1 AST)</v>
      </c>
      <c r="K61" s="2" t="str">
        <f>HYPERLINK("https://www.nba.com/game/...-vs-...-0021600150/play-by-play?watchFullGame=true", "SAS vs MIA - Q2 01:57.00")</f>
        <v>SAS vs MIA - Q2 01:57.00</v>
      </c>
      <c r="L61">
        <v>24</v>
      </c>
      <c r="M61">
        <v>-233</v>
      </c>
      <c r="N61">
        <v>31</v>
      </c>
      <c r="O61">
        <v>-233</v>
      </c>
      <c r="P61">
        <v>31</v>
      </c>
    </row>
    <row r="62" spans="1:16" x14ac:dyDescent="0.25">
      <c r="A62">
        <v>22400842</v>
      </c>
      <c r="B62">
        <v>2024</v>
      </c>
      <c r="C62" t="s">
        <v>16</v>
      </c>
      <c r="D62" t="s">
        <v>19</v>
      </c>
      <c r="E62">
        <v>12</v>
      </c>
      <c r="F62">
        <v>18</v>
      </c>
      <c r="G62">
        <v>1</v>
      </c>
      <c r="H62" s="1">
        <v>3.425925925925926E-3</v>
      </c>
      <c r="I62" t="s">
        <v>23</v>
      </c>
      <c r="J62" s="2" t="str">
        <f>HYPERLINK("https://www.nba.com/stats/events?CFID=&amp;CFPARAMS=&amp;GameEventID=84&amp;GameID=0022400842&amp;Season=2024-25&amp;flag=1&amp;title=Leonard%203PT%20%20(5%20PTS)%20(I.%20Zubac%201%20AST)", "3PT  (5 PTS) (I. Zubac 1 AST)")</f>
        <v>3PT  (5 PTS) (I. Zubac 1 AST)</v>
      </c>
      <c r="K62" s="2" t="str">
        <f>HYPERLINK("https://www.nba.com/game/...-vs-...-0022400842/play-by-play?watchFullGame=true", "LAC vs CHI - Q1 04:56.00")</f>
        <v>LAC vs CHI - Q1 04:56.00</v>
      </c>
      <c r="L62">
        <v>23.7</v>
      </c>
      <c r="M62">
        <v>10.38</v>
      </c>
      <c r="N62">
        <v>96.55</v>
      </c>
      <c r="O62">
        <v>-233</v>
      </c>
      <c r="P62">
        <v>45</v>
      </c>
    </row>
    <row r="63" spans="1:16" x14ac:dyDescent="0.25">
      <c r="A63">
        <v>22300343</v>
      </c>
      <c r="B63">
        <v>2023</v>
      </c>
      <c r="C63" t="s">
        <v>16</v>
      </c>
      <c r="D63" t="s">
        <v>19</v>
      </c>
      <c r="E63">
        <v>16</v>
      </c>
      <c r="F63">
        <v>10</v>
      </c>
      <c r="G63">
        <v>1</v>
      </c>
      <c r="H63" s="1">
        <v>5.185185185185185E-3</v>
      </c>
      <c r="I63" t="s">
        <v>23</v>
      </c>
      <c r="J63" s="2" t="str">
        <f>HYPERLINK("https://www.nba.com/stats/events?CFID=&amp;CFPARAMS=&amp;GameEventID=64&amp;GameID=0022300343&amp;Season=2023-24&amp;flag=1&amp;title=Leonard%203PT%20%20(5%20PTS)%20(P.%20George%203%20AST)", "3PT  (5 PTS) (P. George 3 AST)")</f>
        <v>3PT  (5 PTS) (P. George 3 AST)</v>
      </c>
      <c r="K63" s="2" t="str">
        <f>HYPERLINK("https://www.nba.com/game/...-vs-...-0022300343/play-by-play?watchFullGame=true", "LAC vs NYK - Q1 07:28.00")</f>
        <v>LAC vs NYK - Q1 07:28.00</v>
      </c>
      <c r="L63">
        <v>23.91</v>
      </c>
      <c r="M63">
        <v>88.62</v>
      </c>
      <c r="N63">
        <v>3.43</v>
      </c>
      <c r="O63">
        <v>-233</v>
      </c>
      <c r="P63">
        <v>55</v>
      </c>
    </row>
    <row r="64" spans="1:16" x14ac:dyDescent="0.25">
      <c r="A64">
        <v>22300309</v>
      </c>
      <c r="B64">
        <v>2023</v>
      </c>
      <c r="C64" t="s">
        <v>16</v>
      </c>
      <c r="D64" t="s">
        <v>19</v>
      </c>
      <c r="E64">
        <v>95</v>
      </c>
      <c r="F64">
        <v>66</v>
      </c>
      <c r="G64">
        <v>3</v>
      </c>
      <c r="H64" s="1">
        <v>1.1921296296296296E-3</v>
      </c>
      <c r="I64" t="s">
        <v>23</v>
      </c>
      <c r="J64" s="2" t="str">
        <f>HYPERLINK("https://www.nba.com/stats/events?CFID=&amp;CFPARAMS=&amp;GameEventID=472&amp;GameID=0022300309&amp;Season=2023-24&amp;flag=1&amp;title=Leonard%2024'%203PT%20%20(27%20PTS)%20(R.%20Westbrook%202%20AST)", "24' 3PT  (27 PTS) (R. Westbrook 2 AST)")</f>
        <v>24' 3PT  (27 PTS) (R. Westbrook 2 AST)</v>
      </c>
      <c r="K64" s="2" t="str">
        <f>HYPERLINK("https://www.nba.com/game/...-vs-...-0022300309/play-by-play?watchFullGame=true", "LAC vs SAC - Q3 01:43.00")</f>
        <v>LAC vs SAC - Q3 01:43.00</v>
      </c>
      <c r="L64">
        <v>24.28</v>
      </c>
      <c r="M64">
        <v>12.93</v>
      </c>
      <c r="N64">
        <v>96.57</v>
      </c>
      <c r="O64">
        <v>-233</v>
      </c>
      <c r="P64">
        <v>69</v>
      </c>
    </row>
    <row r="65" spans="1:16" x14ac:dyDescent="0.25">
      <c r="A65">
        <v>41300402</v>
      </c>
      <c r="B65" t="s">
        <v>26</v>
      </c>
      <c r="C65" t="s">
        <v>16</v>
      </c>
      <c r="D65" t="s">
        <v>19</v>
      </c>
      <c r="E65">
        <v>55</v>
      </c>
      <c r="F65">
        <v>54</v>
      </c>
      <c r="G65">
        <v>3</v>
      </c>
      <c r="H65" s="1">
        <v>5.9143518518518521E-3</v>
      </c>
      <c r="I65" t="s">
        <v>18</v>
      </c>
      <c r="J65" s="2" t="str">
        <f>HYPERLINK("https://www.nba.com/stats/events?CFID=&amp;CFPARAMS=&amp;GameEventID=281&amp;GameID=0041300402&amp;Season=2013-14&amp;flag=1&amp;title=Leonard%20%203PT%20Jump%20Shot%20(6%20PTS)%20(Parker%205%20AST)", "Leonard  3PT Jump Shot (6 PTS) (Parker 5 AST)")</f>
        <v>Leonard  3PT Jump Shot (6 PTS) (Parker 5 AST)</v>
      </c>
      <c r="K65" s="2" t="str">
        <f>HYPERLINK("https://www.nba.com/game/...-vs-...-0041300402/play-by-play?watchFullGame=true", "SAS vs MIA - Q3 08:31.00")</f>
        <v>SAS vs MIA - Q3 08:31.00</v>
      </c>
      <c r="L65">
        <v>0</v>
      </c>
      <c r="M65">
        <v>-232</v>
      </c>
      <c r="N65">
        <v>-19</v>
      </c>
      <c r="O65">
        <v>-232</v>
      </c>
      <c r="P65">
        <v>-19</v>
      </c>
    </row>
    <row r="66" spans="1:16" x14ac:dyDescent="0.25">
      <c r="A66">
        <v>22400697</v>
      </c>
      <c r="B66">
        <v>2024</v>
      </c>
      <c r="C66" t="s">
        <v>16</v>
      </c>
      <c r="D66" t="s">
        <v>19</v>
      </c>
      <c r="E66">
        <v>98</v>
      </c>
      <c r="F66">
        <v>88</v>
      </c>
      <c r="G66">
        <v>4</v>
      </c>
      <c r="H66" s="1">
        <v>5.4976851851851853E-3</v>
      </c>
      <c r="I66" t="s">
        <v>23</v>
      </c>
      <c r="J66" s="2" t="str">
        <f>HYPERLINK("https://www.nba.com/stats/events?CFID=&amp;CFPARAMS=&amp;GameEventID=522&amp;GameID=0022400697&amp;Season=2024-25&amp;flag=1&amp;title=Leonard%203PT%20running%20(14%20PTS)%20(Porter%20Jr.%204%20AST)", "3PT running (14 PTS) (K. Porter Jr. 4 AST)")</f>
        <v>3PT running (14 PTS) (K. Porter Jr. 4 AST)</v>
      </c>
      <c r="K66" s="2" t="str">
        <f>HYPERLINK("https://www.nba.com/game/...-vs-...-0022400697/play-by-play?watchFullGame=true", "LAC vs TOR - Q4 07:55.00")</f>
        <v>LAC vs TOR - Q4 07:55.00</v>
      </c>
      <c r="L66">
        <v>23.22</v>
      </c>
      <c r="M66">
        <v>3.76</v>
      </c>
      <c r="N66">
        <v>96.32</v>
      </c>
      <c r="O66">
        <v>-232</v>
      </c>
      <c r="P66">
        <v>-17</v>
      </c>
    </row>
    <row r="67" spans="1:16" x14ac:dyDescent="0.25">
      <c r="A67">
        <v>21401113</v>
      </c>
      <c r="B67">
        <v>2014</v>
      </c>
      <c r="C67" t="s">
        <v>16</v>
      </c>
      <c r="D67" t="s">
        <v>19</v>
      </c>
      <c r="E67">
        <v>10</v>
      </c>
      <c r="F67">
        <v>10</v>
      </c>
      <c r="G67">
        <v>1</v>
      </c>
      <c r="H67" s="1">
        <v>5.185185185185185E-3</v>
      </c>
      <c r="I67" t="s">
        <v>18</v>
      </c>
      <c r="J67" s="2" t="str">
        <f>HYPERLINK("https://www.nba.com/stats/events?CFID=&amp;CFPARAMS=&amp;GameEventID=39&amp;GameID=0021401113&amp;Season=2014-15&amp;flag=1&amp;title=Leonard%203PT%20Jump%20Shot%20(7%20PTS)%20(Parker%201%20AST)", "Leonard 3PT Jump Shot (7 PTS) (Parker 1 AST)")</f>
        <v>Leonard 3PT Jump Shot (7 PTS) (Parker 1 AST)</v>
      </c>
      <c r="K67" s="2" t="str">
        <f>HYPERLINK("https://www.nba.com/game/...-vs-...-0021401113/play-by-play?watchFullGame=true", "SAS vs ORL - Q1 07:28.00")</f>
        <v>SAS vs ORL - Q1 07:28.00</v>
      </c>
      <c r="L67">
        <v>0</v>
      </c>
      <c r="M67">
        <v>-232</v>
      </c>
      <c r="N67">
        <v>-13</v>
      </c>
      <c r="O67">
        <v>-232</v>
      </c>
      <c r="P67">
        <v>-13</v>
      </c>
    </row>
    <row r="68" spans="1:16" x14ac:dyDescent="0.25">
      <c r="A68">
        <v>21600289</v>
      </c>
      <c r="B68">
        <v>2016</v>
      </c>
      <c r="C68" t="s">
        <v>16</v>
      </c>
      <c r="D68" t="s">
        <v>19</v>
      </c>
      <c r="E68">
        <v>43</v>
      </c>
      <c r="F68">
        <v>49</v>
      </c>
      <c r="G68">
        <v>2</v>
      </c>
      <c r="H68" s="1">
        <v>3.0439814814814813E-3</v>
      </c>
      <c r="I68" t="s">
        <v>18</v>
      </c>
      <c r="J68" s="2" t="str">
        <f>HYPERLINK("https://www.nba.com/stats/events?CFID=&amp;CFPARAMS=&amp;GameEventID=208&amp;GameID=0021600289&amp;Season=2016-17&amp;flag=1&amp;title=Leonard%20%203PT%20Jump%20Shot%20(13%20PTS)%20(Laprovittola%202%20AST)", "Leonard  3PT Jump Shot (13 PTS) (Laprovittola 2 AST)")</f>
        <v>Leonard  3PT Jump Shot (13 PTS) (Laprovittola 2 AST)</v>
      </c>
      <c r="K68" s="2" t="str">
        <f>HYPERLINK("https://www.nba.com/game/...-vs-...-0021600289/play-by-play?watchFullGame=true", "SAS vs WAS - Q2 04:23.00")</f>
        <v>SAS vs WAS - Q2 04:23.00</v>
      </c>
      <c r="L68">
        <v>0</v>
      </c>
      <c r="M68">
        <v>-232</v>
      </c>
      <c r="N68">
        <v>-11</v>
      </c>
      <c r="O68">
        <v>-232</v>
      </c>
      <c r="P68">
        <v>-11</v>
      </c>
    </row>
    <row r="69" spans="1:16" x14ac:dyDescent="0.25">
      <c r="A69">
        <v>21401010</v>
      </c>
      <c r="B69">
        <v>2014</v>
      </c>
      <c r="C69" t="s">
        <v>16</v>
      </c>
      <c r="D69" t="s">
        <v>19</v>
      </c>
      <c r="E69">
        <v>20</v>
      </c>
      <c r="F69">
        <v>17</v>
      </c>
      <c r="G69">
        <v>1</v>
      </c>
      <c r="H69" s="1">
        <v>3.3796296296296296E-3</v>
      </c>
      <c r="I69" t="s">
        <v>18</v>
      </c>
      <c r="J69" s="2" t="str">
        <f>HYPERLINK("https://www.nba.com/stats/events?CFID=&amp;CFPARAMS=&amp;GameEventID=73&amp;GameID=0021401010&amp;Season=2014-15&amp;flag=1&amp;title=Leonard%20%203PT%20Jump%20Shot%20(8%20PTS)%20(Diaw%201%20AST)", "Leonard  3PT Jump Shot (8 PTS) (Diaw 1 AST)")</f>
        <v>Leonard  3PT Jump Shot (8 PTS) (Diaw 1 AST)</v>
      </c>
      <c r="K69" s="2" t="str">
        <f>HYPERLINK("https://www.nba.com/game/...-vs-...-0021401010/play-by-play?watchFullGame=true", "SAS vs MIL - Q1 04:52.00")</f>
        <v>SAS vs MIL - Q1 04:52.00</v>
      </c>
      <c r="L69">
        <v>0</v>
      </c>
      <c r="M69">
        <v>-232</v>
      </c>
      <c r="N69">
        <v>-10</v>
      </c>
      <c r="O69">
        <v>-232</v>
      </c>
      <c r="P69">
        <v>-10</v>
      </c>
    </row>
    <row r="70" spans="1:16" x14ac:dyDescent="0.25">
      <c r="A70">
        <v>21600053</v>
      </c>
      <c r="B70">
        <v>2016</v>
      </c>
      <c r="C70" t="s">
        <v>16</v>
      </c>
      <c r="D70" t="s">
        <v>19</v>
      </c>
      <c r="E70">
        <v>42</v>
      </c>
      <c r="F70">
        <v>47</v>
      </c>
      <c r="G70">
        <v>2</v>
      </c>
      <c r="H70" s="1">
        <v>3.4027777777777776E-3</v>
      </c>
      <c r="I70" t="s">
        <v>18</v>
      </c>
      <c r="J70" s="2" t="str">
        <f>HYPERLINK("https://www.nba.com/stats/events?CFID=&amp;CFPARAMS=&amp;GameEventID=180&amp;GameID=0021600053&amp;Season=2016-17&amp;flag=1&amp;title=Leonard%20%203PT%20Jump%20Shot%20(16%20PTS)", "Leonard  3PT Jump Shot (16 PTS)")</f>
        <v>Leonard  3PT Jump Shot (16 PTS)</v>
      </c>
      <c r="K70" s="2" t="str">
        <f>HYPERLINK("https://www.nba.com/game/...-vs-...-0021600053/play-by-play?watchFullGame=true", "SAS vs UTA - Q2 04:54.00")</f>
        <v>SAS vs UTA - Q2 04:54.00</v>
      </c>
      <c r="L70">
        <v>0</v>
      </c>
      <c r="M70">
        <v>-232</v>
      </c>
      <c r="N70">
        <v>-10</v>
      </c>
      <c r="O70">
        <v>-232</v>
      </c>
      <c r="P70">
        <v>-10</v>
      </c>
    </row>
    <row r="71" spans="1:16" x14ac:dyDescent="0.25">
      <c r="A71">
        <v>21400595</v>
      </c>
      <c r="B71">
        <v>2014</v>
      </c>
      <c r="C71" t="s">
        <v>16</v>
      </c>
      <c r="D71" t="s">
        <v>19</v>
      </c>
      <c r="E71">
        <v>69</v>
      </c>
      <c r="F71">
        <v>60</v>
      </c>
      <c r="G71">
        <v>3</v>
      </c>
      <c r="H71" s="1">
        <v>6.7476851851851856E-3</v>
      </c>
      <c r="I71" t="s">
        <v>18</v>
      </c>
      <c r="J71" s="2" t="str">
        <f>HYPERLINK("https://www.nba.com/stats/events?CFID=&amp;CFPARAMS=&amp;GameEventID=282&amp;GameID=0021400595&amp;Season=2014-15&amp;flag=1&amp;title=Leonard%20%203PT%20Jump%20Shot%20(11%20PTS)%20(Green%201%20AST)", "Leonard  3PT Jump Shot (11 PTS) (Green 1 AST)")</f>
        <v>Leonard  3PT Jump Shot (11 PTS) (Green 1 AST)</v>
      </c>
      <c r="K71" s="2" t="str">
        <f>HYPERLINK("https://www.nba.com/game/...-vs-...-0021400595/play-by-play?watchFullGame=true", "SAS vs POR - Q3 09:43.00")</f>
        <v>SAS vs POR - Q3 09:43.00</v>
      </c>
      <c r="L71">
        <v>0</v>
      </c>
      <c r="M71">
        <v>-232</v>
      </c>
      <c r="N71">
        <v>-8</v>
      </c>
      <c r="O71">
        <v>-232</v>
      </c>
      <c r="P71">
        <v>-8</v>
      </c>
    </row>
    <row r="72" spans="1:16" x14ac:dyDescent="0.25">
      <c r="A72">
        <v>41400162</v>
      </c>
      <c r="B72" t="s">
        <v>28</v>
      </c>
      <c r="C72" t="s">
        <v>16</v>
      </c>
      <c r="D72" t="s">
        <v>19</v>
      </c>
      <c r="E72">
        <v>18</v>
      </c>
      <c r="F72">
        <v>21</v>
      </c>
      <c r="G72">
        <v>1</v>
      </c>
      <c r="H72" s="1">
        <v>2.1412037037037038E-3</v>
      </c>
      <c r="I72" t="s">
        <v>18</v>
      </c>
      <c r="J72" s="2" t="str">
        <f>HYPERLINK("https://www.nba.com/stats/events?CFID=&amp;CFPARAMS=&amp;GameEventID=70&amp;GameID=0041400162&amp;Season=2014-15&amp;flag=1&amp;title=Leonard%20%203PT%20Jump%20Shot%20(5%20PTS)%20(Green%201%20AST)", "Leonard  3PT Jump Shot (5 PTS) (Green 1 AST)")</f>
        <v>Leonard  3PT Jump Shot (5 PTS) (Green 1 AST)</v>
      </c>
      <c r="K72" s="2" t="str">
        <f>HYPERLINK("https://www.nba.com/game/...-vs-...-0041400162/play-by-play?watchFullGame=true", "SAS vs LAC - Q1 03:05.00")</f>
        <v>SAS vs LAC - Q1 03:05.00</v>
      </c>
      <c r="L72">
        <v>0</v>
      </c>
      <c r="M72">
        <v>-232</v>
      </c>
      <c r="N72">
        <v>-6</v>
      </c>
      <c r="O72">
        <v>-232</v>
      </c>
      <c r="P72">
        <v>-6</v>
      </c>
    </row>
    <row r="73" spans="1:16" x14ac:dyDescent="0.25">
      <c r="A73">
        <v>21401071</v>
      </c>
      <c r="B73">
        <v>2014</v>
      </c>
      <c r="C73" t="s">
        <v>16</v>
      </c>
      <c r="D73" t="s">
        <v>19</v>
      </c>
      <c r="E73">
        <v>71</v>
      </c>
      <c r="F73">
        <v>50</v>
      </c>
      <c r="G73">
        <v>2</v>
      </c>
      <c r="H73" s="1">
        <v>0</v>
      </c>
      <c r="I73" t="s">
        <v>18</v>
      </c>
      <c r="J73" s="2" t="str">
        <f>HYPERLINK("https://www.nba.com/stats/events?CFID=&amp;CFPARAMS=&amp;GameEventID=244&amp;GameID=0021401071&amp;Season=2014-15&amp;flag=1&amp;title=Leonard%20%203PT%20Jump%20Shot%20(12%20PTS)%20(Diaw%201%20AST)", "Leonard  3PT Jump Shot (12 PTS) (Diaw 1 AST)")</f>
        <v>Leonard  3PT Jump Shot (12 PTS) (Diaw 1 AST)</v>
      </c>
      <c r="K73" s="2" t="str">
        <f>HYPERLINK("https://www.nba.com/game/...-vs-...-0021401071/play-by-play?watchFullGame=true", "SAS vs OKC - Q2 00:00.00")</f>
        <v>SAS vs OKC - Q2 00:00.00</v>
      </c>
      <c r="L73">
        <v>0</v>
      </c>
      <c r="M73">
        <v>-232</v>
      </c>
      <c r="N73">
        <v>-3</v>
      </c>
      <c r="O73">
        <v>-232</v>
      </c>
      <c r="P73">
        <v>-3</v>
      </c>
    </row>
    <row r="74" spans="1:16" x14ac:dyDescent="0.25">
      <c r="A74">
        <v>21400220</v>
      </c>
      <c r="B74">
        <v>2014</v>
      </c>
      <c r="C74" t="s">
        <v>16</v>
      </c>
      <c r="D74" t="s">
        <v>19</v>
      </c>
      <c r="E74">
        <v>94</v>
      </c>
      <c r="F74">
        <v>91</v>
      </c>
      <c r="G74">
        <v>4</v>
      </c>
      <c r="H74" s="1">
        <v>3.6458333333333334E-3</v>
      </c>
      <c r="I74" t="s">
        <v>18</v>
      </c>
      <c r="J74" s="2" t="str">
        <f>HYPERLINK("https://www.nba.com/stats/events?CFID=&amp;CFPARAMS=&amp;GameEventID=438&amp;GameID=0021400220&amp;Season=2014-15&amp;flag=1&amp;title=Leonard%20%203PT%20Jump%20Shot%20(18%20PTS)%20(Green%203%20AST)", "Leonard  3PT Jump Shot (18 PTS) (Green 3 AST)")</f>
        <v>Leonard  3PT Jump Shot (18 PTS) (Green 3 AST)</v>
      </c>
      <c r="K74" s="2" t="str">
        <f>HYPERLINK("https://www.nba.com/game/...-vs-...-0021400220/play-by-play?watchFullGame=true", "SAS vs IND - Q4 05:15.00")</f>
        <v>SAS vs IND - Q4 05:15.00</v>
      </c>
      <c r="L74">
        <v>0</v>
      </c>
      <c r="M74">
        <v>-232</v>
      </c>
      <c r="N74">
        <v>-2</v>
      </c>
      <c r="O74">
        <v>-232</v>
      </c>
      <c r="P74">
        <v>-2</v>
      </c>
    </row>
    <row r="75" spans="1:16" x14ac:dyDescent="0.25">
      <c r="A75">
        <v>22300486</v>
      </c>
      <c r="B75">
        <v>2023</v>
      </c>
      <c r="C75" t="s">
        <v>16</v>
      </c>
      <c r="D75" t="s">
        <v>19</v>
      </c>
      <c r="E75">
        <v>44</v>
      </c>
      <c r="F75">
        <v>66</v>
      </c>
      <c r="G75">
        <v>3</v>
      </c>
      <c r="H75" s="1">
        <v>7.1759259259259259E-3</v>
      </c>
      <c r="I75" t="s">
        <v>23</v>
      </c>
      <c r="J75" s="2" t="str">
        <f>HYPERLINK("https://www.nba.com/stats/events?CFID=&amp;CFPARAMS=&amp;GameEventID=349&amp;GameID=0022300486&amp;Season=2023-24&amp;flag=1&amp;title=Leonard%203PT%20%20(9%20PTS)%20(T.%20Mann%201%20AST)", "3PT  (9 PTS) (T. Mann 1 AST)")</f>
        <v>3PT  (9 PTS) (T. Mann 1 AST)</v>
      </c>
      <c r="K75" s="2" t="str">
        <f>HYPERLINK("https://www.nba.com/game/...-vs-...-0022300486/play-by-play?watchFullGame=true", "LAC vs NOP - Q3 10:20.00")</f>
        <v>LAC vs NOP - Q3 10:20.00</v>
      </c>
      <c r="L75">
        <v>23.16</v>
      </c>
      <c r="M75">
        <v>5.73</v>
      </c>
      <c r="N75">
        <v>96.32</v>
      </c>
      <c r="O75">
        <v>-232</v>
      </c>
      <c r="P75">
        <v>1</v>
      </c>
    </row>
    <row r="76" spans="1:16" x14ac:dyDescent="0.25">
      <c r="A76">
        <v>21500532</v>
      </c>
      <c r="B76">
        <v>2015</v>
      </c>
      <c r="C76" t="s">
        <v>16</v>
      </c>
      <c r="D76" t="s">
        <v>19</v>
      </c>
      <c r="E76">
        <v>42</v>
      </c>
      <c r="F76">
        <v>27</v>
      </c>
      <c r="G76">
        <v>2</v>
      </c>
      <c r="H76" s="1">
        <v>6.3773148148148148E-3</v>
      </c>
      <c r="I76" t="s">
        <v>18</v>
      </c>
      <c r="J76" s="2" t="str">
        <f>HYPERLINK("https://www.nba.com/stats/events?CFID=&amp;CFPARAMS=&amp;GameEventID=140&amp;GameID=0021500532&amp;Season=2015-16&amp;flag=1&amp;title=Leonard%20%203PT%20Jump%20Shot%20(10%20PTS)%20(Ginobili%201%20AST)", "Leonard  3PT Jump Shot (10 PTS) (Ginobili 1 AST)")</f>
        <v>Leonard  3PT Jump Shot (10 PTS) (Ginobili 1 AST)</v>
      </c>
      <c r="K76" s="2" t="str">
        <f>HYPERLINK("https://www.nba.com/game/...-vs-...-0021500532/play-by-play?watchFullGame=true", "SAS vs UTA - Q2 09:11.00")</f>
        <v>SAS vs UTA - Q2 09:11.00</v>
      </c>
      <c r="L76">
        <v>0</v>
      </c>
      <c r="M76">
        <v>-232</v>
      </c>
      <c r="N76">
        <v>2</v>
      </c>
      <c r="O76">
        <v>-232</v>
      </c>
      <c r="P76">
        <v>2</v>
      </c>
    </row>
    <row r="77" spans="1:16" x14ac:dyDescent="0.25">
      <c r="A77">
        <v>41600154</v>
      </c>
      <c r="B77" t="s">
        <v>30</v>
      </c>
      <c r="C77" t="s">
        <v>16</v>
      </c>
      <c r="D77" t="s">
        <v>19</v>
      </c>
      <c r="E77">
        <v>108</v>
      </c>
      <c r="F77">
        <v>108</v>
      </c>
      <c r="G77">
        <v>5</v>
      </c>
      <c r="H77" s="1">
        <v>1.3888888888888889E-4</v>
      </c>
      <c r="I77" t="s">
        <v>18</v>
      </c>
      <c r="J77" s="2" t="str">
        <f>HYPERLINK("https://www.nba.com/stats/events?CFID=&amp;CFPARAMS=&amp;GameEventID=583&amp;GameID=0041600154&amp;Season=2016-17&amp;flag=1&amp;title=Leonard%20%203PT%20Jump%20Shot%20(43%20PTS)%20(Mills%204%20AST)", "Leonard  3PT Jump Shot (43 PTS) (Mills 4 AST)")</f>
        <v>Leonard  3PT Jump Shot (43 PTS) (Mills 4 AST)</v>
      </c>
      <c r="K77" s="2" t="str">
        <f>HYPERLINK("https://www.nba.com/game/...-vs-...-0041600154/play-by-play?watchFullGame=true", "SAS vs MEM - Q5 00:12.00")</f>
        <v>SAS vs MEM - Q5 00:12.00</v>
      </c>
      <c r="L77">
        <v>0</v>
      </c>
      <c r="M77">
        <v>-232</v>
      </c>
      <c r="N77">
        <v>2</v>
      </c>
      <c r="O77">
        <v>-232</v>
      </c>
      <c r="P77">
        <v>2</v>
      </c>
    </row>
    <row r="78" spans="1:16" x14ac:dyDescent="0.25">
      <c r="A78">
        <v>21600454</v>
      </c>
      <c r="B78">
        <v>2016</v>
      </c>
      <c r="C78" t="s">
        <v>16</v>
      </c>
      <c r="D78" t="s">
        <v>19</v>
      </c>
      <c r="E78">
        <v>35</v>
      </c>
      <c r="F78">
        <v>48</v>
      </c>
      <c r="G78">
        <v>2</v>
      </c>
      <c r="H78" s="1">
        <v>2.2453703703703702E-3</v>
      </c>
      <c r="I78" t="s">
        <v>18</v>
      </c>
      <c r="J78" s="2" t="str">
        <f>HYPERLINK("https://www.nba.com/stats/events?CFID=&amp;CFPARAMS=&amp;GameEventID=225&amp;GameID=0021600454&amp;Season=2016-17&amp;flag=1&amp;title=Leonard%20%203PT%20Jump%20Shot%20(12%20PTS)%20(Mills%203%20AST)", "Leonard  3PT Jump Shot (12 PTS) (Mills 3 AST)")</f>
        <v>Leonard  3PT Jump Shot (12 PTS) (Mills 3 AST)</v>
      </c>
      <c r="K78" s="2" t="str">
        <f>HYPERLINK("https://www.nba.com/game/...-vs-...-0021600454/play-by-play?watchFullGame=true", "SAS vs POR - Q2 03:14.00")</f>
        <v>SAS vs POR - Q2 03:14.00</v>
      </c>
      <c r="L78">
        <v>0</v>
      </c>
      <c r="M78">
        <v>-232</v>
      </c>
      <c r="N78">
        <v>7</v>
      </c>
      <c r="O78">
        <v>-232</v>
      </c>
      <c r="P78">
        <v>7</v>
      </c>
    </row>
    <row r="79" spans="1:16" x14ac:dyDescent="0.25">
      <c r="A79">
        <v>21900002</v>
      </c>
      <c r="B79">
        <v>2019</v>
      </c>
      <c r="C79" t="s">
        <v>16</v>
      </c>
      <c r="D79" t="s">
        <v>19</v>
      </c>
      <c r="E79">
        <v>27</v>
      </c>
      <c r="F79">
        <v>25</v>
      </c>
      <c r="G79">
        <v>2</v>
      </c>
      <c r="H79" s="1">
        <v>7.6620370370370366E-3</v>
      </c>
      <c r="I79" t="s">
        <v>23</v>
      </c>
      <c r="J79" s="2" t="str">
        <f>HYPERLINK("https://www.nba.com/stats/events?CFID=&amp;CFPARAMS=&amp;GameEventID=185&amp;GameID=0021900002&amp;Season=2019-20&amp;flag=1&amp;title=Leonard%2023'%203PT%20%20(9%20PTS)%20(L.%20Williams%203%20AST)", "23' 3PT  (9 PTS) (L. Williams 3 AST)")</f>
        <v>23' 3PT  (9 PTS) (L. Williams 3 AST)</v>
      </c>
      <c r="K79" s="2" t="str">
        <f>HYPERLINK("https://www.nba.com/game/...-vs-...-0021900002/play-by-play?watchFullGame=true", "LAC vs LAL - Q2 11:02.00")</f>
        <v>LAC vs LAL - Q2 11:02.00</v>
      </c>
      <c r="L79">
        <v>23.24</v>
      </c>
      <c r="M79">
        <v>93.61</v>
      </c>
      <c r="N79">
        <v>3.61</v>
      </c>
      <c r="O79">
        <v>-232</v>
      </c>
      <c r="P79">
        <v>8</v>
      </c>
    </row>
    <row r="80" spans="1:16" x14ac:dyDescent="0.25">
      <c r="A80">
        <v>22000509</v>
      </c>
      <c r="B80">
        <v>2020</v>
      </c>
      <c r="C80" t="s">
        <v>16</v>
      </c>
      <c r="D80" t="s">
        <v>19</v>
      </c>
      <c r="E80">
        <v>19</v>
      </c>
      <c r="F80">
        <v>27</v>
      </c>
      <c r="G80">
        <v>1</v>
      </c>
      <c r="H80" s="1">
        <v>1.3541666666666667E-3</v>
      </c>
      <c r="I80" t="s">
        <v>23</v>
      </c>
      <c r="J80" s="2" t="str">
        <f>HYPERLINK("https://www.nba.com/stats/events?CFID=&amp;CFPARAMS=&amp;GameEventID=131&amp;GameID=0022000509&amp;Season=2020-21&amp;flag=1&amp;title=Leonard%203PT%20%20(11%20PTS)%20(T.%20Mann%201%20AST)", "3PT  (11 PTS) (T. Mann 1 AST)")</f>
        <v>3PT  (11 PTS) (T. Mann 1 AST)</v>
      </c>
      <c r="K80" s="2" t="str">
        <f>HYPERLINK("https://www.nba.com/game/...-vs-...-0022000509/play-by-play?watchFullGame=true", "LAC vs MEM - Q1 01:57.00")</f>
        <v>LAC vs MEM - Q1 01:57.00</v>
      </c>
      <c r="L80">
        <v>23.3</v>
      </c>
      <c r="M80">
        <v>92.85</v>
      </c>
      <c r="N80">
        <v>3.5</v>
      </c>
      <c r="O80">
        <v>-232</v>
      </c>
      <c r="P80">
        <v>15</v>
      </c>
    </row>
    <row r="81" spans="1:16" x14ac:dyDescent="0.25">
      <c r="A81">
        <v>22200795</v>
      </c>
      <c r="B81">
        <v>2022</v>
      </c>
      <c r="C81" t="s">
        <v>16</v>
      </c>
      <c r="D81" t="s">
        <v>19</v>
      </c>
      <c r="E81">
        <v>20</v>
      </c>
      <c r="F81">
        <v>26</v>
      </c>
      <c r="G81">
        <v>1</v>
      </c>
      <c r="H81" s="1">
        <v>2.627314814814815E-3</v>
      </c>
      <c r="I81" t="s">
        <v>23</v>
      </c>
      <c r="J81" s="2" t="str">
        <f>HYPERLINK("https://www.nba.com/stats/events?CFID=&amp;CFPARAMS=&amp;GameEventID=79&amp;GameID=0022200795&amp;Season=2022-23&amp;flag=1&amp;title=Leonard%203PT%20%20(7%20PTS)%20(P.%20George%203%20AST)", "3PT  (7 PTS) (P. George 3 AST)")</f>
        <v>3PT  (7 PTS) (P. George 3 AST)</v>
      </c>
      <c r="K81" s="2" t="str">
        <f>HYPERLINK("https://www.nba.com/game/...-vs-...-0022200795/play-by-play?watchFullGame=true", "LAC vs NYK - Q1 03:47.00")</f>
        <v>LAC vs NYK - Q1 03:47.00</v>
      </c>
      <c r="L81">
        <v>23.25</v>
      </c>
      <c r="M81">
        <v>92.2</v>
      </c>
      <c r="N81">
        <v>3.68</v>
      </c>
      <c r="O81">
        <v>-232</v>
      </c>
      <c r="P81">
        <v>21</v>
      </c>
    </row>
    <row r="82" spans="1:16" x14ac:dyDescent="0.25">
      <c r="A82">
        <v>22000009</v>
      </c>
      <c r="B82">
        <v>2020</v>
      </c>
      <c r="C82" t="s">
        <v>16</v>
      </c>
      <c r="D82" t="s">
        <v>19</v>
      </c>
      <c r="E82">
        <v>40</v>
      </c>
      <c r="F82">
        <v>56</v>
      </c>
      <c r="G82">
        <v>2</v>
      </c>
      <c r="H82" s="1">
        <v>4.4675925925925924E-3</v>
      </c>
      <c r="I82" t="s">
        <v>23</v>
      </c>
      <c r="J82" s="2" t="str">
        <f>HYPERLINK("https://www.nba.com/stats/events?CFID=&amp;CFPARAMS=&amp;GameEventID=282&amp;GameID=0022000009&amp;Season=2020-21&amp;flag=1&amp;title=Leonard%203PT%20%20(8%20PTS)%20(N.%20Batum%203%20AST)", "3PT  (8 PTS) (N. Batum 3 AST)")</f>
        <v>3PT  (8 PTS) (N. Batum 3 AST)</v>
      </c>
      <c r="K82" s="2" t="str">
        <f>HYPERLINK("https://www.nba.com/game/...-vs-...-0022000009/play-by-play?watchFullGame=true", "LAC vs DEN - Q2 06:26.00")</f>
        <v>LAC vs DEN - Q2 06:26.00</v>
      </c>
      <c r="L82">
        <v>23.35</v>
      </c>
      <c r="M82">
        <v>8.36</v>
      </c>
      <c r="N82">
        <v>96.39</v>
      </c>
      <c r="O82">
        <v>-232</v>
      </c>
      <c r="P82">
        <v>26</v>
      </c>
    </row>
    <row r="83" spans="1:16" x14ac:dyDescent="0.25">
      <c r="A83">
        <v>21601170</v>
      </c>
      <c r="B83">
        <v>2016</v>
      </c>
      <c r="C83" t="s">
        <v>16</v>
      </c>
      <c r="D83" t="s">
        <v>19</v>
      </c>
      <c r="E83">
        <v>34</v>
      </c>
      <c r="F83">
        <v>49</v>
      </c>
      <c r="G83">
        <v>2</v>
      </c>
      <c r="H83" s="1">
        <v>2.7777777777777779E-3</v>
      </c>
      <c r="I83" t="s">
        <v>18</v>
      </c>
      <c r="J83" s="2" t="str">
        <f>HYPERLINK("https://www.nba.com/stats/events?CFID=&amp;CFPARAMS=&amp;GameEventID=179&amp;GameID=0021601170&amp;Season=2016-17&amp;flag=1&amp;title=Leonard%20%203PT%20Jump%20Shot%20(11%20PTS)%20(Mills%202%20AST)", "Leonard  3PT Jump Shot (11 PTS) (Mills 2 AST)")</f>
        <v>Leonard  3PT Jump Shot (11 PTS) (Mills 2 AST)</v>
      </c>
      <c r="K83" s="2" t="str">
        <f>HYPERLINK("https://www.nba.com/game/...-vs-...-0021601170/play-by-play?watchFullGame=true", "SAS vs LAL - Q2 04:00.00")</f>
        <v>SAS vs LAL - Q2 04:00.00</v>
      </c>
      <c r="L83">
        <v>0</v>
      </c>
      <c r="M83">
        <v>-232</v>
      </c>
      <c r="N83">
        <v>26</v>
      </c>
      <c r="O83">
        <v>-232</v>
      </c>
      <c r="P83">
        <v>26</v>
      </c>
    </row>
    <row r="84" spans="1:16" x14ac:dyDescent="0.25">
      <c r="A84">
        <v>22200991</v>
      </c>
      <c r="B84">
        <v>2022</v>
      </c>
      <c r="C84" t="s">
        <v>16</v>
      </c>
      <c r="D84" t="s">
        <v>19</v>
      </c>
      <c r="E84">
        <v>49</v>
      </c>
      <c r="F84">
        <v>49</v>
      </c>
      <c r="G84">
        <v>2</v>
      </c>
      <c r="H84" s="1">
        <v>2.6504629629629626E-4</v>
      </c>
      <c r="I84" t="s">
        <v>23</v>
      </c>
      <c r="J84" s="2" t="str">
        <f>HYPERLINK("https://www.nba.com/stats/events?CFID=&amp;CFPARAMS=&amp;GameEventID=291&amp;GameID=0022200991&amp;Season=2022-23&amp;flag=1&amp;title=Leonard%203PT%20running%20(17%20PTS)%20(P.%20George%201%20AST)", "3PT running (17 PTS) (P. George 1 AST)")</f>
        <v>3PT running (17 PTS) (P. George 1 AST)</v>
      </c>
      <c r="K84" s="2" t="str">
        <f>HYPERLINK("https://www.nba.com/game/...-vs-...-0022200991/play-by-play?watchFullGame=true", "LAC vs TOR - Q2 00:22.90")</f>
        <v>LAC vs TOR - Q2 00:22.90</v>
      </c>
      <c r="L84">
        <v>23.34</v>
      </c>
      <c r="M84">
        <v>91.38</v>
      </c>
      <c r="N84">
        <v>3.68</v>
      </c>
      <c r="O84">
        <v>-232</v>
      </c>
      <c r="P84">
        <v>29</v>
      </c>
    </row>
    <row r="85" spans="1:16" x14ac:dyDescent="0.25">
      <c r="A85">
        <v>21500103</v>
      </c>
      <c r="B85">
        <v>2015</v>
      </c>
      <c r="C85" t="s">
        <v>16</v>
      </c>
      <c r="D85" t="s">
        <v>19</v>
      </c>
      <c r="E85">
        <v>0</v>
      </c>
      <c r="F85">
        <v>3</v>
      </c>
      <c r="G85">
        <v>1</v>
      </c>
      <c r="H85" s="1">
        <v>8.067129629629629E-3</v>
      </c>
      <c r="I85" t="s">
        <v>18</v>
      </c>
      <c r="J85" s="2" t="str">
        <f>HYPERLINK("https://www.nba.com/stats/events?CFID=&amp;CFPARAMS=&amp;GameEventID=14&amp;GameID=0021500103&amp;Season=2015-16&amp;flag=1&amp;title=Leonard%20%203PT%20Jump%20Shot%20(3%20PTS)%20(Green%201%20AST)", "Leonard  3PT Jump Shot (3 PTS) (Green 1 AST)")</f>
        <v>Leonard  3PT Jump Shot (3 PTS) (Green 1 AST)</v>
      </c>
      <c r="K85" s="2" t="str">
        <f>HYPERLINK("https://www.nba.com/game/...-vs-...-0021500103/play-by-play?watchFullGame=true", "SAS vs SAC - Q1 11:37.00")</f>
        <v>SAS vs SAC - Q1 11:37.00</v>
      </c>
      <c r="L85">
        <v>0</v>
      </c>
      <c r="M85">
        <v>-232</v>
      </c>
      <c r="N85">
        <v>31</v>
      </c>
      <c r="O85">
        <v>-232</v>
      </c>
      <c r="P85">
        <v>31</v>
      </c>
    </row>
    <row r="86" spans="1:16" x14ac:dyDescent="0.25">
      <c r="A86">
        <v>22000251</v>
      </c>
      <c r="B86">
        <v>2020</v>
      </c>
      <c r="C86" t="s">
        <v>16</v>
      </c>
      <c r="D86" t="s">
        <v>19</v>
      </c>
      <c r="E86">
        <v>7</v>
      </c>
      <c r="F86">
        <v>4</v>
      </c>
      <c r="G86">
        <v>1</v>
      </c>
      <c r="H86" s="1">
        <v>6.9097222222222225E-3</v>
      </c>
      <c r="I86" t="s">
        <v>23</v>
      </c>
      <c r="J86" s="2" t="str">
        <f>HYPERLINK("https://www.nba.com/stats/events?CFID=&amp;CFPARAMS=&amp;GameEventID=22&amp;GameID=0022000251&amp;Season=2020-21&amp;flag=1&amp;title=Leonard%203PT%20%20(3%20PTS)%20(N.%20Batum%201%20AST)", "3PT  (3 PTS) (N. Batum 1 AST)")</f>
        <v>3PT  (3 PTS) (N. Batum 1 AST)</v>
      </c>
      <c r="K86" s="2" t="str">
        <f>HYPERLINK("https://www.nba.com/game/...-vs-...-0022000251/play-by-play?watchFullGame=true", "LAC vs OKC - Q1 09:57.00")</f>
        <v>LAC vs OKC - Q1 09:57.00</v>
      </c>
      <c r="L86">
        <v>23.47</v>
      </c>
      <c r="M86">
        <v>91.02</v>
      </c>
      <c r="N86">
        <v>3.5</v>
      </c>
      <c r="O86">
        <v>-232</v>
      </c>
      <c r="P86">
        <v>32</v>
      </c>
    </row>
    <row r="87" spans="1:16" x14ac:dyDescent="0.25">
      <c r="A87">
        <v>22301003</v>
      </c>
      <c r="B87">
        <v>2023</v>
      </c>
      <c r="C87" t="s">
        <v>16</v>
      </c>
      <c r="D87" t="s">
        <v>19</v>
      </c>
      <c r="E87">
        <v>23</v>
      </c>
      <c r="F87">
        <v>25</v>
      </c>
      <c r="G87">
        <v>1</v>
      </c>
      <c r="H87" s="1">
        <v>1.261574074074074E-3</v>
      </c>
      <c r="I87" t="s">
        <v>23</v>
      </c>
      <c r="J87" s="2" t="str">
        <f>HYPERLINK("https://www.nba.com/stats/events?CFID=&amp;CFPARAMS=&amp;GameEventID=106&amp;GameID=0022301003&amp;Season=2023-24&amp;flag=1&amp;title=Leonard%203PT%20step%20back%20(7%20PTS)", "3PT step back (7 PTS)")</f>
        <v>3PT step back (7 PTS)</v>
      </c>
      <c r="K87" s="2" t="str">
        <f>HYPERLINK("https://www.nba.com/game/...-vs-...-0022301003/play-by-play?watchFullGame=true", "LAC vs POR - Q1 01:49.00")</f>
        <v>LAC vs POR - Q1 01:49.00</v>
      </c>
      <c r="L87">
        <v>23.41</v>
      </c>
      <c r="M87">
        <v>90.75</v>
      </c>
      <c r="N87">
        <v>3.68</v>
      </c>
      <c r="O87">
        <v>-232</v>
      </c>
      <c r="P87">
        <v>34</v>
      </c>
    </row>
    <row r="88" spans="1:16" x14ac:dyDescent="0.25">
      <c r="A88">
        <v>41300145</v>
      </c>
      <c r="B88" t="s">
        <v>26</v>
      </c>
      <c r="C88" t="s">
        <v>16</v>
      </c>
      <c r="D88" t="s">
        <v>19</v>
      </c>
      <c r="E88">
        <v>56</v>
      </c>
      <c r="F88">
        <v>47</v>
      </c>
      <c r="G88">
        <v>2</v>
      </c>
      <c r="H88" s="1">
        <v>5.3703703703703704E-4</v>
      </c>
      <c r="I88" t="s">
        <v>18</v>
      </c>
      <c r="J88" s="2" t="str">
        <f>HYPERLINK("https://www.nba.com/stats/events?CFID=&amp;CFPARAMS=&amp;GameEventID=227&amp;GameID=0041300145&amp;Season=2013-14&amp;flag=1&amp;title=Leonard%2024'%203PT%20Jump%20Shot%20(11%20PTS)%20(Diaw%203%20AST)", "Leonard 24' 3PT Jump Shot (11 PTS) (Diaw 3 AST)")</f>
        <v>Leonard 24' 3PT Jump Shot (11 PTS) (Diaw 3 AST)</v>
      </c>
      <c r="K88" s="2" t="str">
        <f>HYPERLINK("https://www.nba.com/game/...-vs-...-0041300145/play-by-play?watchFullGame=true", "SAS vs DAL - Q2 00:46.40")</f>
        <v>SAS vs DAL - Q2 00:46.40</v>
      </c>
      <c r="L88">
        <v>24</v>
      </c>
      <c r="M88">
        <v>-232</v>
      </c>
      <c r="N88">
        <v>55</v>
      </c>
      <c r="O88">
        <v>-232</v>
      </c>
      <c r="P88">
        <v>55</v>
      </c>
    </row>
    <row r="89" spans="1:16" x14ac:dyDescent="0.25">
      <c r="A89">
        <v>21301068</v>
      </c>
      <c r="B89">
        <v>2013</v>
      </c>
      <c r="C89" t="s">
        <v>16</v>
      </c>
      <c r="D89" t="s">
        <v>19</v>
      </c>
      <c r="E89">
        <v>5</v>
      </c>
      <c r="F89">
        <v>4</v>
      </c>
      <c r="G89">
        <v>1</v>
      </c>
      <c r="H89" s="1">
        <v>7.4768518518518517E-3</v>
      </c>
      <c r="I89" t="s">
        <v>18</v>
      </c>
      <c r="J89" s="2" t="str">
        <f>HYPERLINK("https://www.nba.com/stats/events?CFID=&amp;CFPARAMS=&amp;GameEventID=9&amp;GameID=0021301068&amp;Season=2013-14&amp;flag=1&amp;title=Leonard%20%203PT%20Jump%20Shot%20(3%20PTS)%20(Splitter%202%20AST)", "Leonard  3PT Jump Shot (3 PTS) (Splitter 2 AST)")</f>
        <v>Leonard  3PT Jump Shot (3 PTS) (Splitter 2 AST)</v>
      </c>
      <c r="K89" s="2" t="str">
        <f>HYPERLINK("https://www.nba.com/game/...-vs-...-0021301068/play-by-play?watchFullGame=true", "SAS vs DEN - Q1 10:46.00")</f>
        <v>SAS vs DEN - Q1 10:46.00</v>
      </c>
      <c r="L89">
        <v>0</v>
      </c>
      <c r="M89">
        <v>-231</v>
      </c>
      <c r="N89">
        <v>3</v>
      </c>
      <c r="O89">
        <v>-231</v>
      </c>
      <c r="P89">
        <v>3</v>
      </c>
    </row>
    <row r="90" spans="1:16" x14ac:dyDescent="0.25">
      <c r="A90">
        <v>41200233</v>
      </c>
      <c r="B90" t="s">
        <v>27</v>
      </c>
      <c r="C90" t="s">
        <v>16</v>
      </c>
      <c r="D90" t="s">
        <v>29</v>
      </c>
      <c r="E90">
        <v>69</v>
      </c>
      <c r="F90">
        <v>79</v>
      </c>
      <c r="G90">
        <v>3</v>
      </c>
      <c r="H90" s="1">
        <v>3.6111111111111109E-4</v>
      </c>
      <c r="I90" t="s">
        <v>18</v>
      </c>
      <c r="J90" s="2" t="str">
        <f>HYPERLINK("https://www.nba.com/stats/events?CFID=&amp;CFPARAMS=&amp;GameEventID=352&amp;GameID=0041200233&amp;Season=2012-13&amp;flag=1&amp;title=Leonard%20%203PT%20Pullup%20Jump%20Shot%20(9%20PTS)%20(Ginobili%203%20AST)", "Leonard  3PT Pullup Jump Shot (9 PTS) (Ginobili 3 AST)")</f>
        <v>Leonard  3PT Pullup Jump Shot (9 PTS) (Ginobili 3 AST)</v>
      </c>
      <c r="K90" s="2" t="str">
        <f>HYPERLINK("https://www.nba.com/game/...-vs-...-0041200233/play-by-play?watchFullGame=true", "SAS vs GSW - Q3 00:31.20")</f>
        <v>SAS vs GSW - Q3 00:31.20</v>
      </c>
      <c r="L90">
        <v>0</v>
      </c>
      <c r="M90">
        <v>-231</v>
      </c>
      <c r="N90">
        <v>6</v>
      </c>
      <c r="O90">
        <v>-231</v>
      </c>
      <c r="P90">
        <v>6</v>
      </c>
    </row>
    <row r="91" spans="1:16" x14ac:dyDescent="0.25">
      <c r="A91">
        <v>22000239</v>
      </c>
      <c r="B91">
        <v>2020</v>
      </c>
      <c r="C91" t="s">
        <v>16</v>
      </c>
      <c r="D91" t="s">
        <v>19</v>
      </c>
      <c r="E91">
        <v>12</v>
      </c>
      <c r="F91">
        <v>6</v>
      </c>
      <c r="G91">
        <v>1</v>
      </c>
      <c r="H91" s="1">
        <v>5.5902777777777773E-3</v>
      </c>
      <c r="I91" t="s">
        <v>23</v>
      </c>
      <c r="J91" s="2" t="str">
        <f>HYPERLINK("https://www.nba.com/stats/events?CFID=&amp;CFPARAMS=&amp;GameEventID=46&amp;GameID=0022000239&amp;Season=2020-21&amp;flag=1&amp;title=Leonard%203PT%20%20(5%20PTS)%20(N.%20Batum%201%20AST)", "3PT  (5 PTS) (N. Batum 1 AST)")</f>
        <v>3PT  (5 PTS) (N. Batum 1 AST)</v>
      </c>
      <c r="K91" s="2" t="str">
        <f>HYPERLINK("https://www.nba.com/game/...-vs-...-0022000239/play-by-play?watchFullGame=true", "LAC vs OKC - Q1 08:03.00")</f>
        <v>LAC vs OKC - Q1 08:03.00</v>
      </c>
      <c r="L91">
        <v>23.35</v>
      </c>
      <c r="M91">
        <v>91.02</v>
      </c>
      <c r="N91">
        <v>3.75</v>
      </c>
      <c r="O91">
        <v>-231</v>
      </c>
      <c r="P91">
        <v>32</v>
      </c>
    </row>
    <row r="92" spans="1:16" x14ac:dyDescent="0.25">
      <c r="A92">
        <v>21400139</v>
      </c>
      <c r="B92">
        <v>2014</v>
      </c>
      <c r="C92" t="s">
        <v>16</v>
      </c>
      <c r="D92" t="s">
        <v>19</v>
      </c>
      <c r="E92">
        <v>53</v>
      </c>
      <c r="F92">
        <v>50</v>
      </c>
      <c r="G92">
        <v>3</v>
      </c>
      <c r="H92" s="1">
        <v>5.6828703703703702E-3</v>
      </c>
      <c r="I92" t="s">
        <v>18</v>
      </c>
      <c r="J92" s="2" t="str">
        <f>HYPERLINK("https://www.nba.com/stats/events?CFID=&amp;CFPARAMS=&amp;GameEventID=271&amp;GameID=0021400139&amp;Season=2014-15&amp;flag=1&amp;title=Leonard%20%203PT%20Jump%20Shot%20(9%20PTS)%20(Parker%203%20AST)", "Leonard  3PT Jump Shot (9 PTS) (Parker 3 AST)")</f>
        <v>Leonard  3PT Jump Shot (9 PTS) (Parker 3 AST)</v>
      </c>
      <c r="K92" s="2" t="str">
        <f>HYPERLINK("https://www.nba.com/game/...-vs-...-0021400139/play-by-play?watchFullGame=true", "SAS vs SAC - Q3 08:11.00")</f>
        <v>SAS vs SAC - Q3 08:11.00</v>
      </c>
      <c r="L92">
        <v>0</v>
      </c>
      <c r="M92">
        <v>-231</v>
      </c>
      <c r="N92">
        <v>41</v>
      </c>
      <c r="O92">
        <v>-231</v>
      </c>
      <c r="P92">
        <v>41</v>
      </c>
    </row>
    <row r="93" spans="1:16" x14ac:dyDescent="0.25">
      <c r="A93">
        <v>41300314</v>
      </c>
      <c r="B93" t="s">
        <v>26</v>
      </c>
      <c r="C93" t="s">
        <v>16</v>
      </c>
      <c r="D93" t="s">
        <v>19</v>
      </c>
      <c r="E93">
        <v>0</v>
      </c>
      <c r="F93">
        <v>8</v>
      </c>
      <c r="G93">
        <v>1</v>
      </c>
      <c r="H93" s="1">
        <v>7.1990740740740739E-3</v>
      </c>
      <c r="I93" t="s">
        <v>18</v>
      </c>
      <c r="J93" s="2" t="str">
        <f>HYPERLINK("https://www.nba.com/stats/events?CFID=&amp;CFPARAMS=&amp;GameEventID=9&amp;GameID=0041300314&amp;Season=2013-14&amp;flag=1&amp;title=Leonard%20%203PT%20Jump%20Shot%20(6%20PTS)%20(Parker%202%20AST)", "Leonard  3PT Jump Shot (6 PTS) (Parker 2 AST)")</f>
        <v>Leonard  3PT Jump Shot (6 PTS) (Parker 2 AST)</v>
      </c>
      <c r="K93" s="2" t="str">
        <f>HYPERLINK("https://www.nba.com/game/...-vs-...-0041300314/play-by-play?watchFullGame=true", "SAS vs OKC - Q1 10:22.00")</f>
        <v>SAS vs OKC - Q1 10:22.00</v>
      </c>
      <c r="L93">
        <v>0</v>
      </c>
      <c r="M93">
        <v>-231</v>
      </c>
      <c r="N93">
        <v>41</v>
      </c>
      <c r="O93">
        <v>-231</v>
      </c>
      <c r="P93">
        <v>41</v>
      </c>
    </row>
    <row r="94" spans="1:16" x14ac:dyDescent="0.25">
      <c r="A94">
        <v>21600942</v>
      </c>
      <c r="B94">
        <v>2016</v>
      </c>
      <c r="C94" t="s">
        <v>16</v>
      </c>
      <c r="D94" t="s">
        <v>19</v>
      </c>
      <c r="E94">
        <v>12</v>
      </c>
      <c r="F94">
        <v>17</v>
      </c>
      <c r="G94">
        <v>1</v>
      </c>
      <c r="H94" s="1">
        <v>3.7152777777777778E-3</v>
      </c>
      <c r="I94" t="s">
        <v>18</v>
      </c>
      <c r="J94" s="2" t="str">
        <f>HYPERLINK("https://www.nba.com/stats/events?CFID=&amp;CFPARAMS=&amp;GameEventID=47&amp;GameID=0021600942&amp;Season=2016-17&amp;flag=1&amp;title=Leonard%20%203PT%20Jump%20Shot%20(8%20PTS)%20(Mills%202%20AST)", "Leonard  3PT Jump Shot (8 PTS) (Mills 2 AST)")</f>
        <v>Leonard  3PT Jump Shot (8 PTS) (Mills 2 AST)</v>
      </c>
      <c r="K94" s="2" t="str">
        <f>HYPERLINK("https://www.nba.com/game/...-vs-...-0021600942/play-by-play?watchFullGame=true", "SAS vs HOU - Q1 05:21.00")</f>
        <v>SAS vs HOU - Q1 05:21.00</v>
      </c>
      <c r="L94">
        <v>0</v>
      </c>
      <c r="M94">
        <v>-230</v>
      </c>
      <c r="N94">
        <v>-6</v>
      </c>
      <c r="O94">
        <v>-230</v>
      </c>
      <c r="P94">
        <v>-6</v>
      </c>
    </row>
    <row r="95" spans="1:16" x14ac:dyDescent="0.25">
      <c r="A95">
        <v>22300179</v>
      </c>
      <c r="B95">
        <v>2023</v>
      </c>
      <c r="C95" t="s">
        <v>16</v>
      </c>
      <c r="D95" t="s">
        <v>19</v>
      </c>
      <c r="E95">
        <v>50</v>
      </c>
      <c r="F95">
        <v>59</v>
      </c>
      <c r="G95">
        <v>3</v>
      </c>
      <c r="H95" s="1">
        <v>6.1111111111111114E-3</v>
      </c>
      <c r="I95" t="s">
        <v>23</v>
      </c>
      <c r="J95" s="2" t="str">
        <f>HYPERLINK("https://www.nba.com/stats/events?CFID=&amp;CFPARAMS=&amp;GameEventID=410&amp;GameID=0022300179&amp;Season=2023-24&amp;flag=1&amp;title=Leonard%203PT%20running%20(10%20PTS)%20(R.%20Westbrook%204%20AST)", "3PT running (10 PTS) (R. Westbrook 4 AST)")</f>
        <v>3PT running (10 PTS) (R. Westbrook 4 AST)</v>
      </c>
      <c r="K95" s="2" t="str">
        <f>HYPERLINK("https://www.nba.com/game/...-vs-...-0022300179/play-by-play?watchFullGame=true", "LAC vs MEM - Q3 08:48.00")</f>
        <v>LAC vs MEM - Q3 08:48.00</v>
      </c>
      <c r="L95">
        <v>23.04</v>
      </c>
      <c r="M95">
        <v>94</v>
      </c>
      <c r="N95">
        <v>3.92</v>
      </c>
      <c r="O95">
        <v>-230</v>
      </c>
      <c r="P95">
        <v>4</v>
      </c>
    </row>
    <row r="96" spans="1:16" x14ac:dyDescent="0.25">
      <c r="A96">
        <v>22300716</v>
      </c>
      <c r="B96">
        <v>2023</v>
      </c>
      <c r="C96" t="s">
        <v>16</v>
      </c>
      <c r="D96" t="s">
        <v>19</v>
      </c>
      <c r="E96">
        <v>7</v>
      </c>
      <c r="F96">
        <v>16</v>
      </c>
      <c r="G96">
        <v>1</v>
      </c>
      <c r="H96" s="1">
        <v>4.9884259259259257E-3</v>
      </c>
      <c r="I96" t="s">
        <v>23</v>
      </c>
      <c r="J96" s="2" t="str">
        <f>HYPERLINK("https://www.nba.com/stats/events?CFID=&amp;CFPARAMS=&amp;GameEventID=45&amp;GameID=0022300716&amp;Season=2023-24&amp;flag=1&amp;title=Leonard%203PT%20%20(3%20PTS)%20(J.%20Harden%202%20AST)", "3PT  (3 PTS) (J. Harden 2 AST)")</f>
        <v>3PT  (3 PTS) (J. Harden 2 AST)</v>
      </c>
      <c r="K96" s="2" t="str">
        <f>HYPERLINK("https://www.nba.com/game/...-vs-...-0022300716/play-by-play?watchFullGame=true", "LAC vs ATL - Q1 07:11.00")</f>
        <v>LAC vs ATL - Q1 07:11.00</v>
      </c>
      <c r="L96">
        <v>23.06</v>
      </c>
      <c r="M96">
        <v>93.51</v>
      </c>
      <c r="N96">
        <v>3.92</v>
      </c>
      <c r="O96">
        <v>-230</v>
      </c>
      <c r="P96">
        <v>8</v>
      </c>
    </row>
    <row r="97" spans="1:16" x14ac:dyDescent="0.25">
      <c r="A97">
        <v>22000625</v>
      </c>
      <c r="B97">
        <v>2020</v>
      </c>
      <c r="C97" t="s">
        <v>16</v>
      </c>
      <c r="D97" t="s">
        <v>19</v>
      </c>
      <c r="E97">
        <v>37</v>
      </c>
      <c r="F97">
        <v>40</v>
      </c>
      <c r="G97">
        <v>2</v>
      </c>
      <c r="H97" s="1">
        <v>5.4629629629629629E-3</v>
      </c>
      <c r="I97" t="s">
        <v>23</v>
      </c>
      <c r="J97" s="2" t="str">
        <f>HYPERLINK("https://www.nba.com/stats/events?CFID=&amp;CFPARAMS=&amp;GameEventID=221&amp;GameID=0022000625&amp;Season=2020-21&amp;flag=1&amp;title=Leonard%203PT%20%20(8%20PTS)%20(P.%20George%203%20AST)", "3PT  (8 PTS) (P. George 3 AST)")</f>
        <v>3PT  (8 PTS) (P. George 3 AST)</v>
      </c>
      <c r="K97" s="2" t="str">
        <f>HYPERLINK("https://www.nba.com/game/...-vs-...-0022000625/play-by-play?watchFullGame=true", "LAC vs DAL - Q2 07:52.00")</f>
        <v>LAC vs DAL - Q2 07:52.00</v>
      </c>
      <c r="L97">
        <v>23.02</v>
      </c>
      <c r="M97">
        <v>93.38</v>
      </c>
      <c r="N97">
        <v>3.99</v>
      </c>
      <c r="O97">
        <v>-230</v>
      </c>
      <c r="P97">
        <v>10</v>
      </c>
    </row>
    <row r="98" spans="1:16" x14ac:dyDescent="0.25">
      <c r="A98">
        <v>22201156</v>
      </c>
      <c r="B98">
        <v>2022</v>
      </c>
      <c r="C98" t="s">
        <v>16</v>
      </c>
      <c r="D98" t="s">
        <v>19</v>
      </c>
      <c r="E98">
        <v>42</v>
      </c>
      <c r="F98">
        <v>41</v>
      </c>
      <c r="G98">
        <v>2</v>
      </c>
      <c r="H98" s="1">
        <v>4.363425925925926E-3</v>
      </c>
      <c r="I98" t="s">
        <v>23</v>
      </c>
      <c r="J98" s="2" t="str">
        <f>HYPERLINK("https://www.nba.com/stats/events?CFID=&amp;CFPARAMS=&amp;GameEventID=248&amp;GameID=0022201156&amp;Season=2022-23&amp;flag=1&amp;title=Leonard%203PT%20%20(10%20PTS)%20(E.%20Gordon%202%20AST)", "3PT  (10 PTS) (E. Gordon 2 AST)")</f>
        <v>3PT  (10 PTS) (E. Gordon 2 AST)</v>
      </c>
      <c r="K98" s="2" t="str">
        <f>HYPERLINK("https://www.nba.com/game/...-vs-...-0022201156/play-by-play?watchFullGame=true", "LAC vs MEM - Q2 06:17.00")</f>
        <v>LAC vs MEM - Q2 06:17.00</v>
      </c>
      <c r="L98">
        <v>23.11</v>
      </c>
      <c r="M98">
        <v>7.44</v>
      </c>
      <c r="N98">
        <v>96.08</v>
      </c>
      <c r="O98">
        <v>-230</v>
      </c>
      <c r="P98">
        <v>17</v>
      </c>
    </row>
    <row r="99" spans="1:16" x14ac:dyDescent="0.25">
      <c r="A99">
        <v>21601227</v>
      </c>
      <c r="B99">
        <v>2016</v>
      </c>
      <c r="C99" t="s">
        <v>16</v>
      </c>
      <c r="D99" t="s">
        <v>19</v>
      </c>
      <c r="E99">
        <v>74</v>
      </c>
      <c r="F99">
        <v>61</v>
      </c>
      <c r="G99">
        <v>3</v>
      </c>
      <c r="H99" s="1">
        <v>3.1018518518518517E-3</v>
      </c>
      <c r="I99" t="s">
        <v>18</v>
      </c>
      <c r="J99" s="2" t="str">
        <f>HYPERLINK("https://www.nba.com/stats/events?CFID=&amp;CFPARAMS=&amp;GameEventID=301&amp;GameID=0021601227&amp;Season=2016-17&amp;flag=1&amp;title=Leonard%2024'%203PT%20Jump%20Shot%20(12%20PTS)%20(Mills%203%20AST)", "Leonard 24' 3PT Jump Shot (12 PTS) (Mills 3 AST)")</f>
        <v>Leonard 24' 3PT Jump Shot (12 PTS) (Mills 3 AST)</v>
      </c>
      <c r="K99" s="2" t="str">
        <f>HYPERLINK("https://www.nba.com/game/...-vs-...-0021601227/play-by-play?watchFullGame=true", "SAS vs UTA - Q3 04:28.00")</f>
        <v>SAS vs UTA - Q3 04:28.00</v>
      </c>
      <c r="L99">
        <v>24</v>
      </c>
      <c r="M99">
        <v>-230</v>
      </c>
      <c r="N99">
        <v>67</v>
      </c>
      <c r="O99">
        <v>-230</v>
      </c>
      <c r="P99">
        <v>67</v>
      </c>
    </row>
    <row r="100" spans="1:16" x14ac:dyDescent="0.25">
      <c r="A100">
        <v>21601135</v>
      </c>
      <c r="B100">
        <v>2016</v>
      </c>
      <c r="C100" t="s">
        <v>16</v>
      </c>
      <c r="D100" t="s">
        <v>31</v>
      </c>
      <c r="E100">
        <v>83</v>
      </c>
      <c r="F100">
        <v>78</v>
      </c>
      <c r="G100">
        <v>4</v>
      </c>
      <c r="H100" s="1">
        <v>4.8148148148148152E-3</v>
      </c>
      <c r="I100" t="s">
        <v>18</v>
      </c>
      <c r="J100" s="2" t="str">
        <f>HYPERLINK("https://www.nba.com/stats/events?CFID=&amp;CFPARAMS=&amp;GameEventID=479&amp;GameID=0021601135&amp;Season=2016-17&amp;flag=1&amp;title=Leonard%2024'%203PT%20Step%20Back%20Jump%20Shot%20(24%20PTS)%20(Ginobili%205%20AST)", "Leonard 24' 3PT Step Back Jump Shot (24 PTS) (Ginobili 5 AST)")</f>
        <v>Leonard 24' 3PT Step Back Jump Shot (24 PTS) (Ginobili 5 AST)</v>
      </c>
      <c r="K100" s="2" t="str">
        <f>HYPERLINK("https://www.nba.com/game/...-vs-...-0021601135/play-by-play?watchFullGame=true", "SAS vs OKC - Q4 06:56.00")</f>
        <v>SAS vs OKC - Q4 06:56.00</v>
      </c>
      <c r="L100">
        <v>24</v>
      </c>
      <c r="M100">
        <v>-230</v>
      </c>
      <c r="N100">
        <v>77</v>
      </c>
      <c r="O100">
        <v>-230</v>
      </c>
      <c r="P100">
        <v>77</v>
      </c>
    </row>
    <row r="101" spans="1:16" x14ac:dyDescent="0.25">
      <c r="A101">
        <v>21400220</v>
      </c>
      <c r="B101">
        <v>2014</v>
      </c>
      <c r="C101" t="s">
        <v>16</v>
      </c>
      <c r="D101" t="s">
        <v>19</v>
      </c>
      <c r="E101">
        <v>14</v>
      </c>
      <c r="F101">
        <v>10</v>
      </c>
      <c r="G101">
        <v>1</v>
      </c>
      <c r="H101" s="1">
        <v>4.2129629629629626E-3</v>
      </c>
      <c r="I101" t="s">
        <v>18</v>
      </c>
      <c r="J101" s="2" t="str">
        <f>HYPERLINK("https://www.nba.com/stats/events?CFID=&amp;CFPARAMS=&amp;GameEventID=56&amp;GameID=0021400220&amp;Season=2014-15&amp;flag=1&amp;title=Leonard%20%203PT%20Jump%20Shot%20(7%20PTS)%20(Parker%201%20AST)", "Leonard  3PT Jump Shot (7 PTS) (Parker 1 AST)")</f>
        <v>Leonard  3PT Jump Shot (7 PTS) (Parker 1 AST)</v>
      </c>
      <c r="K101" s="2" t="str">
        <f>HYPERLINK("https://www.nba.com/game/...-vs-...-0021400220/play-by-play?watchFullGame=true", "SAS vs IND - Q1 06:04.00")</f>
        <v>SAS vs IND - Q1 06:04.00</v>
      </c>
      <c r="L101">
        <v>0</v>
      </c>
      <c r="M101">
        <v>-229</v>
      </c>
      <c r="N101">
        <v>-14</v>
      </c>
      <c r="O101">
        <v>-229</v>
      </c>
      <c r="P101">
        <v>-14</v>
      </c>
    </row>
    <row r="102" spans="1:16" x14ac:dyDescent="0.25">
      <c r="A102">
        <v>21300117</v>
      </c>
      <c r="B102">
        <v>2013</v>
      </c>
      <c r="C102" t="s">
        <v>16</v>
      </c>
      <c r="D102" t="s">
        <v>19</v>
      </c>
      <c r="E102">
        <v>8</v>
      </c>
      <c r="F102">
        <v>0</v>
      </c>
      <c r="G102">
        <v>1</v>
      </c>
      <c r="H102" s="1">
        <v>6.9791666666666665E-3</v>
      </c>
      <c r="I102" t="s">
        <v>18</v>
      </c>
      <c r="J102" s="2" t="str">
        <f>HYPERLINK("https://www.nba.com/stats/events?CFID=&amp;CFPARAMS=&amp;GameEventID=12&amp;GameID=0021300117&amp;Season=2013-14&amp;flag=1&amp;title=Leonard%20%203PT%20Jump%20Shot%20(8%20PTS)%20(Green%202%20AST)", "Leonard  3PT Jump Shot (8 PTS) (Green 2 AST)")</f>
        <v>Leonard  3PT Jump Shot (8 PTS) (Green 2 AST)</v>
      </c>
      <c r="K102" s="2" t="str">
        <f>HYPERLINK("https://www.nba.com/game/...-vs-...-0021300117/play-by-play?watchFullGame=true", "SAS vs WAS - Q1 10:03.00")</f>
        <v>SAS vs WAS - Q1 10:03.00</v>
      </c>
      <c r="L102">
        <v>0</v>
      </c>
      <c r="M102">
        <v>-229</v>
      </c>
      <c r="N102">
        <v>-6</v>
      </c>
      <c r="O102">
        <v>-229</v>
      </c>
      <c r="P102">
        <v>-6</v>
      </c>
    </row>
    <row r="103" spans="1:16" x14ac:dyDescent="0.25">
      <c r="A103">
        <v>22300956</v>
      </c>
      <c r="B103">
        <v>2023</v>
      </c>
      <c r="C103" t="s">
        <v>16</v>
      </c>
      <c r="D103" t="s">
        <v>19</v>
      </c>
      <c r="E103">
        <v>58</v>
      </c>
      <c r="F103">
        <v>76</v>
      </c>
      <c r="G103">
        <v>3</v>
      </c>
      <c r="H103" s="1">
        <v>6.5624999999999998E-3</v>
      </c>
      <c r="I103" t="s">
        <v>23</v>
      </c>
      <c r="J103" s="2" t="str">
        <f>HYPERLINK("https://www.nba.com/stats/events?CFID=&amp;CFPARAMS=&amp;GameEventID=318&amp;GameID=0022300956&amp;Season=2023-24&amp;flag=1&amp;title=Leonard%203PT%20%20(20%20PTS)%20(B.%20Hyland%206%20AST)", "3PT  (20 PTS) (B. Hyland 6 AST)")</f>
        <v>3PT  (20 PTS) (B. Hyland 6 AST)</v>
      </c>
      <c r="K103" s="2" t="str">
        <f>HYPERLINK("https://www.nba.com/game/...-vs-...-0022300956/play-by-play?watchFullGame=true", "LAC vs CHI - Q3 09:27.00")</f>
        <v>LAC vs CHI - Q3 09:27.00</v>
      </c>
      <c r="L103">
        <v>22.93</v>
      </c>
      <c r="M103">
        <v>94.96</v>
      </c>
      <c r="N103">
        <v>4.17</v>
      </c>
      <c r="O103">
        <v>-229</v>
      </c>
      <c r="P103">
        <v>-5</v>
      </c>
    </row>
    <row r="104" spans="1:16" x14ac:dyDescent="0.25">
      <c r="A104">
        <v>41200236</v>
      </c>
      <c r="B104" t="s">
        <v>27</v>
      </c>
      <c r="C104" t="s">
        <v>16</v>
      </c>
      <c r="D104" t="s">
        <v>29</v>
      </c>
      <c r="E104">
        <v>79</v>
      </c>
      <c r="F104">
        <v>85</v>
      </c>
      <c r="G104">
        <v>4</v>
      </c>
      <c r="H104" s="1">
        <v>1.4004629629629629E-3</v>
      </c>
      <c r="I104" t="s">
        <v>18</v>
      </c>
      <c r="J104" s="2" t="str">
        <f>HYPERLINK("https://www.nba.com/stats/events?CFID=&amp;CFPARAMS=&amp;GameEventID=488&amp;GameID=0041200236&amp;Season=2012-13&amp;flag=1&amp;title=Leonard%20%203PT%20Pullup%20Jump%20Shot%20(16%20PTS)%20(Ginobili%2010%20AST)", "Leonard  3PT Pullup Jump Shot (16 PTS) (Ginobili 10 AST)")</f>
        <v>Leonard  3PT Pullup Jump Shot (16 PTS) (Ginobili 10 AST)</v>
      </c>
      <c r="K104" s="2" t="str">
        <f>HYPERLINK("https://www.nba.com/game/...-vs-...-0041200236/play-by-play?watchFullGame=true", "SAS vs GSW - Q4 02:01.00")</f>
        <v>SAS vs GSW - Q4 02:01.00</v>
      </c>
      <c r="L104">
        <v>0</v>
      </c>
      <c r="M104">
        <v>-229</v>
      </c>
      <c r="N104">
        <v>11</v>
      </c>
      <c r="O104">
        <v>-229</v>
      </c>
      <c r="P104">
        <v>11</v>
      </c>
    </row>
    <row r="105" spans="1:16" x14ac:dyDescent="0.25">
      <c r="A105">
        <v>41800112</v>
      </c>
      <c r="B105" t="s">
        <v>20</v>
      </c>
      <c r="C105" t="s">
        <v>16</v>
      </c>
      <c r="D105" t="s">
        <v>19</v>
      </c>
      <c r="E105">
        <v>41</v>
      </c>
      <c r="F105">
        <v>28</v>
      </c>
      <c r="G105">
        <v>2</v>
      </c>
      <c r="H105" s="1">
        <v>3.3217592592592591E-3</v>
      </c>
      <c r="I105" t="s">
        <v>21</v>
      </c>
      <c r="J105" s="2" t="str">
        <f>HYPERLINK("https://www.nba.com/stats/events?CFID=&amp;CFPARAMS=&amp;GameEventID=253&amp;GameID=0041800112&amp;Season=2018-19&amp;flag=1&amp;title=Leonard%203PT%20Jump%20Shot%20(17%20PTS)%20(Siakam%201%20AST)", "Leonard 3PT Jump Shot (17 PTS) (Siakam 1 AST)")</f>
        <v>Leonard 3PT Jump Shot (17 PTS) (Siakam 1 AST)</v>
      </c>
      <c r="K105" s="2" t="str">
        <f>HYPERLINK("https://www.nba.com/game/...-vs-...-0041800112/play-by-play?watchFullGame=true", "TOR vs ORL - Q2 04:47.00")</f>
        <v>TOR vs ORL - Q2 04:47.00</v>
      </c>
      <c r="L105">
        <v>0</v>
      </c>
      <c r="M105">
        <v>-229</v>
      </c>
      <c r="N105">
        <v>15</v>
      </c>
      <c r="O105">
        <v>-229</v>
      </c>
      <c r="P105">
        <v>15</v>
      </c>
    </row>
    <row r="106" spans="1:16" x14ac:dyDescent="0.25">
      <c r="A106">
        <v>22300600</v>
      </c>
      <c r="B106">
        <v>2023</v>
      </c>
      <c r="C106" t="s">
        <v>16</v>
      </c>
      <c r="D106" t="s">
        <v>19</v>
      </c>
      <c r="E106">
        <v>125</v>
      </c>
      <c r="F106">
        <v>114</v>
      </c>
      <c r="G106">
        <v>4</v>
      </c>
      <c r="H106" s="1">
        <v>3.4606481481481478E-4</v>
      </c>
      <c r="I106" t="s">
        <v>23</v>
      </c>
      <c r="J106" s="2" t="str">
        <f>HYPERLINK("https://www.nba.com/stats/events?CFID=&amp;CFPARAMS=&amp;GameEventID=628&amp;GameID=0022300600&amp;Season=2023-24&amp;flag=1&amp;title=Leonard%203PT%20%20(21%20PTS)%20(R.%20Westbrook%206%20AST)", "3PT  (21 PTS) (R. Westbrook 6 AST)")</f>
        <v>3PT  (21 PTS) (R. Westbrook 6 AST)</v>
      </c>
      <c r="K106" s="2" t="str">
        <f>HYPERLINK("https://www.nba.com/game/...-vs-...-0022300600/play-by-play?watchFullGame=true", "LAC vs BKN - Q4 00:29.90")</f>
        <v>LAC vs BKN - Q4 00:29.90</v>
      </c>
      <c r="L106">
        <v>23.13</v>
      </c>
      <c r="M106">
        <v>91.11</v>
      </c>
      <c r="N106">
        <v>4.17</v>
      </c>
      <c r="O106">
        <v>-229</v>
      </c>
      <c r="P106">
        <v>31</v>
      </c>
    </row>
    <row r="107" spans="1:16" x14ac:dyDescent="0.25">
      <c r="A107">
        <v>22201082</v>
      </c>
      <c r="B107">
        <v>2022</v>
      </c>
      <c r="C107" t="s">
        <v>16</v>
      </c>
      <c r="D107" t="s">
        <v>19</v>
      </c>
      <c r="E107">
        <v>54</v>
      </c>
      <c r="F107">
        <v>56</v>
      </c>
      <c r="G107">
        <v>3</v>
      </c>
      <c r="H107" s="1">
        <v>7.6967592592592591E-3</v>
      </c>
      <c r="I107" t="s">
        <v>23</v>
      </c>
      <c r="J107" s="2" t="str">
        <f>HYPERLINK("https://www.nba.com/stats/events?CFID=&amp;CFPARAMS=&amp;GameEventID=351&amp;GameID=0022201082&amp;Season=2022-23&amp;flag=1&amp;title=Leonard%203PT%20%20(11%20PTS)%20(M.%20Morris%20Sr.%203%20AST)", "3PT  (11 PTS) (M. Morris Sr. 3 AST)")</f>
        <v>3PT  (11 PTS) (M. Morris Sr. 3 AST)</v>
      </c>
      <c r="K107" s="2" t="str">
        <f>HYPERLINK("https://www.nba.com/game/...-vs-...-0022201082/play-by-play?watchFullGame=true", "LAC vs OKC - Q3 11:05.00")</f>
        <v>LAC vs OKC - Q3 11:05.00</v>
      </c>
      <c r="L107">
        <v>23.28</v>
      </c>
      <c r="M107">
        <v>9.9</v>
      </c>
      <c r="N107">
        <v>95.83</v>
      </c>
      <c r="O107">
        <v>-229</v>
      </c>
      <c r="P107">
        <v>41</v>
      </c>
    </row>
    <row r="108" spans="1:16" x14ac:dyDescent="0.25">
      <c r="A108">
        <v>22200604</v>
      </c>
      <c r="B108">
        <v>2022</v>
      </c>
      <c r="C108" t="s">
        <v>16</v>
      </c>
      <c r="D108" t="s">
        <v>19</v>
      </c>
      <c r="E108">
        <v>102</v>
      </c>
      <c r="F108">
        <v>91</v>
      </c>
      <c r="G108">
        <v>4</v>
      </c>
      <c r="H108" s="1">
        <v>4.6874999999999998E-3</v>
      </c>
      <c r="I108" t="s">
        <v>23</v>
      </c>
      <c r="J108" s="2" t="str">
        <f>HYPERLINK("https://www.nba.com/stats/events?CFID=&amp;CFPARAMS=&amp;GameEventID=568&amp;GameID=0022200604&amp;Season=2022-23&amp;flag=1&amp;title=Leonard%203PT%20%20(25%20PTS)%20(N.%20Powell%204%20AST)", "3PT  (25 PTS) (N. Powell 4 AST)")</f>
        <v>3PT  (25 PTS) (N. Powell 4 AST)</v>
      </c>
      <c r="K108" s="2" t="str">
        <f>HYPERLINK("https://www.nba.com/game/...-vs-...-0022200604/play-by-play?watchFullGame=true", "LAC vs ATL - Q4 06:45.00")</f>
        <v>LAC vs ATL - Q4 06:45.00</v>
      </c>
      <c r="L108">
        <v>23.34</v>
      </c>
      <c r="M108">
        <v>10.3</v>
      </c>
      <c r="N108">
        <v>95.83</v>
      </c>
      <c r="O108">
        <v>-229</v>
      </c>
      <c r="P108">
        <v>44</v>
      </c>
    </row>
    <row r="109" spans="1:16" x14ac:dyDescent="0.25">
      <c r="A109">
        <v>21300378</v>
      </c>
      <c r="B109">
        <v>2013</v>
      </c>
      <c r="C109" t="s">
        <v>16</v>
      </c>
      <c r="D109" t="s">
        <v>19</v>
      </c>
      <c r="E109">
        <v>45</v>
      </c>
      <c r="F109">
        <v>46</v>
      </c>
      <c r="G109">
        <v>2</v>
      </c>
      <c r="H109" s="1">
        <v>3.0439814814814813E-3</v>
      </c>
      <c r="I109" t="s">
        <v>18</v>
      </c>
      <c r="J109" s="2" t="str">
        <f>HYPERLINK("https://www.nba.com/stats/events?CFID=&amp;CFPARAMS=&amp;GameEventID=203&amp;GameID=0021300378&amp;Season=2013-14&amp;flag=1&amp;title=Leonard%2024'%203PT%20Jump%20Shot%20(7%20PTS)%20(Belinelli%201%20AST)", "Leonard 24' 3PT Jump Shot (7 PTS) (Belinelli 1 AST)")</f>
        <v>Leonard 24' 3PT Jump Shot (7 PTS) (Belinelli 1 AST)</v>
      </c>
      <c r="K109" s="2" t="str">
        <f>HYPERLINK("https://www.nba.com/game/...-vs-...-0021300378/play-by-play?watchFullGame=true", "SAS vs PHX - Q2 04:23.00")</f>
        <v>SAS vs PHX - Q2 04:23.00</v>
      </c>
      <c r="L109">
        <v>24</v>
      </c>
      <c r="M109">
        <v>-229</v>
      </c>
      <c r="N109">
        <v>80</v>
      </c>
      <c r="O109">
        <v>-229</v>
      </c>
      <c r="P109">
        <v>80</v>
      </c>
    </row>
    <row r="110" spans="1:16" x14ac:dyDescent="0.25">
      <c r="A110">
        <v>22200389</v>
      </c>
      <c r="B110">
        <v>2022</v>
      </c>
      <c r="C110" t="s">
        <v>16</v>
      </c>
      <c r="D110" t="s">
        <v>19</v>
      </c>
      <c r="E110">
        <v>49</v>
      </c>
      <c r="F110">
        <v>47</v>
      </c>
      <c r="G110">
        <v>2</v>
      </c>
      <c r="H110" s="1">
        <v>4.0046296296296297E-3</v>
      </c>
      <c r="I110" t="s">
        <v>23</v>
      </c>
      <c r="J110" s="2" t="str">
        <f>HYPERLINK("https://www.nba.com/stats/events?CFID=&amp;CFPARAMS=&amp;GameEventID=240&amp;GameID=0022200389&amp;Season=2022-23&amp;flag=1&amp;title=Leonard%2024'%203PT%20%20(7%20PTS)%20(P.%20George%202%20AST)", "24' 3PT  (7 PTS) (P. George 2 AST)")</f>
        <v>24' 3PT  (7 PTS) (P. George 2 AST)</v>
      </c>
      <c r="K110" s="2" t="str">
        <f>HYPERLINK("https://www.nba.com/game/...-vs-...-0022200389/play-by-play?watchFullGame=true", "LAC vs WAS - Q2 05:46.00")</f>
        <v>LAC vs WAS - Q2 05:46.00</v>
      </c>
      <c r="L110">
        <v>24.36</v>
      </c>
      <c r="M110">
        <v>85.63</v>
      </c>
      <c r="N110">
        <v>4.17</v>
      </c>
      <c r="O110">
        <v>-229</v>
      </c>
      <c r="P110">
        <v>83</v>
      </c>
    </row>
    <row r="111" spans="1:16" x14ac:dyDescent="0.25">
      <c r="A111">
        <v>21300100</v>
      </c>
      <c r="B111">
        <v>2013</v>
      </c>
      <c r="C111" t="s">
        <v>16</v>
      </c>
      <c r="D111" t="s">
        <v>19</v>
      </c>
      <c r="E111">
        <v>42</v>
      </c>
      <c r="F111">
        <v>66</v>
      </c>
      <c r="G111">
        <v>3</v>
      </c>
      <c r="H111" s="1">
        <v>5.5439814814814813E-3</v>
      </c>
      <c r="I111" t="s">
        <v>18</v>
      </c>
      <c r="J111" s="2" t="str">
        <f>HYPERLINK("https://www.nba.com/stats/events?CFID=&amp;CFPARAMS=&amp;GameEventID=255&amp;GameID=0021300100&amp;Season=2013-14&amp;flag=1&amp;title=Leonard%20%203PT%20Jump%20Shot%20(9%20PTS)%20(Parker%208%20AST)", "Leonard  3PT Jump Shot (9 PTS) (Parker 8 AST)")</f>
        <v>Leonard  3PT Jump Shot (9 PTS) (Parker 8 AST)</v>
      </c>
      <c r="K111" s="2" t="str">
        <f>HYPERLINK("https://www.nba.com/game/...-vs-...-0021300100/play-by-play?watchFullGame=true", "SAS vs PHI - Q3 07:59.00")</f>
        <v>SAS vs PHI - Q3 07:59.00</v>
      </c>
      <c r="L111">
        <v>0</v>
      </c>
      <c r="M111">
        <v>-228</v>
      </c>
      <c r="N111">
        <v>-19</v>
      </c>
      <c r="O111">
        <v>-228</v>
      </c>
      <c r="P111">
        <v>-19</v>
      </c>
    </row>
    <row r="112" spans="1:16" x14ac:dyDescent="0.25">
      <c r="A112">
        <v>21400906</v>
      </c>
      <c r="B112">
        <v>2014</v>
      </c>
      <c r="C112" t="s">
        <v>16</v>
      </c>
      <c r="D112" t="s">
        <v>19</v>
      </c>
      <c r="E112">
        <v>9</v>
      </c>
      <c r="F112">
        <v>2</v>
      </c>
      <c r="G112">
        <v>1</v>
      </c>
      <c r="H112" s="1">
        <v>6.4583333333333333E-3</v>
      </c>
      <c r="I112" t="s">
        <v>18</v>
      </c>
      <c r="J112" s="2" t="str">
        <f>HYPERLINK("https://www.nba.com/stats/events?CFID=&amp;CFPARAMS=&amp;GameEventID=18&amp;GameID=0021400906&amp;Season=2014-15&amp;flag=1&amp;title=Leonard%20%203PT%20Jump%20Shot%20(7%20PTS)%20(Duncan%201%20AST)", "Leonard  3PT Jump Shot (7 PTS) (Duncan 1 AST)")</f>
        <v>Leonard  3PT Jump Shot (7 PTS) (Duncan 1 AST)</v>
      </c>
      <c r="K112" s="2" t="str">
        <f>HYPERLINK("https://www.nba.com/game/...-vs-...-0021400906/play-by-play?watchFullGame=true", "SAS vs SAC - Q1 09:18.00")</f>
        <v>SAS vs SAC - Q1 09:18.00</v>
      </c>
      <c r="L112">
        <v>0</v>
      </c>
      <c r="M112">
        <v>-228</v>
      </c>
      <c r="N112">
        <v>-16</v>
      </c>
      <c r="O112">
        <v>-228</v>
      </c>
      <c r="P112">
        <v>-16</v>
      </c>
    </row>
    <row r="113" spans="1:16" x14ac:dyDescent="0.25">
      <c r="A113">
        <v>41500153</v>
      </c>
      <c r="B113" t="s">
        <v>25</v>
      </c>
      <c r="C113" t="s">
        <v>16</v>
      </c>
      <c r="D113" t="s">
        <v>19</v>
      </c>
      <c r="E113">
        <v>4</v>
      </c>
      <c r="F113">
        <v>12</v>
      </c>
      <c r="G113">
        <v>1</v>
      </c>
      <c r="H113" s="1">
        <v>5.5208333333333333E-3</v>
      </c>
      <c r="I113" t="s">
        <v>18</v>
      </c>
      <c r="J113" s="2" t="str">
        <f>HYPERLINK("https://www.nba.com/stats/events?CFID=&amp;CFPARAMS=&amp;GameEventID=26&amp;GameID=0041500153&amp;Season=2015-16&amp;flag=1&amp;title=Leonard%20%203PT%20Jump%20Shot%20(7%20PTS)%20(Parker%202%20AST)", "Leonard  3PT Jump Shot (7 PTS) (Parker 2 AST)")</f>
        <v>Leonard  3PT Jump Shot (7 PTS) (Parker 2 AST)</v>
      </c>
      <c r="K113" s="2" t="str">
        <f>HYPERLINK("https://www.nba.com/game/...-vs-...-0041500153/play-by-play?watchFullGame=true", "SAS vs MEM - Q1 07:57.00")</f>
        <v>SAS vs MEM - Q1 07:57.00</v>
      </c>
      <c r="L113">
        <v>0</v>
      </c>
      <c r="M113">
        <v>-228</v>
      </c>
      <c r="N113">
        <v>-11</v>
      </c>
      <c r="O113">
        <v>-228</v>
      </c>
      <c r="P113">
        <v>-11</v>
      </c>
    </row>
    <row r="114" spans="1:16" x14ac:dyDescent="0.25">
      <c r="A114">
        <v>41500153</v>
      </c>
      <c r="B114" t="s">
        <v>25</v>
      </c>
      <c r="C114" t="s">
        <v>16</v>
      </c>
      <c r="D114" t="s">
        <v>19</v>
      </c>
      <c r="E114">
        <v>73</v>
      </c>
      <c r="F114">
        <v>77</v>
      </c>
      <c r="G114">
        <v>4</v>
      </c>
      <c r="H114" s="1">
        <v>6.4699074074074077E-3</v>
      </c>
      <c r="I114" t="s">
        <v>18</v>
      </c>
      <c r="J114" s="2" t="str">
        <f>HYPERLINK("https://www.nba.com/stats/events?CFID=&amp;CFPARAMS=&amp;GameEventID=396&amp;GameID=0041500153&amp;Season=2015-16&amp;flag=1&amp;title=Leonard%20%203PT%20Jump%20Shot%20(24%20PTS)%20(West%202%20AST)", "Leonard  3PT Jump Shot (24 PTS) (West 2 AST)")</f>
        <v>Leonard  3PT Jump Shot (24 PTS) (West 2 AST)</v>
      </c>
      <c r="K114" s="2" t="str">
        <f>HYPERLINK("https://www.nba.com/game/...-vs-...-0041500153/play-by-play?watchFullGame=true", "SAS vs MEM - Q4 09:19.00")</f>
        <v>SAS vs MEM - Q4 09:19.00</v>
      </c>
      <c r="L114">
        <v>0</v>
      </c>
      <c r="M114">
        <v>-228</v>
      </c>
      <c r="N114">
        <v>-6</v>
      </c>
      <c r="O114">
        <v>-228</v>
      </c>
      <c r="P114">
        <v>-6</v>
      </c>
    </row>
    <row r="115" spans="1:16" x14ac:dyDescent="0.25">
      <c r="A115">
        <v>21601193</v>
      </c>
      <c r="B115">
        <v>2016</v>
      </c>
      <c r="C115" t="s">
        <v>16</v>
      </c>
      <c r="D115" t="s">
        <v>19</v>
      </c>
      <c r="E115">
        <v>13</v>
      </c>
      <c r="F115">
        <v>13</v>
      </c>
      <c r="G115">
        <v>1</v>
      </c>
      <c r="H115" s="1">
        <v>3.7037037037037038E-3</v>
      </c>
      <c r="I115" t="s">
        <v>18</v>
      </c>
      <c r="J115" s="2" t="str">
        <f>HYPERLINK("https://www.nba.com/stats/events?CFID=&amp;CFPARAMS=&amp;GameEventID=66&amp;GameID=0021601193&amp;Season=2016-17&amp;flag=1&amp;title=Leonard%203PT%20Jump%20Shot%20(3%20PTS)%20(Anderson%201%20AST)", "Leonard 3PT Jump Shot (3 PTS) (Anderson 1 AST)")</f>
        <v>Leonard 3PT Jump Shot (3 PTS) (Anderson 1 AST)</v>
      </c>
      <c r="K115" s="2" t="str">
        <f>HYPERLINK("https://www.nba.com/game/...-vs-...-0021601193/play-by-play?watchFullGame=true", "SAS vs LAC - Q1 05:20.00")</f>
        <v>SAS vs LAC - Q1 05:20.00</v>
      </c>
      <c r="L115">
        <v>0</v>
      </c>
      <c r="M115">
        <v>-228</v>
      </c>
      <c r="N115">
        <v>-5</v>
      </c>
      <c r="O115">
        <v>-228</v>
      </c>
      <c r="P115">
        <v>-5</v>
      </c>
    </row>
    <row r="116" spans="1:16" x14ac:dyDescent="0.25">
      <c r="A116">
        <v>21500759</v>
      </c>
      <c r="B116">
        <v>2015</v>
      </c>
      <c r="C116" t="s">
        <v>16</v>
      </c>
      <c r="D116" t="s">
        <v>19</v>
      </c>
      <c r="E116">
        <v>22</v>
      </c>
      <c r="F116">
        <v>50</v>
      </c>
      <c r="G116">
        <v>2</v>
      </c>
      <c r="H116" s="1">
        <v>2.9398148148148148E-3</v>
      </c>
      <c r="I116" t="s">
        <v>18</v>
      </c>
      <c r="J116" s="2" t="str">
        <f>HYPERLINK("https://www.nba.com/stats/events?CFID=&amp;CFPARAMS=&amp;GameEventID=204&amp;GameID=0021500759&amp;Season=2015-16&amp;flag=1&amp;title=Leonard%20%203PT%20Jump%20Shot%20(14%20PTS)%20(Green%201%20AST)", "Leonard  3PT Jump Shot (14 PTS) (Green 1 AST)")</f>
        <v>Leonard  3PT Jump Shot (14 PTS) (Green 1 AST)</v>
      </c>
      <c r="K116" s="2" t="str">
        <f>HYPERLINK("https://www.nba.com/game/...-vs-...-0021500759/play-by-play?watchFullGame=true", "SAS vs DAL - Q2 04:14.00")</f>
        <v>SAS vs DAL - Q2 04:14.00</v>
      </c>
      <c r="L116">
        <v>0</v>
      </c>
      <c r="M116">
        <v>-228</v>
      </c>
      <c r="N116">
        <v>13</v>
      </c>
      <c r="O116">
        <v>-228</v>
      </c>
      <c r="P116">
        <v>13</v>
      </c>
    </row>
    <row r="117" spans="1:16" x14ac:dyDescent="0.25">
      <c r="A117">
        <v>22200701</v>
      </c>
      <c r="B117">
        <v>2022</v>
      </c>
      <c r="C117" t="s">
        <v>16</v>
      </c>
      <c r="D117" t="s">
        <v>19</v>
      </c>
      <c r="E117">
        <v>60</v>
      </c>
      <c r="F117">
        <v>63</v>
      </c>
      <c r="G117">
        <v>3</v>
      </c>
      <c r="H117" s="1">
        <v>5.1273148148148146E-3</v>
      </c>
      <c r="I117" t="s">
        <v>23</v>
      </c>
      <c r="J117" s="2" t="str">
        <f>HYPERLINK("https://www.nba.com/stats/events?CFID=&amp;CFPARAMS=&amp;GameEventID=367&amp;GameID=0022200701&amp;Season=2022-23&amp;flag=1&amp;title=Leonard%203PT%20%20(15%20PTS)%20(M.%20Morris%20Sr.%203%20AST)", "3PT  (15 PTS) (M. Morris Sr. 3 AST)")</f>
        <v>3PT  (15 PTS) (M. Morris Sr. 3 AST)</v>
      </c>
      <c r="K117" s="2" t="str">
        <f>HYPERLINK("https://www.nba.com/game/...-vs-...-0022200701/play-by-play?watchFullGame=true", "LAC vs DAL - Q3 07:23.00")</f>
        <v>LAC vs DAL - Q3 07:23.00</v>
      </c>
      <c r="L117">
        <v>22.9</v>
      </c>
      <c r="M117">
        <v>7.75</v>
      </c>
      <c r="N117">
        <v>95.61</v>
      </c>
      <c r="O117">
        <v>-228</v>
      </c>
      <c r="P117">
        <v>20</v>
      </c>
    </row>
    <row r="118" spans="1:16" x14ac:dyDescent="0.25">
      <c r="A118">
        <v>41300314</v>
      </c>
      <c r="B118" t="s">
        <v>26</v>
      </c>
      <c r="C118" t="s">
        <v>16</v>
      </c>
      <c r="D118" t="s">
        <v>19</v>
      </c>
      <c r="E118">
        <v>0</v>
      </c>
      <c r="F118">
        <v>3</v>
      </c>
      <c r="G118">
        <v>1</v>
      </c>
      <c r="H118" s="1">
        <v>8.1018518518518514E-3</v>
      </c>
      <c r="I118" t="s">
        <v>18</v>
      </c>
      <c r="J118" s="2" t="str">
        <f>HYPERLINK("https://www.nba.com/stats/events?CFID=&amp;CFPARAMS=&amp;GameEventID=2&amp;GameID=0041300314&amp;Season=2013-14&amp;flag=1&amp;title=Leonard%20%203PT%20Jump%20Shot%20(3%20PTS)%20(Parker%201%20AST)", "Leonard  3PT Jump Shot (3 PTS) (Parker 1 AST)")</f>
        <v>Leonard  3PT Jump Shot (3 PTS) (Parker 1 AST)</v>
      </c>
      <c r="K118" s="2" t="str">
        <f>HYPERLINK("https://www.nba.com/game/...-vs-...-0041300314/play-by-play?watchFullGame=true", "SAS vs OKC - Q1 11:40.00")</f>
        <v>SAS vs OKC - Q1 11:40.00</v>
      </c>
      <c r="L118">
        <v>0</v>
      </c>
      <c r="M118">
        <v>-228</v>
      </c>
      <c r="N118">
        <v>26</v>
      </c>
      <c r="O118">
        <v>-228</v>
      </c>
      <c r="P118">
        <v>26</v>
      </c>
    </row>
    <row r="119" spans="1:16" x14ac:dyDescent="0.25">
      <c r="A119">
        <v>22200525</v>
      </c>
      <c r="B119">
        <v>2022</v>
      </c>
      <c r="C119" t="s">
        <v>16</v>
      </c>
      <c r="D119" t="s">
        <v>19</v>
      </c>
      <c r="E119">
        <v>11</v>
      </c>
      <c r="F119">
        <v>13</v>
      </c>
      <c r="G119">
        <v>1</v>
      </c>
      <c r="H119" s="1">
        <v>4.5486111111111109E-3</v>
      </c>
      <c r="I119" t="s">
        <v>23</v>
      </c>
      <c r="J119" s="2" t="str">
        <f>HYPERLINK("https://www.nba.com/stats/events?CFID=&amp;CFPARAMS=&amp;GameEventID=68&amp;GameID=0022200525&amp;Season=2022-23&amp;flag=1&amp;title=Leonard%203PT%20%20(6%20PTS)%20(J.%20Wall%201%20AST)", "3PT  (6 PTS) (J. Wall 1 AST)")</f>
        <v>3PT  (6 PTS) (J. Wall 1 AST)</v>
      </c>
      <c r="K119" s="2" t="str">
        <f>HYPERLINK("https://www.nba.com/game/...-vs-...-0022200525/play-by-play?watchFullGame=true", "LAC vs BOS - Q1 06:33.00")</f>
        <v>LAC vs BOS - Q1 06:33.00</v>
      </c>
      <c r="L119">
        <v>23.05</v>
      </c>
      <c r="M119">
        <v>90.75</v>
      </c>
      <c r="N119">
        <v>4.41</v>
      </c>
      <c r="O119">
        <v>-228</v>
      </c>
      <c r="P119">
        <v>34</v>
      </c>
    </row>
    <row r="120" spans="1:16" x14ac:dyDescent="0.25">
      <c r="A120">
        <v>22300716</v>
      </c>
      <c r="B120">
        <v>2023</v>
      </c>
      <c r="C120" t="s">
        <v>16</v>
      </c>
      <c r="D120" t="s">
        <v>19</v>
      </c>
      <c r="E120">
        <v>70</v>
      </c>
      <c r="F120">
        <v>75</v>
      </c>
      <c r="G120">
        <v>3</v>
      </c>
      <c r="H120" s="1">
        <v>6.9560185185185185E-3</v>
      </c>
      <c r="I120" t="s">
        <v>23</v>
      </c>
      <c r="J120" s="2" t="str">
        <f>HYPERLINK("https://www.nba.com/stats/events?CFID=&amp;CFPARAMS=&amp;GameEventID=329&amp;GameID=0022300716&amp;Season=2023-24&amp;flag=1&amp;title=Leonard%203PT%20%20(17%20PTS)%20(T.%20Mann%202%20AST)", "3PT  (17 PTS) (T. Mann 2 AST)")</f>
        <v>3PT  (17 PTS) (T. Mann 2 AST)</v>
      </c>
      <c r="K120" s="2" t="str">
        <f>HYPERLINK("https://www.nba.com/game/...-vs-...-0022300716/play-by-play?watchFullGame=true", "LAC vs ATL - Q3 10:01.00")</f>
        <v>LAC vs ATL - Q3 10:01.00</v>
      </c>
      <c r="L120">
        <v>23.13</v>
      </c>
      <c r="M120">
        <v>9.81</v>
      </c>
      <c r="N120">
        <v>95.59</v>
      </c>
      <c r="O120">
        <v>-228</v>
      </c>
      <c r="P120">
        <v>40</v>
      </c>
    </row>
    <row r="121" spans="1:16" x14ac:dyDescent="0.25">
      <c r="A121">
        <v>22300749</v>
      </c>
      <c r="B121">
        <v>2023</v>
      </c>
      <c r="C121" t="s">
        <v>16</v>
      </c>
      <c r="D121" t="s">
        <v>19</v>
      </c>
      <c r="E121">
        <v>12</v>
      </c>
      <c r="F121">
        <v>2</v>
      </c>
      <c r="G121">
        <v>1</v>
      </c>
      <c r="H121" s="1">
        <v>6.030092592592593E-3</v>
      </c>
      <c r="I121" t="s">
        <v>23</v>
      </c>
      <c r="J121" s="2" t="str">
        <f>HYPERLINK("https://www.nba.com/stats/events?CFID=&amp;CFPARAMS=&amp;GameEventID=36&amp;GameID=0022300749&amp;Season=2023-24&amp;flag=1&amp;title=Leonard%203PT%20%20(3%20PTS)%20(T.%20Mann%201%20AST)", "3PT  (3 PTS) (T. Mann 1 AST)")</f>
        <v>3PT  (3 PTS) (T. Mann 1 AST)</v>
      </c>
      <c r="K121" s="2" t="str">
        <f>HYPERLINK("https://www.nba.com/game/...-vs-...-0022300749/play-by-play?watchFullGame=true", "LAC vs DET - Q1 08:41.00")</f>
        <v>LAC vs DET - Q1 08:41.00</v>
      </c>
      <c r="L121">
        <v>23.27</v>
      </c>
      <c r="M121">
        <v>89.44</v>
      </c>
      <c r="N121">
        <v>4.41</v>
      </c>
      <c r="O121">
        <v>-228</v>
      </c>
      <c r="P121">
        <v>47</v>
      </c>
    </row>
    <row r="122" spans="1:16" x14ac:dyDescent="0.25">
      <c r="A122">
        <v>22200701</v>
      </c>
      <c r="B122">
        <v>2022</v>
      </c>
      <c r="C122" t="s">
        <v>16</v>
      </c>
      <c r="D122" t="s">
        <v>19</v>
      </c>
      <c r="E122">
        <v>42</v>
      </c>
      <c r="F122">
        <v>36</v>
      </c>
      <c r="G122">
        <v>2</v>
      </c>
      <c r="H122" s="1">
        <v>2.9398148148148148E-3</v>
      </c>
      <c r="I122" t="s">
        <v>23</v>
      </c>
      <c r="J122" s="2" t="str">
        <f>HYPERLINK("https://www.nba.com/stats/events?CFID=&amp;CFPARAMS=&amp;GameEventID=245&amp;GameID=0022200701&amp;Season=2022-23&amp;flag=1&amp;title=Leonard%203PT%20pullup%20(10%20PTS)%20(M.%20Morris%20Sr.%202%20AST)", "3PT pullup (10 PTS) (M. Morris Sr. 2 AST)")</f>
        <v>3PT pullup (10 PTS) (M. Morris Sr. 2 AST)</v>
      </c>
      <c r="K122" s="2" t="str">
        <f>HYPERLINK("https://www.nba.com/game/...-vs-...-0022200701/play-by-play?watchFullGame=true", "LAC vs DAL - Q2 04:14.00")</f>
        <v>LAC vs DAL - Q2 04:14.00</v>
      </c>
      <c r="L122">
        <v>23.29</v>
      </c>
      <c r="M122">
        <v>89.31</v>
      </c>
      <c r="N122">
        <v>4.41</v>
      </c>
      <c r="O122">
        <v>-228</v>
      </c>
      <c r="P122">
        <v>48</v>
      </c>
    </row>
    <row r="123" spans="1:16" x14ac:dyDescent="0.25">
      <c r="A123">
        <v>22200810</v>
      </c>
      <c r="B123">
        <v>2022</v>
      </c>
      <c r="C123" t="s">
        <v>16</v>
      </c>
      <c r="D123" t="s">
        <v>19</v>
      </c>
      <c r="E123">
        <v>40</v>
      </c>
      <c r="F123">
        <v>49</v>
      </c>
      <c r="G123">
        <v>2</v>
      </c>
      <c r="H123" s="1">
        <v>2.2222222222222222E-3</v>
      </c>
      <c r="I123" t="s">
        <v>23</v>
      </c>
      <c r="J123" s="2" t="str">
        <f>HYPERLINK("https://www.nba.com/stats/events?CFID=&amp;CFPARAMS=&amp;GameEventID=253&amp;GameID=0022200810&amp;Season=2022-23&amp;flag=1&amp;title=Leonard%203PT%20%20(9%20PTS)%20(N.%20Batum%203%20AST)", "3PT  (9 PTS) (N. Batum 3 AST)")</f>
        <v>3PT  (9 PTS) (N. Batum 3 AST)</v>
      </c>
      <c r="K123" s="2" t="str">
        <f>HYPERLINK("https://www.nba.com/game/...-vs-...-0022200810/play-by-play?watchFullGame=true", "LAC vs BKN - Q2 03:12.00")</f>
        <v>LAC vs BKN - Q2 03:12.00</v>
      </c>
      <c r="L123">
        <v>22.67</v>
      </c>
      <c r="M123">
        <v>94.43</v>
      </c>
      <c r="N123">
        <v>4.66</v>
      </c>
      <c r="O123">
        <v>-227</v>
      </c>
      <c r="P123">
        <v>4</v>
      </c>
    </row>
    <row r="124" spans="1:16" x14ac:dyDescent="0.25">
      <c r="A124">
        <v>21601161</v>
      </c>
      <c r="B124">
        <v>2016</v>
      </c>
      <c r="C124" t="s">
        <v>16</v>
      </c>
      <c r="D124" t="s">
        <v>19</v>
      </c>
      <c r="E124">
        <v>76</v>
      </c>
      <c r="F124">
        <v>65</v>
      </c>
      <c r="G124">
        <v>4</v>
      </c>
      <c r="H124" s="1">
        <v>4.4907407407407405E-3</v>
      </c>
      <c r="I124" t="s">
        <v>18</v>
      </c>
      <c r="J124" s="2" t="str">
        <f>HYPERLINK("https://www.nba.com/stats/events?CFID=&amp;CFPARAMS=&amp;GameEventID=395&amp;GameID=0021601161&amp;Season=2016-17&amp;flag=1&amp;title=Leonard%20%203PT%20Jump%20Shot%20(25%20PTS)%20(Simmons%203%20AST)", "Leonard  3PT Jump Shot (25 PTS) (Simmons 3 AST)")</f>
        <v>Leonard  3PT Jump Shot (25 PTS) (Simmons 3 AST)</v>
      </c>
      <c r="K124" s="2" t="str">
        <f>HYPERLINK("https://www.nba.com/game/...-vs-...-0021601161/play-by-play?watchFullGame=true", "SAS vs MEM - Q4 06:28.00")</f>
        <v>SAS vs MEM - Q4 06:28.00</v>
      </c>
      <c r="L124">
        <v>0</v>
      </c>
      <c r="M124">
        <v>-227</v>
      </c>
      <c r="N124">
        <v>11</v>
      </c>
      <c r="O124">
        <v>-227</v>
      </c>
      <c r="P124">
        <v>11</v>
      </c>
    </row>
    <row r="125" spans="1:16" x14ac:dyDescent="0.25">
      <c r="A125">
        <v>22300716</v>
      </c>
      <c r="B125">
        <v>2023</v>
      </c>
      <c r="C125" t="s">
        <v>16</v>
      </c>
      <c r="D125" t="s">
        <v>19</v>
      </c>
      <c r="E125">
        <v>76</v>
      </c>
      <c r="F125">
        <v>81</v>
      </c>
      <c r="G125">
        <v>3</v>
      </c>
      <c r="H125" s="1">
        <v>5.4050925925925924E-3</v>
      </c>
      <c r="I125" t="s">
        <v>23</v>
      </c>
      <c r="J125" s="2" t="str">
        <f>HYPERLINK("https://www.nba.com/stats/events?CFID=&amp;CFPARAMS=&amp;GameEventID=351&amp;GameID=0022300716&amp;Season=2023-24&amp;flag=1&amp;title=Leonard%203PT%20%20(20%20PTS)%20(P.%20George%202%20AST)", "3PT  (20 PTS) (P. George 2 AST)")</f>
        <v>3PT  (20 PTS) (P. George 2 AST)</v>
      </c>
      <c r="K125" s="2" t="str">
        <f>HYPERLINK("https://www.nba.com/game/...-vs-...-0022300716/play-by-play?watchFullGame=true", "LAC vs ATL - Q3 07:47.00")</f>
        <v>LAC vs ATL - Q3 07:47.00</v>
      </c>
      <c r="L125">
        <v>22.71</v>
      </c>
      <c r="M125">
        <v>7.05</v>
      </c>
      <c r="N125">
        <v>95.34</v>
      </c>
      <c r="O125">
        <v>-227</v>
      </c>
      <c r="P125">
        <v>14</v>
      </c>
    </row>
    <row r="126" spans="1:16" x14ac:dyDescent="0.25">
      <c r="A126">
        <v>22200871</v>
      </c>
      <c r="B126">
        <v>2022</v>
      </c>
      <c r="C126" t="s">
        <v>16</v>
      </c>
      <c r="D126" t="s">
        <v>19</v>
      </c>
      <c r="E126">
        <v>19</v>
      </c>
      <c r="F126">
        <v>9</v>
      </c>
      <c r="G126">
        <v>1</v>
      </c>
      <c r="H126" s="1">
        <v>3.414351851851852E-3</v>
      </c>
      <c r="I126" t="s">
        <v>23</v>
      </c>
      <c r="J126" s="2" t="str">
        <f>HYPERLINK("https://www.nba.com/stats/events?CFID=&amp;CFPARAMS=&amp;GameEventID=68&amp;GameID=0022200871&amp;Season=2022-23&amp;flag=1&amp;title=Leonard%203PT%20%20(6%20PTS)%20(I.%20Zubac%202%20AST)", "3PT  (6 PTS) (I. Zubac 2 AST)")</f>
        <v>3PT  (6 PTS) (I. Zubac 2 AST)</v>
      </c>
      <c r="K126" s="2" t="str">
        <f>HYPERLINK("https://www.nba.com/game/...-vs-...-0022200871/play-by-play?watchFullGame=true", "LAC vs GSW - Q1 04:55.00")</f>
        <v>LAC vs GSW - Q1 04:55.00</v>
      </c>
      <c r="L126">
        <v>22.75</v>
      </c>
      <c r="M126">
        <v>92.43</v>
      </c>
      <c r="N126">
        <v>4.66</v>
      </c>
      <c r="O126">
        <v>-227</v>
      </c>
      <c r="P126">
        <v>19</v>
      </c>
    </row>
    <row r="127" spans="1:16" x14ac:dyDescent="0.25">
      <c r="A127">
        <v>41600154</v>
      </c>
      <c r="B127" t="s">
        <v>30</v>
      </c>
      <c r="C127" t="s">
        <v>16</v>
      </c>
      <c r="D127" t="s">
        <v>19</v>
      </c>
      <c r="E127">
        <v>92</v>
      </c>
      <c r="F127">
        <v>94</v>
      </c>
      <c r="G127">
        <v>4</v>
      </c>
      <c r="H127" s="1">
        <v>5.0000000000000001E-4</v>
      </c>
      <c r="I127" t="s">
        <v>18</v>
      </c>
      <c r="J127" s="2" t="str">
        <f>HYPERLINK("https://www.nba.com/stats/events?CFID=&amp;CFPARAMS=&amp;GameEventID=495&amp;GameID=0041600154&amp;Season=2016-17&amp;flag=1&amp;title=Leonard%20%203PT%20Jump%20Shot%20(33%20PTS)%20(Mills%203%20AST)", "Leonard  3PT Jump Shot (33 PTS) (Mills 3 AST)")</f>
        <v>Leonard  3PT Jump Shot (33 PTS) (Mills 3 AST)</v>
      </c>
      <c r="K127" s="2" t="str">
        <f>HYPERLINK("https://www.nba.com/game/...-vs-...-0041600154/play-by-play?watchFullGame=true", "SAS vs MEM - Q4 00:43.20")</f>
        <v>SAS vs MEM - Q4 00:43.20</v>
      </c>
      <c r="L127">
        <v>0</v>
      </c>
      <c r="M127">
        <v>-227</v>
      </c>
      <c r="N127">
        <v>21</v>
      </c>
      <c r="O127">
        <v>-227</v>
      </c>
      <c r="P127">
        <v>21</v>
      </c>
    </row>
    <row r="128" spans="1:16" x14ac:dyDescent="0.25">
      <c r="A128">
        <v>22201162</v>
      </c>
      <c r="B128">
        <v>2022</v>
      </c>
      <c r="C128" t="s">
        <v>16</v>
      </c>
      <c r="D128" t="s">
        <v>19</v>
      </c>
      <c r="E128">
        <v>84</v>
      </c>
      <c r="F128">
        <v>85</v>
      </c>
      <c r="G128">
        <v>3</v>
      </c>
      <c r="H128" s="1">
        <v>1.2037037037037038E-3</v>
      </c>
      <c r="I128" t="s">
        <v>23</v>
      </c>
      <c r="J128" s="2" t="str">
        <f>HYPERLINK("https://www.nba.com/stats/events?CFID=&amp;CFPARAMS=&amp;GameEventID=459&amp;GameID=0022201162&amp;Season=2022-23&amp;flag=1&amp;title=Leonard%2024'%203PT%20%20(26%20PTS)%20(B.%20Hyland%201%20AST)", "24' 3PT  (26 PTS) (B. Hyland 1 AST)")</f>
        <v>24' 3PT  (26 PTS) (B. Hyland 1 AST)</v>
      </c>
      <c r="K128" s="2" t="str">
        <f>HYPERLINK("https://www.nba.com/game/...-vs-...-0022201162/play-by-play?watchFullGame=true", "LAC vs NOP - Q3 01:44.00")</f>
        <v>LAC vs NOP - Q3 01:44.00</v>
      </c>
      <c r="L128">
        <v>24.94</v>
      </c>
      <c r="M128">
        <v>16.64</v>
      </c>
      <c r="N128">
        <v>95.34</v>
      </c>
      <c r="O128">
        <v>-227</v>
      </c>
      <c r="P128">
        <v>104</v>
      </c>
    </row>
    <row r="129" spans="1:16" x14ac:dyDescent="0.25">
      <c r="A129">
        <v>22300343</v>
      </c>
      <c r="B129">
        <v>2023</v>
      </c>
      <c r="C129" t="s">
        <v>16</v>
      </c>
      <c r="D129" t="s">
        <v>19</v>
      </c>
      <c r="E129">
        <v>102</v>
      </c>
      <c r="F129">
        <v>82</v>
      </c>
      <c r="G129">
        <v>3</v>
      </c>
      <c r="H129" s="1">
        <v>3.3912037037037036E-3</v>
      </c>
      <c r="I129" t="s">
        <v>23</v>
      </c>
      <c r="J129" s="2" t="str">
        <f>HYPERLINK("https://www.nba.com/stats/events?CFID=&amp;CFPARAMS=&amp;GameEventID=446&amp;GameID=0022300343&amp;Season=2023-24&amp;flag=1&amp;title=Leonard%2026'%203PT%20%20(31%20PTS)%20(P.%20George%206%20AST)", "26' 3PT  (31 PTS) (P. George 6 AST)")</f>
        <v>26' 3PT  (31 PTS) (P. George 6 AST)</v>
      </c>
      <c r="K129" s="2" t="str">
        <f>HYPERLINK("https://www.nba.com/game/...-vs-...-0022300343/play-by-play?watchFullGame=true", "LAC vs NYK - Q3 04:53.00")</f>
        <v>LAC vs NYK - Q3 04:53.00</v>
      </c>
      <c r="L129">
        <v>26.05</v>
      </c>
      <c r="M129">
        <v>19.23</v>
      </c>
      <c r="N129">
        <v>95.34</v>
      </c>
      <c r="O129">
        <v>-227</v>
      </c>
      <c r="P129">
        <v>128</v>
      </c>
    </row>
    <row r="130" spans="1:16" x14ac:dyDescent="0.25">
      <c r="A130">
        <v>21400714</v>
      </c>
      <c r="B130">
        <v>2014</v>
      </c>
      <c r="C130" t="s">
        <v>16</v>
      </c>
      <c r="D130" t="s">
        <v>19</v>
      </c>
      <c r="E130">
        <v>45</v>
      </c>
      <c r="F130">
        <v>56</v>
      </c>
      <c r="G130">
        <v>3</v>
      </c>
      <c r="H130" s="1">
        <v>7.9629629629629634E-3</v>
      </c>
      <c r="I130" t="s">
        <v>18</v>
      </c>
      <c r="J130" s="2" t="str">
        <f>HYPERLINK("https://www.nba.com/stats/events?CFID=&amp;CFPARAMS=&amp;GameEventID=240&amp;GameID=0021400714&amp;Season=2014-15&amp;flag=1&amp;title=Leonard%20%203PT%20Jump%20Shot%20(15%20PTS)%20(Splitter%201%20AST)", "Leonard  3PT Jump Shot (15 PTS) (Splitter 1 AST)")</f>
        <v>Leonard  3PT Jump Shot (15 PTS) (Splitter 1 AST)</v>
      </c>
      <c r="K130" s="2" t="str">
        <f>HYPERLINK("https://www.nba.com/game/...-vs-...-0021400714/play-by-play?watchFullGame=true", "SAS vs LAC - Q3 11:28.00")</f>
        <v>SAS vs LAC - Q3 11:28.00</v>
      </c>
      <c r="L130">
        <v>0</v>
      </c>
      <c r="M130">
        <v>-226</v>
      </c>
      <c r="N130">
        <v>-11</v>
      </c>
      <c r="O130">
        <v>-226</v>
      </c>
      <c r="P130">
        <v>-11</v>
      </c>
    </row>
    <row r="131" spans="1:16" x14ac:dyDescent="0.25">
      <c r="A131">
        <v>21400064</v>
      </c>
      <c r="B131">
        <v>2014</v>
      </c>
      <c r="C131" t="s">
        <v>16</v>
      </c>
      <c r="D131" t="s">
        <v>19</v>
      </c>
      <c r="E131">
        <v>15</v>
      </c>
      <c r="F131">
        <v>9</v>
      </c>
      <c r="G131">
        <v>1</v>
      </c>
      <c r="H131" s="1">
        <v>5.3356481481481484E-3</v>
      </c>
      <c r="I131" t="s">
        <v>18</v>
      </c>
      <c r="J131" s="2" t="str">
        <f>HYPERLINK("https://www.nba.com/stats/events?CFID=&amp;CFPARAMS=&amp;GameEventID=34&amp;GameID=0021400064&amp;Season=2014-15&amp;flag=1&amp;title=Leonard%20%203PT%20Jump%20Shot%20(3%20PTS)%20(Parker%202%20AST)", "Leonard  3PT Jump Shot (3 PTS) (Parker 2 AST)")</f>
        <v>Leonard  3PT Jump Shot (3 PTS) (Parker 2 AST)</v>
      </c>
      <c r="K131" s="2" t="str">
        <f>HYPERLINK("https://www.nba.com/game/...-vs-...-0021400064/play-by-play?watchFullGame=true", "SAS vs ATL - Q1 07:41.00")</f>
        <v>SAS vs ATL - Q1 07:41.00</v>
      </c>
      <c r="L131">
        <v>0</v>
      </c>
      <c r="M131">
        <v>-226</v>
      </c>
      <c r="N131">
        <v>-6</v>
      </c>
      <c r="O131">
        <v>-226</v>
      </c>
      <c r="P131">
        <v>-6</v>
      </c>
    </row>
    <row r="132" spans="1:16" x14ac:dyDescent="0.25">
      <c r="A132">
        <v>21300338</v>
      </c>
      <c r="B132">
        <v>2013</v>
      </c>
      <c r="C132" t="s">
        <v>16</v>
      </c>
      <c r="D132" t="s">
        <v>19</v>
      </c>
      <c r="E132">
        <v>3</v>
      </c>
      <c r="F132">
        <v>0</v>
      </c>
      <c r="G132">
        <v>1</v>
      </c>
      <c r="H132" s="1">
        <v>8.0902777777777778E-3</v>
      </c>
      <c r="I132" t="s">
        <v>18</v>
      </c>
      <c r="J132" s="2" t="str">
        <f>HYPERLINK("https://www.nba.com/stats/events?CFID=&amp;CFPARAMS=&amp;GameEventID=3&amp;GameID=0021300338&amp;Season=2013-14&amp;flag=1&amp;title=Leonard%20%203PT%20Jump%20Shot%20(3%20PTS)%20(Duncan%201%20AST)", "Leonard  3PT Jump Shot (3 PTS) (Duncan 1 AST)")</f>
        <v>Leonard  3PT Jump Shot (3 PTS) (Duncan 1 AST)</v>
      </c>
      <c r="K132" s="2" t="str">
        <f>HYPERLINK("https://www.nba.com/game/...-vs-...-0021300338/play-by-play?watchFullGame=true", "SAS vs MIN - Q1 11:39.00")</f>
        <v>SAS vs MIN - Q1 11:39.00</v>
      </c>
      <c r="L132">
        <v>0</v>
      </c>
      <c r="M132">
        <v>-226</v>
      </c>
      <c r="N132">
        <v>0</v>
      </c>
      <c r="O132">
        <v>-226</v>
      </c>
      <c r="P132">
        <v>0</v>
      </c>
    </row>
    <row r="133" spans="1:16" x14ac:dyDescent="0.25">
      <c r="A133">
        <v>41300403</v>
      </c>
      <c r="B133" t="s">
        <v>26</v>
      </c>
      <c r="C133" t="s">
        <v>16</v>
      </c>
      <c r="D133" t="s">
        <v>19</v>
      </c>
      <c r="E133">
        <v>23</v>
      </c>
      <c r="F133">
        <v>38</v>
      </c>
      <c r="G133">
        <v>1</v>
      </c>
      <c r="H133" s="1">
        <v>3.8773148148148147E-4</v>
      </c>
      <c r="I133" t="s">
        <v>18</v>
      </c>
      <c r="J133" s="2" t="str">
        <f>HYPERLINK("https://www.nba.com/stats/events?CFID=&amp;CFPARAMS=&amp;GameEventID=118&amp;GameID=0041300403&amp;Season=2013-14&amp;flag=1&amp;title=Leonard%20%203PT%20Jump%20Shot%20(16%20PTS)%20(Mills%202%20AST)", "Leonard  3PT Jump Shot (16 PTS) (Mills 2 AST)")</f>
        <v>Leonard  3PT Jump Shot (16 PTS) (Mills 2 AST)</v>
      </c>
      <c r="K133" s="2" t="str">
        <f>HYPERLINK("https://www.nba.com/game/...-vs-...-0041300403/play-by-play?watchFullGame=true", "SAS vs MIA - Q1 00:33.50")</f>
        <v>SAS vs MIA - Q1 00:33.50</v>
      </c>
      <c r="L133">
        <v>0</v>
      </c>
      <c r="M133">
        <v>-226</v>
      </c>
      <c r="N133">
        <v>1</v>
      </c>
      <c r="O133">
        <v>-226</v>
      </c>
      <c r="P133">
        <v>1</v>
      </c>
    </row>
    <row r="134" spans="1:16" x14ac:dyDescent="0.25">
      <c r="A134">
        <v>41300225</v>
      </c>
      <c r="B134" t="s">
        <v>26</v>
      </c>
      <c r="C134" t="s">
        <v>16</v>
      </c>
      <c r="D134" t="s">
        <v>19</v>
      </c>
      <c r="E134">
        <v>30</v>
      </c>
      <c r="F134">
        <v>24</v>
      </c>
      <c r="G134">
        <v>2</v>
      </c>
      <c r="H134" s="1">
        <v>6.1342592592592594E-3</v>
      </c>
      <c r="I134" t="s">
        <v>18</v>
      </c>
      <c r="J134" s="2" t="str">
        <f>HYPERLINK("https://www.nba.com/stats/events?CFID=&amp;CFPARAMS=&amp;GameEventID=163&amp;GameID=0041300225&amp;Season=2013-14&amp;flag=1&amp;title=Leonard%20%203PT%20Jump%20Shot%20(7%20PTS)%20(Diaw%203%20AST)", "Leonard  3PT Jump Shot (7 PTS) (Diaw 3 AST)")</f>
        <v>Leonard  3PT Jump Shot (7 PTS) (Diaw 3 AST)</v>
      </c>
      <c r="K134" s="2" t="str">
        <f>HYPERLINK("https://www.nba.com/game/...-vs-...-0041300225/play-by-play?watchFullGame=true", "SAS vs POR - Q2 08:50.00")</f>
        <v>SAS vs POR - Q2 08:50.00</v>
      </c>
      <c r="L134">
        <v>0</v>
      </c>
      <c r="M134">
        <v>-226</v>
      </c>
      <c r="N134">
        <v>1</v>
      </c>
      <c r="O134">
        <v>-226</v>
      </c>
      <c r="P134">
        <v>1</v>
      </c>
    </row>
    <row r="135" spans="1:16" x14ac:dyDescent="0.25">
      <c r="A135">
        <v>21400177</v>
      </c>
      <c r="B135">
        <v>2014</v>
      </c>
      <c r="C135" t="s">
        <v>16</v>
      </c>
      <c r="D135" t="s">
        <v>19</v>
      </c>
      <c r="E135">
        <v>50</v>
      </c>
      <c r="F135">
        <v>70</v>
      </c>
      <c r="G135">
        <v>3</v>
      </c>
      <c r="H135" s="1">
        <v>5.9722222222222225E-3</v>
      </c>
      <c r="I135" t="s">
        <v>18</v>
      </c>
      <c r="J135" s="2" t="str">
        <f>HYPERLINK("https://www.nba.com/stats/events?CFID=&amp;CFPARAMS=&amp;GameEventID=293&amp;GameID=0021400177&amp;Season=2014-15&amp;flag=1&amp;title=Leonard%20%203PT%20Jump%20Shot%20(11%20PTS)%20(Parker%204%20AST)", "Leonard  3PT Jump Shot (11 PTS) (Parker 4 AST)")</f>
        <v>Leonard  3PT Jump Shot (11 PTS) (Parker 4 AST)</v>
      </c>
      <c r="K135" s="2" t="str">
        <f>HYPERLINK("https://www.nba.com/game/...-vs-...-0021400177/play-by-play?watchFullGame=true", "SAS vs MIN - Q3 08:36.00")</f>
        <v>SAS vs MIN - Q3 08:36.00</v>
      </c>
      <c r="L135">
        <v>0</v>
      </c>
      <c r="M135">
        <v>-226</v>
      </c>
      <c r="N135">
        <v>4</v>
      </c>
      <c r="O135">
        <v>-226</v>
      </c>
      <c r="P135">
        <v>4</v>
      </c>
    </row>
    <row r="136" spans="1:16" x14ac:dyDescent="0.25">
      <c r="A136">
        <v>21400231</v>
      </c>
      <c r="B136">
        <v>2014</v>
      </c>
      <c r="C136" t="s">
        <v>16</v>
      </c>
      <c r="D136" t="s">
        <v>19</v>
      </c>
      <c r="E136">
        <v>64</v>
      </c>
      <c r="F136">
        <v>53</v>
      </c>
      <c r="G136">
        <v>3</v>
      </c>
      <c r="H136" s="1">
        <v>7.8125E-3</v>
      </c>
      <c r="I136" t="s">
        <v>18</v>
      </c>
      <c r="J136" s="2" t="str">
        <f>HYPERLINK("https://www.nba.com/stats/events?CFID=&amp;CFPARAMS=&amp;GameEventID=271&amp;GameID=0021400231&amp;Season=2014-15&amp;flag=1&amp;title=Leonard%20%203PT%20Jump%20Shot%20(10%20PTS)%20(Parker%205%20AST)", "Leonard  3PT Jump Shot (10 PTS) (Parker 5 AST)")</f>
        <v>Leonard  3PT Jump Shot (10 PTS) (Parker 5 AST)</v>
      </c>
      <c r="K136" s="2" t="str">
        <f>HYPERLINK("https://www.nba.com/game/...-vs-...-0021400231/play-by-play?watchFullGame=true", "SAS vs SAC - Q3 11:15.00")</f>
        <v>SAS vs SAC - Q3 11:15.00</v>
      </c>
      <c r="L136">
        <v>0</v>
      </c>
      <c r="M136">
        <v>-226</v>
      </c>
      <c r="N136">
        <v>11</v>
      </c>
      <c r="O136">
        <v>-226</v>
      </c>
      <c r="P136">
        <v>11</v>
      </c>
    </row>
    <row r="137" spans="1:16" x14ac:dyDescent="0.25">
      <c r="A137">
        <v>41800305</v>
      </c>
      <c r="B137" t="s">
        <v>20</v>
      </c>
      <c r="C137" t="s">
        <v>16</v>
      </c>
      <c r="D137" t="s">
        <v>19</v>
      </c>
      <c r="E137">
        <v>18</v>
      </c>
      <c r="F137">
        <v>7</v>
      </c>
      <c r="G137">
        <v>1</v>
      </c>
      <c r="H137" s="1">
        <v>4.5023148148148149E-3</v>
      </c>
      <c r="I137" t="s">
        <v>21</v>
      </c>
      <c r="J137" s="2" t="str">
        <f>HYPERLINK("https://www.nba.com/stats/events?CFID=&amp;CFPARAMS=&amp;GameEventID=86&amp;GameID=0041800305&amp;Season=2018-19&amp;flag=1&amp;title=Leonard%203PT%20Jump%20Shot%20(6%20PTS)%20(Lowry%201%20AST)", "Leonard 3PT Jump Shot (6 PTS) (Lowry 1 AST)")</f>
        <v>Leonard 3PT Jump Shot (6 PTS) (Lowry 1 AST)</v>
      </c>
      <c r="K137" s="2" t="str">
        <f>HYPERLINK("https://www.nba.com/game/...-vs-...-0041800305/play-by-play?watchFullGame=true", "TOR vs MIL - Q1 06:29.00")</f>
        <v>TOR vs MIL - Q1 06:29.00</v>
      </c>
      <c r="L137">
        <v>0</v>
      </c>
      <c r="M137">
        <v>-226</v>
      </c>
      <c r="N137">
        <v>17</v>
      </c>
      <c r="O137">
        <v>-226</v>
      </c>
      <c r="P137">
        <v>17</v>
      </c>
    </row>
    <row r="138" spans="1:16" x14ac:dyDescent="0.25">
      <c r="A138">
        <v>22001019</v>
      </c>
      <c r="B138">
        <v>2020</v>
      </c>
      <c r="C138" t="s">
        <v>16</v>
      </c>
      <c r="D138" t="s">
        <v>19</v>
      </c>
      <c r="E138">
        <v>65</v>
      </c>
      <c r="F138">
        <v>64</v>
      </c>
      <c r="G138">
        <v>3</v>
      </c>
      <c r="H138" s="1">
        <v>4.5023148148148149E-3</v>
      </c>
      <c r="I138" t="s">
        <v>23</v>
      </c>
      <c r="J138" s="2" t="str">
        <f>HYPERLINK("https://www.nba.com/stats/events?CFID=&amp;CFPARAMS=&amp;GameEventID=351&amp;GameID=0022001019&amp;Season=2020-21&amp;flag=1&amp;title=Leonard%203PT%20%20(16%20PTS)%20(I.%20Zubac%201%20AST)", "3PT  (16 PTS) (I. Zubac 1 AST)")</f>
        <v>3PT  (16 PTS) (I. Zubac 1 AST)</v>
      </c>
      <c r="K138" s="2" t="str">
        <f>HYPERLINK("https://www.nba.com/game/...-vs-...-0022001019/play-by-play?watchFullGame=true", "LAC vs NYK - Q3 06:29.00")</f>
        <v>LAC vs NYK - Q3 06:29.00</v>
      </c>
      <c r="L138">
        <v>22.68</v>
      </c>
      <c r="M138">
        <v>7.84</v>
      </c>
      <c r="N138">
        <v>95.17</v>
      </c>
      <c r="O138">
        <v>-226</v>
      </c>
      <c r="P138">
        <v>21</v>
      </c>
    </row>
    <row r="139" spans="1:16" x14ac:dyDescent="0.25">
      <c r="A139">
        <v>21900212</v>
      </c>
      <c r="B139">
        <v>2019</v>
      </c>
      <c r="C139" t="s">
        <v>16</v>
      </c>
      <c r="D139" t="s">
        <v>22</v>
      </c>
      <c r="E139">
        <v>43</v>
      </c>
      <c r="F139">
        <v>42</v>
      </c>
      <c r="G139">
        <v>3</v>
      </c>
      <c r="H139" s="1">
        <v>7.8819444444444449E-3</v>
      </c>
      <c r="I139" t="s">
        <v>23</v>
      </c>
      <c r="J139" s="2" t="str">
        <f>HYPERLINK("https://www.nba.com/stats/events?CFID=&amp;CFPARAMS=&amp;GameEventID=352&amp;GameID=0021900212&amp;Season=2019-20&amp;flag=1&amp;title=Leonard%2023'%203PT%20%20(11%20PTS)%20(P.%20George%202%20AST)", "23' 3PT  (11 PTS) (P. George 2 AST)")</f>
        <v>23' 3PT  (11 PTS) (P. George 2 AST)</v>
      </c>
      <c r="K139" s="2" t="str">
        <f>HYPERLINK("https://www.nba.com/game/...-vs-...-0021900212/play-by-play?watchFullGame=true", "LAC vs BOS - Q3 11:21.00")</f>
        <v>LAC vs BOS - Q3 11:21.00</v>
      </c>
      <c r="L139">
        <v>22.82</v>
      </c>
      <c r="M139">
        <v>91.51</v>
      </c>
      <c r="N139">
        <v>4.83</v>
      </c>
      <c r="O139">
        <v>-226</v>
      </c>
      <c r="P139">
        <v>27</v>
      </c>
    </row>
    <row r="140" spans="1:16" x14ac:dyDescent="0.25">
      <c r="A140">
        <v>22000501</v>
      </c>
      <c r="B140">
        <v>2020</v>
      </c>
      <c r="C140" t="s">
        <v>16</v>
      </c>
      <c r="D140" t="s">
        <v>19</v>
      </c>
      <c r="E140">
        <v>84</v>
      </c>
      <c r="F140">
        <v>74</v>
      </c>
      <c r="G140">
        <v>3</v>
      </c>
      <c r="H140" s="1">
        <v>1.6782407407407408E-3</v>
      </c>
      <c r="I140" t="s">
        <v>23</v>
      </c>
      <c r="J140" s="2" t="str">
        <f>HYPERLINK("https://www.nba.com/stats/events?CFID=&amp;CFPARAMS=&amp;GameEventID=432&amp;GameID=0022000501&amp;Season=2020-21&amp;flag=1&amp;title=Leonard%203PT%20running%20(16%20PTS)%20(M.%20Morris%20Sr.%201%20AST)", "3PT running (16 PTS) (M. Morris Sr. 1 AST)")</f>
        <v>3PT running (16 PTS) (M. Morris Sr. 1 AST)</v>
      </c>
      <c r="K140" s="2" t="str">
        <f>HYPERLINK("https://www.nba.com/game/...-vs-...-0022000501/play-by-play?watchFullGame=true", "LAC vs MEM - Q3 02:25.00")</f>
        <v>LAC vs MEM - Q3 02:25.00</v>
      </c>
      <c r="L140">
        <v>22.88</v>
      </c>
      <c r="M140">
        <v>9.5399999999999991</v>
      </c>
      <c r="N140">
        <v>95.17</v>
      </c>
      <c r="O140">
        <v>-226</v>
      </c>
      <c r="P140">
        <v>37</v>
      </c>
    </row>
    <row r="141" spans="1:16" x14ac:dyDescent="0.25">
      <c r="A141">
        <v>22000576</v>
      </c>
      <c r="B141">
        <v>2020</v>
      </c>
      <c r="C141" t="s">
        <v>16</v>
      </c>
      <c r="D141" t="s">
        <v>19</v>
      </c>
      <c r="E141">
        <v>48</v>
      </c>
      <c r="F141">
        <v>35</v>
      </c>
      <c r="G141">
        <v>2</v>
      </c>
      <c r="H141" s="1">
        <v>3.3564814814814816E-3</v>
      </c>
      <c r="I141" t="s">
        <v>23</v>
      </c>
      <c r="J141" s="2" t="str">
        <f>HYPERLINK("https://www.nba.com/stats/events?CFID=&amp;CFPARAMS=&amp;GameEventID=263&amp;GameID=0022000576&amp;Season=2020-21&amp;flag=1&amp;title=Leonard%2025'%203PT%20%20(17%20PTS)%20(M.%20Morris%20Sr.%201%20AST)", "25' 3PT  (17 PTS) (M. Morris Sr. 1 AST)")</f>
        <v>25' 3PT  (17 PTS) (M. Morris Sr. 1 AST)</v>
      </c>
      <c r="K141" s="2" t="str">
        <f>HYPERLINK("https://www.nba.com/game/...-vs-...-0022000576/play-by-play?watchFullGame=true", "LAC vs GSW - Q2 04:50.00")</f>
        <v>LAC vs GSW - Q2 04:50.00</v>
      </c>
      <c r="L141">
        <v>25.05</v>
      </c>
      <c r="M141">
        <v>83</v>
      </c>
      <c r="N141">
        <v>4.7300000000000004</v>
      </c>
      <c r="O141">
        <v>-226</v>
      </c>
      <c r="P141">
        <v>107</v>
      </c>
    </row>
    <row r="142" spans="1:16" x14ac:dyDescent="0.25">
      <c r="A142">
        <v>21900485</v>
      </c>
      <c r="B142">
        <v>2019</v>
      </c>
      <c r="C142" t="s">
        <v>16</v>
      </c>
      <c r="D142" t="s">
        <v>22</v>
      </c>
      <c r="E142">
        <v>69</v>
      </c>
      <c r="F142">
        <v>72</v>
      </c>
      <c r="G142">
        <v>3</v>
      </c>
      <c r="H142" s="1">
        <v>6.2500000000000003E-3</v>
      </c>
      <c r="I142" t="s">
        <v>23</v>
      </c>
      <c r="J142" s="2" t="str">
        <f>HYPERLINK("https://www.nba.com/stats/events?CFID=&amp;CFPARAMS=&amp;GameEventID=356&amp;GameID=0021900485&amp;Season=2019-20&amp;flag=1&amp;title=Leonard%2022'%203PT%20%20(17%20PTS)%20(L.%20Williams%206%20AST)", "22' 3PT  (17 PTS) (L. Williams 6 AST)")</f>
        <v>22' 3PT  (17 PTS) (L. Williams 6 AST)</v>
      </c>
      <c r="K142" s="2" t="str">
        <f>HYPERLINK("https://www.nba.com/game/...-vs-...-0021900485/play-by-play?watchFullGame=true", "LAC vs UTA - Q3 09:00.00")</f>
        <v>LAC vs UTA - Q3 09:00.00</v>
      </c>
      <c r="L142">
        <v>22.46</v>
      </c>
      <c r="M142">
        <v>94.79</v>
      </c>
      <c r="N142">
        <v>5.08</v>
      </c>
      <c r="O142">
        <v>-225</v>
      </c>
      <c r="P142">
        <v>-4</v>
      </c>
    </row>
    <row r="143" spans="1:16" x14ac:dyDescent="0.25">
      <c r="A143">
        <v>41500153</v>
      </c>
      <c r="B143" t="s">
        <v>25</v>
      </c>
      <c r="C143" t="s">
        <v>16</v>
      </c>
      <c r="D143" t="s">
        <v>19</v>
      </c>
      <c r="E143">
        <v>39</v>
      </c>
      <c r="F143">
        <v>41</v>
      </c>
      <c r="G143">
        <v>2</v>
      </c>
      <c r="H143" s="1">
        <v>1.9560185185185184E-3</v>
      </c>
      <c r="I143" t="s">
        <v>18</v>
      </c>
      <c r="J143" s="2" t="str">
        <f>HYPERLINK("https://www.nba.com/stats/events?CFID=&amp;CFPARAMS=&amp;GameEventID=202&amp;GameID=0041500153&amp;Season=2015-16&amp;flag=1&amp;title=Leonard%20%203PT%20Jump%20Shot%20(13%20PTS)%20(Ginobili%202%20AST)", "Leonard  3PT Jump Shot (13 PTS) (Ginobili 2 AST)")</f>
        <v>Leonard  3PT Jump Shot (13 PTS) (Ginobili 2 AST)</v>
      </c>
      <c r="K143" s="2" t="str">
        <f>HYPERLINK("https://www.nba.com/game/...-vs-...-0041500153/play-by-play?watchFullGame=true", "SAS vs MEM - Q2 02:49.00")</f>
        <v>SAS vs MEM - Q2 02:49.00</v>
      </c>
      <c r="L143">
        <v>0</v>
      </c>
      <c r="M143">
        <v>-225</v>
      </c>
      <c r="N143">
        <v>3</v>
      </c>
      <c r="O143">
        <v>-225</v>
      </c>
      <c r="P143">
        <v>3</v>
      </c>
    </row>
    <row r="144" spans="1:16" x14ac:dyDescent="0.25">
      <c r="A144">
        <v>22000289</v>
      </c>
      <c r="B144">
        <v>2020</v>
      </c>
      <c r="C144" t="s">
        <v>16</v>
      </c>
      <c r="D144" t="s">
        <v>19</v>
      </c>
      <c r="E144">
        <v>3</v>
      </c>
      <c r="F144">
        <v>5</v>
      </c>
      <c r="G144">
        <v>1</v>
      </c>
      <c r="H144" s="1">
        <v>7.1296296296296299E-3</v>
      </c>
      <c r="I144" t="s">
        <v>23</v>
      </c>
      <c r="J144" s="2" t="str">
        <f>HYPERLINK("https://www.nba.com/stats/events?CFID=&amp;CFPARAMS=&amp;GameEventID=17&amp;GameID=0022000289&amp;Season=2020-21&amp;flag=1&amp;title=Leonard%203PT%20%20(3%20PTS)%20(N.%20Batum%201%20AST)", "3PT  (3 PTS) (N. Batum 1 AST)")</f>
        <v>3PT  (3 PTS) (N. Batum 1 AST)</v>
      </c>
      <c r="K144" s="2" t="str">
        <f>HYPERLINK("https://www.nba.com/game/...-vs-...-0022000289/play-by-play?watchFullGame=true", "LAC vs ORL - Q1 10:16.00")</f>
        <v>LAC vs ORL - Q1 10:16.00</v>
      </c>
      <c r="L144">
        <v>22.51</v>
      </c>
      <c r="M144">
        <v>94.04</v>
      </c>
      <c r="N144">
        <v>4.97</v>
      </c>
      <c r="O144">
        <v>-225</v>
      </c>
      <c r="P144">
        <v>4</v>
      </c>
    </row>
    <row r="145" spans="1:16" x14ac:dyDescent="0.25">
      <c r="A145">
        <v>22200745</v>
      </c>
      <c r="B145">
        <v>2022</v>
      </c>
      <c r="C145" t="s">
        <v>16</v>
      </c>
      <c r="D145" t="s">
        <v>19</v>
      </c>
      <c r="E145">
        <v>79</v>
      </c>
      <c r="F145">
        <v>84</v>
      </c>
      <c r="G145">
        <v>3</v>
      </c>
      <c r="H145" s="1">
        <v>1.4004629629629629E-3</v>
      </c>
      <c r="I145" t="s">
        <v>23</v>
      </c>
      <c r="J145" s="2" t="str">
        <f>HYPERLINK("https://www.nba.com/stats/events?CFID=&amp;CFPARAMS=&amp;GameEventID=404&amp;GameID=0022200745&amp;Season=2022-23&amp;flag=1&amp;title=Leonard%203PT%20%20(25%20PTS)%20(N.%20Powell%201%20AST)", "3PT  (25 PTS) (N. Powell 1 AST)")</f>
        <v>3PT  (25 PTS) (N. Powell 1 AST)</v>
      </c>
      <c r="K145" s="2" t="str">
        <f>HYPERLINK("https://www.nba.com/game/...-vs-...-0022200745/play-by-play?watchFullGame=true", "LAC vs ATL - Q3 02:01.00")</f>
        <v>LAC vs ATL - Q3 02:01.00</v>
      </c>
      <c r="L145">
        <v>22.66</v>
      </c>
      <c r="M145">
        <v>7.97</v>
      </c>
      <c r="N145">
        <v>95.1</v>
      </c>
      <c r="O145">
        <v>-225</v>
      </c>
      <c r="P145">
        <v>22</v>
      </c>
    </row>
    <row r="146" spans="1:16" x14ac:dyDescent="0.25">
      <c r="A146">
        <v>22400874</v>
      </c>
      <c r="B146">
        <v>2024</v>
      </c>
      <c r="C146" t="s">
        <v>16</v>
      </c>
      <c r="D146" t="s">
        <v>19</v>
      </c>
      <c r="E146">
        <v>15</v>
      </c>
      <c r="F146">
        <v>9</v>
      </c>
      <c r="G146">
        <v>1</v>
      </c>
      <c r="H146" s="1">
        <v>4.8148148148148152E-3</v>
      </c>
      <c r="I146" t="s">
        <v>23</v>
      </c>
      <c r="J146" s="2" t="str">
        <f>HYPERLINK("https://www.nba.com/stats/events?CFID=&amp;CFPARAMS=&amp;GameEventID=59&amp;GameID=0022400874&amp;Season=2024-25&amp;flag=1&amp;title=Leonard%203PT%20%20(3%20PTS)%20(Dunn%201%20AST)", "3PT  (3 PTS) (K. Dunn 1 AST)")</f>
        <v>3PT  (3 PTS) (K. Dunn 1 AST)</v>
      </c>
      <c r="K146" s="2" t="str">
        <f>HYPERLINK("https://www.nba.com/game/...-vs-...-0022400874/play-by-play?watchFullGame=true", "LAC vs LAL - Q1 06:56.00")</f>
        <v>LAC vs LAL - Q1 06:56.00</v>
      </c>
      <c r="L146">
        <v>23.45</v>
      </c>
      <c r="M146">
        <v>87.57</v>
      </c>
      <c r="N146">
        <v>4.9000000000000004</v>
      </c>
      <c r="O146">
        <v>-225</v>
      </c>
      <c r="P146">
        <v>64</v>
      </c>
    </row>
    <row r="147" spans="1:16" x14ac:dyDescent="0.25">
      <c r="A147">
        <v>22301079</v>
      </c>
      <c r="B147">
        <v>2023</v>
      </c>
      <c r="C147" t="s">
        <v>16</v>
      </c>
      <c r="D147" t="s">
        <v>19</v>
      </c>
      <c r="E147">
        <v>110</v>
      </c>
      <c r="F147">
        <v>120</v>
      </c>
      <c r="G147">
        <v>4</v>
      </c>
      <c r="H147" s="1">
        <v>1.8055555555555555E-3</v>
      </c>
      <c r="I147" t="s">
        <v>23</v>
      </c>
      <c r="J147" s="2" t="str">
        <f>HYPERLINK("https://www.nba.com/stats/events?CFID=&amp;CFPARAMS=&amp;GameEventID=554&amp;GameID=0022301079&amp;Season=2023-24&amp;flag=1&amp;title=Leonard%2025'%203PT%20%20(20%20PTS)%20(J.%20Harden%2010%20AST)", "25' 3PT  (20 PTS) (J. Harden 10 AST)")</f>
        <v>25' 3PT  (20 PTS) (J. Harden 10 AST)</v>
      </c>
      <c r="K147" s="2" t="str">
        <f>HYPERLINK("https://www.nba.com/game/...-vs-...-0022301079/play-by-play?watchFullGame=true", "LAC vs CHA - Q4 02:36.00")</f>
        <v>LAC vs CHA - Q4 02:36.00</v>
      </c>
      <c r="L147">
        <v>25.37</v>
      </c>
      <c r="M147">
        <v>17.95</v>
      </c>
      <c r="N147">
        <v>95.1</v>
      </c>
      <c r="O147">
        <v>-225</v>
      </c>
      <c r="P147">
        <v>116</v>
      </c>
    </row>
    <row r="148" spans="1:16" x14ac:dyDescent="0.25">
      <c r="A148">
        <v>21301084</v>
      </c>
      <c r="B148">
        <v>2013</v>
      </c>
      <c r="C148" t="s">
        <v>16</v>
      </c>
      <c r="D148" t="s">
        <v>19</v>
      </c>
      <c r="E148">
        <v>32</v>
      </c>
      <c r="F148">
        <v>43</v>
      </c>
      <c r="G148">
        <v>2</v>
      </c>
      <c r="H148" s="1">
        <v>4.43287037037037E-3</v>
      </c>
      <c r="I148" t="s">
        <v>18</v>
      </c>
      <c r="J148" s="2" t="str">
        <f>HYPERLINK("https://www.nba.com/stats/events?CFID=&amp;CFPARAMS=&amp;GameEventID=184&amp;GameID=0021301084&amp;Season=2013-14&amp;flag=1&amp;title=Leonard%20%203PT%20Jump%20Shot%20(7%20PTS)%20(Duncan%202%20AST)", "Leonard  3PT Jump Shot (7 PTS) (Duncan 2 AST)")</f>
        <v>Leonard  3PT Jump Shot (7 PTS) (Duncan 2 AST)</v>
      </c>
      <c r="K148" s="2" t="str">
        <f>HYPERLINK("https://www.nba.com/game/...-vs-...-0021301084/play-by-play?watchFullGame=true", "SAS vs DEN - Q2 06:23.00")</f>
        <v>SAS vs DEN - Q2 06:23.00</v>
      </c>
      <c r="L148">
        <v>0</v>
      </c>
      <c r="M148">
        <v>-224</v>
      </c>
      <c r="N148">
        <v>0</v>
      </c>
      <c r="O148">
        <v>-224</v>
      </c>
      <c r="P148">
        <v>0</v>
      </c>
    </row>
    <row r="149" spans="1:16" x14ac:dyDescent="0.25">
      <c r="A149">
        <v>22300024</v>
      </c>
      <c r="B149">
        <v>2023</v>
      </c>
      <c r="C149" t="s">
        <v>16</v>
      </c>
      <c r="D149" t="s">
        <v>19</v>
      </c>
      <c r="E149">
        <v>58</v>
      </c>
      <c r="F149">
        <v>49</v>
      </c>
      <c r="G149">
        <v>2</v>
      </c>
      <c r="H149" s="1">
        <v>6.7013888888888885E-4</v>
      </c>
      <c r="I149" t="s">
        <v>23</v>
      </c>
      <c r="J149" s="2" t="str">
        <f>HYPERLINK("https://www.nba.com/stats/events?CFID=&amp;CFPARAMS=&amp;GameEventID=295&amp;GameID=0022300024&amp;Season=2023-24&amp;flag=1&amp;title=Leonard%203PT%20%20(8%20PTS)%20(N.%20Powell%201%20AST)", "3PT  (8 PTS) (N. Powell 1 AST)")</f>
        <v>3PT  (8 PTS) (N. Powell 1 AST)</v>
      </c>
      <c r="K149" s="2" t="str">
        <f>HYPERLINK("https://www.nba.com/game/...-vs-...-0022300024/play-by-play?watchFullGame=true", "LAC vs DEN - Q2 00:57.90")</f>
        <v>LAC vs DEN - Q2 00:57.90</v>
      </c>
      <c r="L149">
        <v>22.43</v>
      </c>
      <c r="M149">
        <v>94.3</v>
      </c>
      <c r="N149">
        <v>5.15</v>
      </c>
      <c r="O149">
        <v>-224</v>
      </c>
      <c r="P149">
        <v>1</v>
      </c>
    </row>
    <row r="150" spans="1:16" x14ac:dyDescent="0.25">
      <c r="A150">
        <v>21301174</v>
      </c>
      <c r="B150">
        <v>2013</v>
      </c>
      <c r="C150" t="s">
        <v>16</v>
      </c>
      <c r="D150" t="s">
        <v>19</v>
      </c>
      <c r="E150">
        <v>98</v>
      </c>
      <c r="F150">
        <v>107</v>
      </c>
      <c r="G150">
        <v>4</v>
      </c>
      <c r="H150" s="1">
        <v>6.5856481481481484E-4</v>
      </c>
      <c r="I150" t="s">
        <v>18</v>
      </c>
      <c r="J150" s="2" t="str">
        <f>HYPERLINK("https://www.nba.com/stats/events?CFID=&amp;CFPARAMS=&amp;GameEventID=545&amp;GameID=0021301174&amp;Season=2013-14&amp;flag=1&amp;title=Leonard%20%203PT%20Jump%20Shot%20(16%20PTS)%20(Ginobili%207%20AST)", "Leonard  3PT Jump Shot (16 PTS) (Ginobili 7 AST)")</f>
        <v>Leonard  3PT Jump Shot (16 PTS) (Ginobili 7 AST)</v>
      </c>
      <c r="K150" s="2" t="str">
        <f>HYPERLINK("https://www.nba.com/game/...-vs-...-0021301174/play-by-play?watchFullGame=true", "SAS vs DAL - Q4 00:56.90")</f>
        <v>SAS vs DAL - Q4 00:56.90</v>
      </c>
      <c r="L150">
        <v>0</v>
      </c>
      <c r="M150">
        <v>-224</v>
      </c>
      <c r="N150">
        <v>3</v>
      </c>
      <c r="O150">
        <v>-224</v>
      </c>
      <c r="P150">
        <v>3</v>
      </c>
    </row>
    <row r="151" spans="1:16" x14ac:dyDescent="0.25">
      <c r="A151">
        <v>22300956</v>
      </c>
      <c r="B151">
        <v>2023</v>
      </c>
      <c r="C151" t="s">
        <v>16</v>
      </c>
      <c r="D151" t="s">
        <v>19</v>
      </c>
      <c r="E151">
        <v>70</v>
      </c>
      <c r="F151">
        <v>88</v>
      </c>
      <c r="G151">
        <v>3</v>
      </c>
      <c r="H151" s="1">
        <v>3.414351851851852E-3</v>
      </c>
      <c r="I151" t="s">
        <v>23</v>
      </c>
      <c r="J151" s="2" t="str">
        <f>HYPERLINK("https://www.nba.com/stats/events?CFID=&amp;CFPARAMS=&amp;GameEventID=356&amp;GameID=0022300956&amp;Season=2023-24&amp;flag=1&amp;title=Leonard%203PT%20%20(25%20PTS)%20(B.%20Hyland%207%20AST)", "3PT  (25 PTS) (B. Hyland 7 AST)")</f>
        <v>3PT  (25 PTS) (B. Hyland 7 AST)</v>
      </c>
      <c r="K151" s="2" t="str">
        <f>HYPERLINK("https://www.nba.com/game/...-vs-...-0022300956/play-by-play?watchFullGame=true", "LAC vs CHI - Q3 04:55.00")</f>
        <v>LAC vs CHI - Q3 04:55.00</v>
      </c>
      <c r="L151">
        <v>22.45</v>
      </c>
      <c r="M151">
        <v>93.51</v>
      </c>
      <c r="N151">
        <v>5.15</v>
      </c>
      <c r="O151">
        <v>-224</v>
      </c>
      <c r="P151">
        <v>8</v>
      </c>
    </row>
    <row r="152" spans="1:16" x14ac:dyDescent="0.25">
      <c r="A152">
        <v>41300316</v>
      </c>
      <c r="B152" t="s">
        <v>26</v>
      </c>
      <c r="C152" t="s">
        <v>16</v>
      </c>
      <c r="D152" t="s">
        <v>19</v>
      </c>
      <c r="E152">
        <v>25</v>
      </c>
      <c r="F152">
        <v>26</v>
      </c>
      <c r="G152">
        <v>2</v>
      </c>
      <c r="H152" s="1">
        <v>6.0879629629629626E-3</v>
      </c>
      <c r="I152" t="s">
        <v>18</v>
      </c>
      <c r="J152" s="2" t="str">
        <f>HYPERLINK("https://www.nba.com/stats/events?CFID=&amp;CFPARAMS=&amp;GameEventID=161&amp;GameID=0041300316&amp;Season=2013-14&amp;flag=1&amp;title=Leonard%20%203PT%20Jump%20Shot%20(9%20PTS)%20(Mills%201%20AST)", "Leonard  3PT Jump Shot (9 PTS) (Mills 1 AST)")</f>
        <v>Leonard  3PT Jump Shot (9 PTS) (Mills 1 AST)</v>
      </c>
      <c r="K152" s="2" t="str">
        <f>HYPERLINK("https://www.nba.com/game/...-vs-...-0041300316/play-by-play?watchFullGame=true", "SAS vs OKC - Q2 08:46.00")</f>
        <v>SAS vs OKC - Q2 08:46.00</v>
      </c>
      <c r="L152">
        <v>0</v>
      </c>
      <c r="M152">
        <v>-224</v>
      </c>
      <c r="N152">
        <v>19</v>
      </c>
      <c r="O152">
        <v>-224</v>
      </c>
      <c r="P152">
        <v>19</v>
      </c>
    </row>
    <row r="153" spans="1:16" x14ac:dyDescent="0.25">
      <c r="A153">
        <v>21300296</v>
      </c>
      <c r="B153">
        <v>2013</v>
      </c>
      <c r="C153" t="s">
        <v>16</v>
      </c>
      <c r="D153" t="s">
        <v>19</v>
      </c>
      <c r="E153">
        <v>9</v>
      </c>
      <c r="F153">
        <v>6</v>
      </c>
      <c r="G153">
        <v>1</v>
      </c>
      <c r="H153" s="1">
        <v>5.324074074074074E-3</v>
      </c>
      <c r="I153" t="s">
        <v>18</v>
      </c>
      <c r="J153" s="2" t="str">
        <f>HYPERLINK("https://www.nba.com/stats/events?CFID=&amp;CFPARAMS=&amp;GameEventID=31&amp;GameID=0021300296&amp;Season=2013-14&amp;flag=1&amp;title=Leonard%203PT%20Jump%20Shot%20(3%20PTS)", "Leonard 3PT Jump Shot (3 PTS)")</f>
        <v>Leonard 3PT Jump Shot (3 PTS)</v>
      </c>
      <c r="K153" s="2" t="str">
        <f>HYPERLINK("https://www.nba.com/game/...-vs-...-0021300296/play-by-play?watchFullGame=true", "SAS vs IND - Q1 07:40.00")</f>
        <v>SAS vs IND - Q1 07:40.00</v>
      </c>
      <c r="L153">
        <v>0</v>
      </c>
      <c r="M153">
        <v>-223</v>
      </c>
      <c r="N153">
        <v>-2</v>
      </c>
      <c r="O153">
        <v>-223</v>
      </c>
      <c r="P153">
        <v>-2</v>
      </c>
    </row>
    <row r="154" spans="1:16" x14ac:dyDescent="0.25">
      <c r="A154">
        <v>21401098</v>
      </c>
      <c r="B154">
        <v>2014</v>
      </c>
      <c r="C154" t="s">
        <v>16</v>
      </c>
      <c r="D154" t="s">
        <v>19</v>
      </c>
      <c r="E154">
        <v>85</v>
      </c>
      <c r="F154">
        <v>75</v>
      </c>
      <c r="G154">
        <v>4</v>
      </c>
      <c r="H154" s="1">
        <v>5.2893518518518515E-3</v>
      </c>
      <c r="I154" t="s">
        <v>18</v>
      </c>
      <c r="J154" s="2" t="str">
        <f>HYPERLINK("https://www.nba.com/stats/events?CFID=&amp;CFPARAMS=&amp;GameEventID=381&amp;GameID=0021401098&amp;Season=2014-15&amp;flag=1&amp;title=Leonard%203PT%20Jump%20Shot%20(25%20PTS)%20(Parker%205%20AST)", "Leonard 3PT Jump Shot (25 PTS) (Parker 5 AST)")</f>
        <v>Leonard 3PT Jump Shot (25 PTS) (Parker 5 AST)</v>
      </c>
      <c r="K154" s="2" t="str">
        <f>HYPERLINK("https://www.nba.com/game/...-vs-...-0021401098/play-by-play?watchFullGame=true", "SAS vs MEM - Q4 07:37.00")</f>
        <v>SAS vs MEM - Q4 07:37.00</v>
      </c>
      <c r="L154">
        <v>0</v>
      </c>
      <c r="M154">
        <v>-223</v>
      </c>
      <c r="N154">
        <v>7</v>
      </c>
      <c r="O154">
        <v>-223</v>
      </c>
      <c r="P154">
        <v>7</v>
      </c>
    </row>
    <row r="155" spans="1:16" x14ac:dyDescent="0.25">
      <c r="A155">
        <v>41200235</v>
      </c>
      <c r="B155" t="s">
        <v>27</v>
      </c>
      <c r="C155" t="s">
        <v>16</v>
      </c>
      <c r="D155" t="s">
        <v>19</v>
      </c>
      <c r="E155">
        <v>95</v>
      </c>
      <c r="F155">
        <v>84</v>
      </c>
      <c r="G155">
        <v>4</v>
      </c>
      <c r="H155" s="1">
        <v>4.0740740740740737E-3</v>
      </c>
      <c r="I155" t="s">
        <v>18</v>
      </c>
      <c r="J155" s="2" t="str">
        <f>HYPERLINK("https://www.nba.com/stats/events?CFID=&amp;CFPARAMS=&amp;GameEventID=436&amp;GameID=0041200235&amp;Season=2012-13&amp;flag=1&amp;title=Leonard%20%203PT%20Jump%20Shot%20(17%20PTS)%20(Parker%2010%20AST)", "Leonard  3PT Jump Shot (17 PTS) (Parker 10 AST)")</f>
        <v>Leonard  3PT Jump Shot (17 PTS) (Parker 10 AST)</v>
      </c>
      <c r="K155" s="2" t="str">
        <f>HYPERLINK("https://www.nba.com/game/...-vs-...-0041200235/play-by-play?watchFullGame=true", "SAS vs GSW - Q4 05:52.00")</f>
        <v>SAS vs GSW - Q4 05:52.00</v>
      </c>
      <c r="L155">
        <v>0</v>
      </c>
      <c r="M155">
        <v>-223</v>
      </c>
      <c r="N155">
        <v>23</v>
      </c>
      <c r="O155">
        <v>-223</v>
      </c>
      <c r="P155">
        <v>23</v>
      </c>
    </row>
    <row r="156" spans="1:16" x14ac:dyDescent="0.25">
      <c r="A156">
        <v>22200687</v>
      </c>
      <c r="B156">
        <v>2022</v>
      </c>
      <c r="C156" t="s">
        <v>16</v>
      </c>
      <c r="D156" t="s">
        <v>19</v>
      </c>
      <c r="E156">
        <v>83</v>
      </c>
      <c r="F156">
        <v>81</v>
      </c>
      <c r="G156">
        <v>3</v>
      </c>
      <c r="H156" s="1">
        <v>4.8032407407407407E-3</v>
      </c>
      <c r="I156" t="s">
        <v>23</v>
      </c>
      <c r="J156" s="2" t="str">
        <f>HYPERLINK("https://www.nba.com/stats/events?CFID=&amp;CFPARAMS=&amp;GameEventID=335&amp;GameID=0022200687&amp;Season=2022-23&amp;flag=1&amp;title=Leonard%203PT%20%20(20%20PTS)%20(P.%20George%208%20AST)", "3PT  (20 PTS) (P. George 8 AST)")</f>
        <v>3PT  (20 PTS) (P. George 8 AST)</v>
      </c>
      <c r="K156" s="2" t="str">
        <f>HYPERLINK("https://www.nba.com/game/...-vs-...-0022200687/play-by-play?watchFullGame=true", "LAC vs SAS - Q3 06:55.00")</f>
        <v>LAC vs SAS - Q3 06:55.00</v>
      </c>
      <c r="L156">
        <v>22.51</v>
      </c>
      <c r="M156">
        <v>8.89</v>
      </c>
      <c r="N156">
        <v>94.61</v>
      </c>
      <c r="O156">
        <v>-223</v>
      </c>
      <c r="P156">
        <v>31</v>
      </c>
    </row>
    <row r="157" spans="1:16" x14ac:dyDescent="0.25">
      <c r="A157">
        <v>21600213</v>
      </c>
      <c r="B157">
        <v>2016</v>
      </c>
      <c r="C157" t="s">
        <v>16</v>
      </c>
      <c r="D157" t="s">
        <v>19</v>
      </c>
      <c r="E157">
        <v>37</v>
      </c>
      <c r="F157">
        <v>36</v>
      </c>
      <c r="G157">
        <v>2</v>
      </c>
      <c r="H157" s="1">
        <v>6.875E-3</v>
      </c>
      <c r="I157" t="s">
        <v>18</v>
      </c>
      <c r="J157" s="2" t="str">
        <f>HYPERLINK("https://www.nba.com/stats/events?CFID=&amp;CFPARAMS=&amp;GameEventID=136&amp;GameID=0021600213&amp;Season=2016-17&amp;flag=1&amp;title=Leonard%2027'%203PT%20Jump%20Shot%20(8%20PTS)", "Leonard 27' 3PT Jump Shot (8 PTS)")</f>
        <v>Leonard 27' 3PT Jump Shot (8 PTS)</v>
      </c>
      <c r="K157" s="2" t="str">
        <f>HYPERLINK("https://www.nba.com/game/...-vs-...-0021600213/play-by-play?watchFullGame=true", "SAS vs CHA - Q2 09:54.00")</f>
        <v>SAS vs CHA - Q2 09:54.00</v>
      </c>
      <c r="L157">
        <v>27</v>
      </c>
      <c r="M157">
        <v>-223</v>
      </c>
      <c r="N157">
        <v>151</v>
      </c>
      <c r="O157">
        <v>-223</v>
      </c>
      <c r="P157">
        <v>151</v>
      </c>
    </row>
    <row r="158" spans="1:16" x14ac:dyDescent="0.25">
      <c r="A158">
        <v>21600605</v>
      </c>
      <c r="B158">
        <v>2016</v>
      </c>
      <c r="C158" t="s">
        <v>16</v>
      </c>
      <c r="D158" t="s">
        <v>19</v>
      </c>
      <c r="E158">
        <v>102</v>
      </c>
      <c r="F158">
        <v>103</v>
      </c>
      <c r="G158">
        <v>4</v>
      </c>
      <c r="H158" s="1">
        <v>1.2962962962962963E-3</v>
      </c>
      <c r="I158" t="s">
        <v>18</v>
      </c>
      <c r="J158" s="2" t="str">
        <f>HYPERLINK("https://www.nba.com/stats/events?CFID=&amp;CFPARAMS=&amp;GameEventID=516&amp;GameID=0021600605&amp;Season=2016-17&amp;flag=1&amp;title=Leonard%20%203PT%20Jump%20Shot%20(36%20PTS)%20(Parker%202%20AST)", "Leonard  3PT Jump Shot (36 PTS) (Parker 2 AST)")</f>
        <v>Leonard  3PT Jump Shot (36 PTS) (Parker 2 AST)</v>
      </c>
      <c r="K158" s="2" t="str">
        <f>HYPERLINK("https://www.nba.com/game/...-vs-...-0021600605/play-by-play?watchFullGame=true", "SAS vs PHX - Q4 01:52.00")</f>
        <v>SAS vs PHX - Q4 01:52.00</v>
      </c>
      <c r="L158">
        <v>0</v>
      </c>
      <c r="M158">
        <v>-222</v>
      </c>
      <c r="N158">
        <v>-10</v>
      </c>
      <c r="O158">
        <v>-222</v>
      </c>
      <c r="P158">
        <v>-10</v>
      </c>
    </row>
    <row r="159" spans="1:16" x14ac:dyDescent="0.25">
      <c r="A159">
        <v>21600525</v>
      </c>
      <c r="B159">
        <v>2016</v>
      </c>
      <c r="C159" t="s">
        <v>16</v>
      </c>
      <c r="D159" t="s">
        <v>19</v>
      </c>
      <c r="E159">
        <v>51</v>
      </c>
      <c r="F159">
        <v>32</v>
      </c>
      <c r="G159">
        <v>2</v>
      </c>
      <c r="H159" s="1">
        <v>2.1990740740740742E-3</v>
      </c>
      <c r="I159" t="s">
        <v>18</v>
      </c>
      <c r="J159" s="2" t="str">
        <f>HYPERLINK("https://www.nba.com/stats/events?CFID=&amp;CFPARAMS=&amp;GameEventID=211&amp;GameID=0021600525&amp;Season=2016-17&amp;flag=1&amp;title=Leonard%20%203PT%20Jump%20Shot%20(18%20PTS)%20(Parker%206%20AST)", "Leonard  3PT Jump Shot (18 PTS) (Parker 6 AST)")</f>
        <v>Leonard  3PT Jump Shot (18 PTS) (Parker 6 AST)</v>
      </c>
      <c r="K159" s="2" t="str">
        <f>HYPERLINK("https://www.nba.com/game/...-vs-...-0021600525/play-by-play?watchFullGame=true", "SAS vs TOR - Q2 03:10.00")</f>
        <v>SAS vs TOR - Q2 03:10.00</v>
      </c>
      <c r="L159">
        <v>0</v>
      </c>
      <c r="M159">
        <v>-222</v>
      </c>
      <c r="N159">
        <v>2</v>
      </c>
      <c r="O159">
        <v>-222</v>
      </c>
      <c r="P159">
        <v>2</v>
      </c>
    </row>
    <row r="160" spans="1:16" x14ac:dyDescent="0.25">
      <c r="A160">
        <v>41600231</v>
      </c>
      <c r="B160" t="s">
        <v>30</v>
      </c>
      <c r="C160" t="s">
        <v>16</v>
      </c>
      <c r="D160" t="s">
        <v>19</v>
      </c>
      <c r="E160">
        <v>45</v>
      </c>
      <c r="F160">
        <v>73</v>
      </c>
      <c r="G160">
        <v>3</v>
      </c>
      <c r="H160" s="1">
        <v>5.5902777777777773E-3</v>
      </c>
      <c r="I160" t="s">
        <v>18</v>
      </c>
      <c r="J160" s="2" t="str">
        <f>HYPERLINK("https://www.nba.com/stats/events?CFID=&amp;CFPARAMS=&amp;GameEventID=299&amp;GameID=0041600231&amp;Season=2016-17&amp;flag=1&amp;title=Leonard%203PT%20Jump%20Shot%20(15%20PTS)%20(Parker%202%20AST)", "Leonard 3PT Jump Shot (15 PTS) (Parker 2 AST)")</f>
        <v>Leonard 3PT Jump Shot (15 PTS) (Parker 2 AST)</v>
      </c>
      <c r="K160" s="2" t="str">
        <f>HYPERLINK("https://www.nba.com/game/...-vs-...-0041600231/play-by-play?watchFullGame=true", "SAS vs HOU - Q3 08:03.00")</f>
        <v>SAS vs HOU - Q3 08:03.00</v>
      </c>
      <c r="L160">
        <v>0</v>
      </c>
      <c r="M160">
        <v>-222</v>
      </c>
      <c r="N160">
        <v>7</v>
      </c>
      <c r="O160">
        <v>-222</v>
      </c>
      <c r="P160">
        <v>7</v>
      </c>
    </row>
    <row r="161" spans="1:16" x14ac:dyDescent="0.25">
      <c r="A161">
        <v>41800401</v>
      </c>
      <c r="B161" t="s">
        <v>20</v>
      </c>
      <c r="C161" t="s">
        <v>16</v>
      </c>
      <c r="D161" t="s">
        <v>19</v>
      </c>
      <c r="E161">
        <v>82</v>
      </c>
      <c r="F161">
        <v>74</v>
      </c>
      <c r="G161">
        <v>3</v>
      </c>
      <c r="H161" s="1">
        <v>1.9328703703703704E-3</v>
      </c>
      <c r="I161" t="s">
        <v>21</v>
      </c>
      <c r="J161" s="2" t="str">
        <f>HYPERLINK("https://www.nba.com/stats/events?CFID=&amp;CFPARAMS=&amp;GameEventID=460&amp;GameID=0041800401&amp;Season=2018-19&amp;flag=1&amp;title=Leonard%2026'%203PT%20Jump%20Shot%20(15%20PTS)%20(Ibaka%201%20AST)", "Leonard 26' 3PT Jump Shot (15 PTS) (Ibaka 1 AST)")</f>
        <v>Leonard 26' 3PT Jump Shot (15 PTS) (Ibaka 1 AST)</v>
      </c>
      <c r="K161" s="2" t="str">
        <f>HYPERLINK("https://www.nba.com/game/...-vs-...-0041800401/play-by-play?watchFullGame=true", "TOR vs GSW - Q3 02:47.00")</f>
        <v>TOR vs GSW - Q3 02:47.00</v>
      </c>
      <c r="L161">
        <v>26</v>
      </c>
      <c r="M161">
        <v>-222</v>
      </c>
      <c r="N161">
        <v>129</v>
      </c>
      <c r="O161">
        <v>-222</v>
      </c>
      <c r="P161">
        <v>129</v>
      </c>
    </row>
    <row r="162" spans="1:16" x14ac:dyDescent="0.25">
      <c r="A162">
        <v>41800115</v>
      </c>
      <c r="B162" t="s">
        <v>20</v>
      </c>
      <c r="C162" t="s">
        <v>16</v>
      </c>
      <c r="D162" t="s">
        <v>19</v>
      </c>
      <c r="E162">
        <v>76</v>
      </c>
      <c r="F162">
        <v>56</v>
      </c>
      <c r="G162">
        <v>3</v>
      </c>
      <c r="H162" s="1">
        <v>5.4861111111111109E-3</v>
      </c>
      <c r="I162" t="s">
        <v>21</v>
      </c>
      <c r="J162" s="2" t="str">
        <f>HYPERLINK("https://www.nba.com/stats/events?CFID=&amp;CFPARAMS=&amp;GameEventID=377&amp;GameID=0041800115&amp;Season=2018-19&amp;flag=1&amp;title=Leonard%203PT%20Jump%20Shot%20(23%20PTS)%20(Siakam%204%20AST)", "Leonard 3PT Jump Shot (23 PTS) (Siakam 4 AST)")</f>
        <v>Leonard 3PT Jump Shot (23 PTS) (Siakam 4 AST)</v>
      </c>
      <c r="K162" s="2" t="str">
        <f>HYPERLINK("https://www.nba.com/game/...-vs-...-0041800115/play-by-play?watchFullGame=true", "TOR vs ORL - Q3 07:54.00")</f>
        <v>TOR vs ORL - Q3 07:54.00</v>
      </c>
      <c r="L162">
        <v>0</v>
      </c>
      <c r="M162">
        <v>-221</v>
      </c>
      <c r="N162">
        <v>-26</v>
      </c>
      <c r="O162">
        <v>-221</v>
      </c>
      <c r="P162">
        <v>-26</v>
      </c>
    </row>
    <row r="163" spans="1:16" x14ac:dyDescent="0.25">
      <c r="A163">
        <v>21300559</v>
      </c>
      <c r="B163">
        <v>2013</v>
      </c>
      <c r="C163" t="s">
        <v>16</v>
      </c>
      <c r="D163" t="s">
        <v>19</v>
      </c>
      <c r="E163">
        <v>93</v>
      </c>
      <c r="F163">
        <v>97</v>
      </c>
      <c r="G163">
        <v>4</v>
      </c>
      <c r="H163" s="1">
        <v>1.4467592592592592E-3</v>
      </c>
      <c r="I163" t="s">
        <v>18</v>
      </c>
      <c r="J163" s="2" t="str">
        <f>HYPERLINK("https://www.nba.com/stats/events?CFID=&amp;CFPARAMS=&amp;GameEventID=491&amp;GameID=0021300559&amp;Season=2013-14&amp;flag=1&amp;title=Leonard%20%203PT%20Jump%20Shot%20(13%20PTS)%20(Ginobili%202%20AST)", "Leonard  3PT Jump Shot (13 PTS) (Ginobili 2 AST)")</f>
        <v>Leonard  3PT Jump Shot (13 PTS) (Ginobili 2 AST)</v>
      </c>
      <c r="K163" s="2" t="str">
        <f>HYPERLINK("https://www.nba.com/game/...-vs-...-0021300559/play-by-play?watchFullGame=true", "SAS vs NOP - Q4 02:05.00")</f>
        <v>SAS vs NOP - Q4 02:05.00</v>
      </c>
      <c r="L163">
        <v>0</v>
      </c>
      <c r="M163">
        <v>-221</v>
      </c>
      <c r="N163">
        <v>9</v>
      </c>
      <c r="O163">
        <v>-221</v>
      </c>
      <c r="P163">
        <v>9</v>
      </c>
    </row>
    <row r="164" spans="1:16" x14ac:dyDescent="0.25">
      <c r="A164">
        <v>22000675</v>
      </c>
      <c r="B164">
        <v>2020</v>
      </c>
      <c r="C164" t="s">
        <v>16</v>
      </c>
      <c r="D164" t="s">
        <v>19</v>
      </c>
      <c r="E164">
        <v>7</v>
      </c>
      <c r="F164">
        <v>19</v>
      </c>
      <c r="G164">
        <v>1</v>
      </c>
      <c r="H164" s="1">
        <v>5.0810185185185186E-3</v>
      </c>
      <c r="I164" t="s">
        <v>23</v>
      </c>
      <c r="J164" s="2" t="str">
        <f>HYPERLINK("https://www.nba.com/stats/events?CFID=&amp;CFPARAMS=&amp;GameEventID=51&amp;GameID=0022000675&amp;Season=2020-21&amp;flag=1&amp;title=Leonard%203PT%20%20(5%20PTS)%20(R.%20Jackson%203%20AST)", "3PT  (5 PTS) (R. Jackson 3 AST)")</f>
        <v>3PT  (5 PTS) (R. Jackson 3 AST)</v>
      </c>
      <c r="K164" s="2" t="str">
        <f>HYPERLINK("https://www.nba.com/game/...-vs-...-0022000675/play-by-play?watchFullGame=true", "LAC vs SAS - Q1 07:19.00")</f>
        <v>LAC vs SAS - Q1 07:19.00</v>
      </c>
      <c r="L164">
        <v>22.13</v>
      </c>
      <c r="M164">
        <v>7.05</v>
      </c>
      <c r="N164">
        <v>94.19</v>
      </c>
      <c r="O164">
        <v>-221</v>
      </c>
      <c r="P164">
        <v>14</v>
      </c>
    </row>
    <row r="165" spans="1:16" x14ac:dyDescent="0.25">
      <c r="A165">
        <v>22400671</v>
      </c>
      <c r="B165">
        <v>2024</v>
      </c>
      <c r="C165" t="s">
        <v>16</v>
      </c>
      <c r="D165" t="s">
        <v>19</v>
      </c>
      <c r="E165">
        <v>44</v>
      </c>
      <c r="F165">
        <v>49</v>
      </c>
      <c r="G165">
        <v>2</v>
      </c>
      <c r="H165" s="1">
        <v>4.178240740740741E-3</v>
      </c>
      <c r="I165" t="s">
        <v>23</v>
      </c>
      <c r="J165" s="2" t="str">
        <f>HYPERLINK("https://www.nba.com/stats/events?CFID=&amp;CFPARAMS=&amp;GameEventID=246&amp;GameID=0022400671&amp;Season=2024-25&amp;flag=1&amp;title=Leonard%2025'%203PT%20%20(10%20PTS)%20(N.%20Powell%201%20AST)", "25' 3PT  (10 PTS) (N. Powell 1 AST)")</f>
        <v>25' 3PT  (10 PTS) (N. Powell 1 AST)</v>
      </c>
      <c r="K165" s="2" t="str">
        <f>HYPERLINK("https://www.nba.com/game/...-vs-...-0022400671/play-by-play?watchFullGame=true", "LAC vs SAS - Q2 06:01.00")</f>
        <v>LAC vs SAS - Q2 06:01.00</v>
      </c>
      <c r="L165">
        <v>25.65</v>
      </c>
      <c r="M165">
        <v>80.5</v>
      </c>
      <c r="N165">
        <v>5.88</v>
      </c>
      <c r="O165">
        <v>-221</v>
      </c>
      <c r="P165">
        <v>131</v>
      </c>
    </row>
    <row r="166" spans="1:16" x14ac:dyDescent="0.25">
      <c r="A166">
        <v>21900516</v>
      </c>
      <c r="B166">
        <v>2019</v>
      </c>
      <c r="C166" t="s">
        <v>16</v>
      </c>
      <c r="D166" t="s">
        <v>22</v>
      </c>
      <c r="E166">
        <v>49</v>
      </c>
      <c r="F166">
        <v>50</v>
      </c>
      <c r="G166">
        <v>2</v>
      </c>
      <c r="H166" s="1">
        <v>4.6296296296296294E-3</v>
      </c>
      <c r="I166" t="s">
        <v>23</v>
      </c>
      <c r="J166" s="2" t="str">
        <f>HYPERLINK("https://www.nba.com/stats/events?CFID=&amp;CFPARAMS=&amp;GameEventID=254&amp;GameID=0021900516&amp;Season=2019-20&amp;flag=1&amp;title=Leonard%2022'%203PT%20%20(6%20PTS)%20(P.%20George%203%20AST)", "22' 3PT  (6 PTS) (P. George 3 AST)")</f>
        <v>22' 3PT  (6 PTS) (P. George 3 AST)</v>
      </c>
      <c r="K166" s="2" t="str">
        <f>HYPERLINK("https://www.nba.com/game/...-vs-...-0021900516/play-by-play?watchFullGame=true", "LAC vs DET - Q2 06:40.00")</f>
        <v>LAC vs DET - Q2 06:40.00</v>
      </c>
      <c r="L166">
        <v>21.89</v>
      </c>
      <c r="M166">
        <v>93.61</v>
      </c>
      <c r="N166">
        <v>6.3</v>
      </c>
      <c r="O166">
        <v>-218</v>
      </c>
      <c r="P166">
        <v>8</v>
      </c>
    </row>
    <row r="167" spans="1:16" x14ac:dyDescent="0.25">
      <c r="A167">
        <v>21900653</v>
      </c>
      <c r="B167">
        <v>2019</v>
      </c>
      <c r="C167" t="s">
        <v>16</v>
      </c>
      <c r="D167" t="s">
        <v>22</v>
      </c>
      <c r="E167">
        <v>100</v>
      </c>
      <c r="F167">
        <v>108</v>
      </c>
      <c r="G167">
        <v>4</v>
      </c>
      <c r="H167" s="1">
        <v>8.6805555555555551E-4</v>
      </c>
      <c r="I167" t="s">
        <v>23</v>
      </c>
      <c r="J167" s="2" t="str">
        <f>HYPERLINK("https://www.nba.com/stats/events?CFID=&amp;CFPARAMS=&amp;GameEventID=675&amp;GameID=0021900653&amp;Season=2019-20&amp;flag=1&amp;title=Leonard%2026'%203PT%20%20(34%20PTS)", "26' 3PT  (34 PTS)")</f>
        <v>26' 3PT  (34 PTS)</v>
      </c>
      <c r="K167" s="2" t="str">
        <f>HYPERLINK("https://www.nba.com/game/...-vs-...-0021900653/play-by-play?watchFullGame=true", "LAC vs DAL - Q4 01:15.00")</f>
        <v>LAC vs DAL - Q4 01:15.00</v>
      </c>
      <c r="L167">
        <v>25.5</v>
      </c>
      <c r="M167">
        <v>80.900000000000006</v>
      </c>
      <c r="N167">
        <v>6.44</v>
      </c>
      <c r="O167">
        <v>-218</v>
      </c>
      <c r="P167">
        <v>127</v>
      </c>
    </row>
    <row r="168" spans="1:16" x14ac:dyDescent="0.25">
      <c r="A168">
        <v>41600232</v>
      </c>
      <c r="B168" t="s">
        <v>30</v>
      </c>
      <c r="C168" t="s">
        <v>16</v>
      </c>
      <c r="D168" t="s">
        <v>29</v>
      </c>
      <c r="E168">
        <v>111</v>
      </c>
      <c r="F168">
        <v>88</v>
      </c>
      <c r="G168">
        <v>4</v>
      </c>
      <c r="H168" s="1">
        <v>3.414351851851852E-3</v>
      </c>
      <c r="I168" t="s">
        <v>18</v>
      </c>
      <c r="J168" s="2" t="str">
        <f>HYPERLINK("https://www.nba.com/stats/events?CFID=&amp;CFPARAMS=&amp;GameEventID=416&amp;GameID=0041600232&amp;Season=2016-17&amp;flag=1&amp;title=Leonard%2025'%203PT%20Pullup%20Jump%20Shot%20(34%20PTS)", "Leonard 25' 3PT Pullup Jump Shot (34 PTS)")</f>
        <v>Leonard 25' 3PT Pullup Jump Shot (34 PTS)</v>
      </c>
      <c r="K168" s="2" t="str">
        <f>HYPERLINK("https://www.nba.com/game/...-vs-...-0041600232/play-by-play?watchFullGame=true", "SAS vs HOU - Q4 04:55.00")</f>
        <v>SAS vs HOU - Q4 04:55.00</v>
      </c>
      <c r="L168">
        <v>25</v>
      </c>
      <c r="M168">
        <v>-217</v>
      </c>
      <c r="N168">
        <v>120</v>
      </c>
      <c r="O168">
        <v>-217</v>
      </c>
      <c r="P168">
        <v>120</v>
      </c>
    </row>
    <row r="169" spans="1:16" x14ac:dyDescent="0.25">
      <c r="A169">
        <v>21300888</v>
      </c>
      <c r="B169">
        <v>2013</v>
      </c>
      <c r="C169" t="s">
        <v>16</v>
      </c>
      <c r="D169" t="s">
        <v>19</v>
      </c>
      <c r="E169">
        <v>62</v>
      </c>
      <c r="F169">
        <v>55</v>
      </c>
      <c r="G169">
        <v>3</v>
      </c>
      <c r="H169" s="1">
        <v>5.347222222222222E-3</v>
      </c>
      <c r="I169" t="s">
        <v>18</v>
      </c>
      <c r="J169" s="2" t="str">
        <f>HYPERLINK("https://www.nba.com/stats/events?CFID=&amp;CFPARAMS=&amp;GameEventID=280&amp;GameID=0021300888&amp;Season=2013-14&amp;flag=1&amp;title=Leonard%2026'%203PT%20Jump%20Shot%20(13%20PTS)%20(Duncan%202%20AST)", "Leonard 26' 3PT Jump Shot (13 PTS) (Duncan 2 AST)")</f>
        <v>Leonard 26' 3PT Jump Shot (13 PTS) (Duncan 2 AST)</v>
      </c>
      <c r="K169" s="2" t="str">
        <f>HYPERLINK("https://www.nba.com/game/...-vs-...-0021300888/play-by-play?watchFullGame=true", "SAS vs DAL - Q3 07:42.00")</f>
        <v>SAS vs DAL - Q3 07:42.00</v>
      </c>
      <c r="L169">
        <v>26</v>
      </c>
      <c r="M169">
        <v>-217</v>
      </c>
      <c r="N169">
        <v>146</v>
      </c>
      <c r="O169">
        <v>-217</v>
      </c>
      <c r="P169">
        <v>146</v>
      </c>
    </row>
    <row r="170" spans="1:16" x14ac:dyDescent="0.25">
      <c r="A170">
        <v>22300553</v>
      </c>
      <c r="B170">
        <v>2023</v>
      </c>
      <c r="C170" t="s">
        <v>16</v>
      </c>
      <c r="D170" t="s">
        <v>19</v>
      </c>
      <c r="E170">
        <v>37</v>
      </c>
      <c r="F170">
        <v>38</v>
      </c>
      <c r="G170">
        <v>2</v>
      </c>
      <c r="H170" s="1">
        <v>3.5300925925925925E-3</v>
      </c>
      <c r="I170" t="s">
        <v>23</v>
      </c>
      <c r="J170" s="2" t="str">
        <f>HYPERLINK("https://www.nba.com/stats/events?CFID=&amp;CFPARAMS=&amp;GameEventID=216&amp;GameID=0022300553&amp;Season=2023-24&amp;flag=1&amp;title=Leonard%2024'%203PT%20%20(11%20PTS)%20(P.%20George%202%20AST)", "24' 3PT  (11 PTS) (P. George 2 AST)")</f>
        <v>24' 3PT  (11 PTS) (P. George 2 AST)</v>
      </c>
      <c r="K170" s="2" t="str">
        <f>HYPERLINK("https://www.nba.com/game/...-vs-...-0022300553/play-by-play?watchFullGame=true", "LAC vs MIN - Q2 05:05.00")</f>
        <v>LAC vs MIN - Q2 05:05.00</v>
      </c>
      <c r="L170">
        <v>24.54</v>
      </c>
      <c r="M170">
        <v>18.739999999999998</v>
      </c>
      <c r="N170">
        <v>92.4</v>
      </c>
      <c r="O170">
        <v>-212</v>
      </c>
      <c r="P170">
        <v>124</v>
      </c>
    </row>
    <row r="171" spans="1:16" x14ac:dyDescent="0.25">
      <c r="A171">
        <v>41500233</v>
      </c>
      <c r="B171" t="s">
        <v>25</v>
      </c>
      <c r="C171" t="s">
        <v>16</v>
      </c>
      <c r="D171" t="s">
        <v>19</v>
      </c>
      <c r="E171">
        <v>73</v>
      </c>
      <c r="F171">
        <v>77</v>
      </c>
      <c r="G171">
        <v>4</v>
      </c>
      <c r="H171" s="1">
        <v>6.9328703703703705E-3</v>
      </c>
      <c r="I171" t="s">
        <v>18</v>
      </c>
      <c r="J171" s="2" t="str">
        <f>HYPERLINK("https://www.nba.com/stats/events?CFID=&amp;CFPARAMS=&amp;GameEventID=412&amp;GameID=0041500233&amp;Season=2015-16&amp;flag=1&amp;title=Leonard%2025'%203PT%20Jump%20Shot%20(21%20PTS)%20(Mills%202%20AST)", "Leonard 25' 3PT Jump Shot (21 PTS) (Mills 2 AST)")</f>
        <v>Leonard 25' 3PT Jump Shot (21 PTS) (Mills 2 AST)</v>
      </c>
      <c r="K171" s="2" t="str">
        <f>HYPERLINK("https://www.nba.com/game/...-vs-...-0041500233/play-by-play?watchFullGame=true", "SAS vs OKC - Q4 09:59.00")</f>
        <v>SAS vs OKC - Q4 09:59.00</v>
      </c>
      <c r="L171">
        <v>25</v>
      </c>
      <c r="M171">
        <v>-212</v>
      </c>
      <c r="N171">
        <v>139</v>
      </c>
      <c r="O171">
        <v>-212</v>
      </c>
      <c r="P171">
        <v>139</v>
      </c>
    </row>
    <row r="172" spans="1:16" x14ac:dyDescent="0.25">
      <c r="A172">
        <v>22400486</v>
      </c>
      <c r="B172">
        <v>2024</v>
      </c>
      <c r="C172" t="s">
        <v>16</v>
      </c>
      <c r="D172" t="s">
        <v>19</v>
      </c>
      <c r="E172">
        <v>5</v>
      </c>
      <c r="F172">
        <v>5</v>
      </c>
      <c r="G172">
        <v>1</v>
      </c>
      <c r="H172" s="1">
        <v>6.9097222222222225E-3</v>
      </c>
      <c r="I172" t="s">
        <v>23</v>
      </c>
      <c r="J172" s="2" t="str">
        <f>HYPERLINK("https://www.nba.com/stats/events?CFID=&amp;CFPARAMS=&amp;GameEventID=24&amp;GameID=0022400486&amp;Season=2024-25&amp;flag=1&amp;title=Leonard%2027'%203PT%20%20(3%20PTS)%20(J.%20Harden%202%20AST)", "27' 3PT  (3 PTS) (J. Harden 2 AST)")</f>
        <v>27' 3PT  (3 PTS) (J. Harden 2 AST)</v>
      </c>
      <c r="K172" s="2" t="str">
        <f>HYPERLINK("https://www.nba.com/game/...-vs-...-0022400486/play-by-play?watchFullGame=true", "LAC vs ATL - Q1 09:57.00")</f>
        <v>LAC vs ATL - Q1 09:57.00</v>
      </c>
      <c r="L172">
        <v>27.74</v>
      </c>
      <c r="M172">
        <v>75.38</v>
      </c>
      <c r="N172">
        <v>7.6</v>
      </c>
      <c r="O172">
        <v>-212</v>
      </c>
      <c r="P172">
        <v>179</v>
      </c>
    </row>
    <row r="173" spans="1:16" x14ac:dyDescent="0.25">
      <c r="A173">
        <v>21300514</v>
      </c>
      <c r="B173">
        <v>2013</v>
      </c>
      <c r="C173" t="s">
        <v>16</v>
      </c>
      <c r="D173" t="s">
        <v>19</v>
      </c>
      <c r="E173">
        <v>57</v>
      </c>
      <c r="F173">
        <v>65</v>
      </c>
      <c r="G173">
        <v>3</v>
      </c>
      <c r="H173" s="1">
        <v>2.9513888888888888E-3</v>
      </c>
      <c r="I173" t="s">
        <v>18</v>
      </c>
      <c r="J173" s="2" t="str">
        <f>HYPERLINK("https://www.nba.com/stats/events?CFID=&amp;CFPARAMS=&amp;GameEventID=278&amp;GameID=0021300514&amp;Season=2013-14&amp;flag=1&amp;title=Leonard%2025'%203PT%20Jump%20Shot%20(13%20PTS)%20(Parker%205%20AST)", "Leonard 25' 3PT Jump Shot (13 PTS) (Parker 5 AST)")</f>
        <v>Leonard 25' 3PT Jump Shot (13 PTS) (Parker 5 AST)</v>
      </c>
      <c r="K173" s="2" t="str">
        <f>HYPERLINK("https://www.nba.com/game/...-vs-...-0021300514/play-by-play?watchFullGame=true", "SAS vs MEM - Q3 04:15.00")</f>
        <v>SAS vs MEM - Q3 04:15.00</v>
      </c>
      <c r="L173">
        <v>25</v>
      </c>
      <c r="M173">
        <v>-210</v>
      </c>
      <c r="N173">
        <v>131</v>
      </c>
      <c r="O173">
        <v>-210</v>
      </c>
      <c r="P173">
        <v>131</v>
      </c>
    </row>
    <row r="174" spans="1:16" x14ac:dyDescent="0.25">
      <c r="A174">
        <v>41200236</v>
      </c>
      <c r="B174" t="s">
        <v>27</v>
      </c>
      <c r="C174" t="s">
        <v>32</v>
      </c>
      <c r="D174" t="s">
        <v>29</v>
      </c>
      <c r="E174">
        <v>11</v>
      </c>
      <c r="F174">
        <v>14</v>
      </c>
      <c r="G174">
        <v>1</v>
      </c>
      <c r="H174" s="1">
        <v>3.449074074074074E-3</v>
      </c>
      <c r="I174" t="s">
        <v>18</v>
      </c>
      <c r="J174" s="2" t="str">
        <f>HYPERLINK("https://www.nba.com/stats/events?CFID=&amp;CFPARAMS=&amp;GameEventID=54&amp;GameID=0041200236&amp;Season=2012-13&amp;flag=1&amp;title=Leonard%2021'%20Pullup%20Jump%20Shot%20(2%20PTS)%20(Ginobili%202%20AST)", "Leonard 21' Pullup Jump Shot (2 PTS) (Ginobili 2 AST)")</f>
        <v>Leonard 21' Pullup Jump Shot (2 PTS) (Ginobili 2 AST)</v>
      </c>
      <c r="K174" s="2" t="str">
        <f>HYPERLINK("https://www.nba.com/game/...-vs-...-0041200236/play-by-play?watchFullGame=true", "SAS vs GSW - Q1 04:58.00")</f>
        <v>SAS vs GSW - Q1 04:58.00</v>
      </c>
      <c r="L174">
        <v>21</v>
      </c>
      <c r="M174">
        <v>-209</v>
      </c>
      <c r="N174">
        <v>6</v>
      </c>
      <c r="O174">
        <v>-209</v>
      </c>
      <c r="P174">
        <v>6</v>
      </c>
    </row>
    <row r="175" spans="1:16" x14ac:dyDescent="0.25">
      <c r="A175">
        <v>21500854</v>
      </c>
      <c r="B175">
        <v>2015</v>
      </c>
      <c r="C175" t="s">
        <v>16</v>
      </c>
      <c r="D175" t="s">
        <v>19</v>
      </c>
      <c r="E175">
        <v>76</v>
      </c>
      <c r="F175">
        <v>96</v>
      </c>
      <c r="G175">
        <v>4</v>
      </c>
      <c r="H175" s="1">
        <v>4.3750000000000004E-3</v>
      </c>
      <c r="I175" t="s">
        <v>18</v>
      </c>
      <c r="J175" s="2" t="str">
        <f>HYPERLINK("https://www.nba.com/stats/events?CFID=&amp;CFPARAMS=&amp;GameEventID=432&amp;GameID=0021500854&amp;Season=2015-16&amp;flag=1&amp;title=Leonard%2025'%203PT%20Jump%20Shot%20(17%20PTS)%20(Diaw%207%20AST)", "Leonard 25' 3PT Jump Shot (17 PTS) (Diaw 7 AST)")</f>
        <v>Leonard 25' 3PT Jump Shot (17 PTS) (Diaw 7 AST)</v>
      </c>
      <c r="K175" s="2" t="str">
        <f>HYPERLINK("https://www.nba.com/game/...-vs-...-0021500854/play-by-play?watchFullGame=true", "SAS vs SAC - Q4 06:18.00")</f>
        <v>SAS vs SAC - Q4 06:18.00</v>
      </c>
      <c r="L175">
        <v>25</v>
      </c>
      <c r="M175">
        <v>-207</v>
      </c>
      <c r="N175">
        <v>144</v>
      </c>
      <c r="O175">
        <v>-207</v>
      </c>
      <c r="P175">
        <v>144</v>
      </c>
    </row>
    <row r="176" spans="1:16" x14ac:dyDescent="0.25">
      <c r="A176">
        <v>21600114</v>
      </c>
      <c r="B176">
        <v>2016</v>
      </c>
      <c r="C176" t="s">
        <v>16</v>
      </c>
      <c r="D176" t="s">
        <v>19</v>
      </c>
      <c r="E176">
        <v>11</v>
      </c>
      <c r="F176">
        <v>10</v>
      </c>
      <c r="G176">
        <v>1</v>
      </c>
      <c r="H176" s="1">
        <v>5.6365740740740742E-3</v>
      </c>
      <c r="I176" t="s">
        <v>18</v>
      </c>
      <c r="J176" s="2" t="str">
        <f>HYPERLINK("https://www.nba.com/stats/events?CFID=&amp;CFPARAMS=&amp;GameEventID=37&amp;GameID=0021600114&amp;Season=2016-17&amp;flag=1&amp;title=Leonard%2025'%203PT%20Jump%20Shot%20(5%20PTS)%20(Mills%202%20AST)", "Leonard 25' 3PT Jump Shot (5 PTS) (Mills 2 AST)")</f>
        <v>Leonard 25' 3PT Jump Shot (5 PTS) (Mills 2 AST)</v>
      </c>
      <c r="K176" s="2" t="str">
        <f>HYPERLINK("https://www.nba.com/game/...-vs-...-0021600114/play-by-play?watchFullGame=true", "SAS vs HOU - Q1 08:07.00")</f>
        <v>SAS vs HOU - Q1 08:07.00</v>
      </c>
      <c r="L176">
        <v>25</v>
      </c>
      <c r="M176">
        <v>-204</v>
      </c>
      <c r="N176">
        <v>136</v>
      </c>
      <c r="O176">
        <v>-204</v>
      </c>
      <c r="P176">
        <v>136</v>
      </c>
    </row>
    <row r="177" spans="1:16" x14ac:dyDescent="0.25">
      <c r="A177">
        <v>21600639</v>
      </c>
      <c r="B177">
        <v>2016</v>
      </c>
      <c r="C177" t="s">
        <v>16</v>
      </c>
      <c r="D177" t="s">
        <v>19</v>
      </c>
      <c r="E177">
        <v>115</v>
      </c>
      <c r="F177">
        <v>103</v>
      </c>
      <c r="G177">
        <v>4</v>
      </c>
      <c r="H177" s="1">
        <v>1.5277777777777779E-3</v>
      </c>
      <c r="I177" t="s">
        <v>18</v>
      </c>
      <c r="J177" s="2" t="str">
        <f>HYPERLINK("https://www.nba.com/stats/events?CFID=&amp;CFPARAMS=&amp;GameEventID=514&amp;GameID=0021600639&amp;Season=2016-17&amp;flag=1&amp;title=Leonard%2026'%203PT%20Jump%20Shot%20(34%20PTS)%20(Aldridge%206%20AST)", "Leonard 26' 3PT Jump Shot (34 PTS) (Aldridge 6 AST)")</f>
        <v>Leonard 26' 3PT Jump Shot (34 PTS) (Aldridge 6 AST)</v>
      </c>
      <c r="K177" s="2" t="str">
        <f>HYPERLINK("https://www.nba.com/game/...-vs-...-0021600639/play-by-play?watchFullGame=true", "SAS vs DEN - Q4 02:12.00")</f>
        <v>SAS vs DEN - Q4 02:12.00</v>
      </c>
      <c r="L177">
        <v>26</v>
      </c>
      <c r="M177">
        <v>-204</v>
      </c>
      <c r="N177">
        <v>156</v>
      </c>
      <c r="O177">
        <v>-204</v>
      </c>
      <c r="P177">
        <v>156</v>
      </c>
    </row>
    <row r="178" spans="1:16" x14ac:dyDescent="0.25">
      <c r="A178">
        <v>22000324</v>
      </c>
      <c r="B178">
        <v>2020</v>
      </c>
      <c r="C178" t="s">
        <v>16</v>
      </c>
      <c r="D178" t="s">
        <v>19</v>
      </c>
      <c r="E178">
        <v>85</v>
      </c>
      <c r="F178">
        <v>86</v>
      </c>
      <c r="G178">
        <v>3</v>
      </c>
      <c r="H178" s="1">
        <v>7.9861111111111116E-4</v>
      </c>
      <c r="I178" t="s">
        <v>23</v>
      </c>
      <c r="J178" s="2" t="str">
        <f>HYPERLINK("https://www.nba.com/stats/events?CFID=&amp;CFPARAMS=&amp;GameEventID=424&amp;GameID=0022000324&amp;Season=2020-21&amp;flag=1&amp;title=Leonard%2025'%203PT%20%20(25%20PTS)%20(R.%20Jackson%202%20AST)", "25' 3PT  (25 PTS) (R. Jackson 2 AST)")</f>
        <v>25' 3PT  (25 PTS) (R. Jackson 2 AST)</v>
      </c>
      <c r="K178" s="2" t="str">
        <f>HYPERLINK("https://www.nba.com/game/...-vs-...-0022000324/play-by-play?watchFullGame=true", "LAC vs BKN - Q3 01:09.00")</f>
        <v>LAC vs BKN - Q3 01:09.00</v>
      </c>
      <c r="L178">
        <v>25.88</v>
      </c>
      <c r="M178">
        <v>77.349999999999994</v>
      </c>
      <c r="N178">
        <v>9.3800000000000008</v>
      </c>
      <c r="O178">
        <v>-203</v>
      </c>
      <c r="P178">
        <v>160</v>
      </c>
    </row>
    <row r="179" spans="1:16" x14ac:dyDescent="0.25">
      <c r="A179">
        <v>21600543</v>
      </c>
      <c r="B179">
        <v>2016</v>
      </c>
      <c r="C179" t="s">
        <v>16</v>
      </c>
      <c r="D179" t="s">
        <v>19</v>
      </c>
      <c r="E179">
        <v>17</v>
      </c>
      <c r="F179">
        <v>16</v>
      </c>
      <c r="G179">
        <v>1</v>
      </c>
      <c r="H179" s="1">
        <v>4.4675925925925924E-3</v>
      </c>
      <c r="I179" t="s">
        <v>18</v>
      </c>
      <c r="J179" s="2" t="str">
        <f>HYPERLINK("https://www.nba.com/stats/events?CFID=&amp;CFPARAMS=&amp;GameEventID=27&amp;GameID=0021600543&amp;Season=2016-17&amp;flag=1&amp;title=Leonard%2027'%203PT%20Jump%20Shot%20(3%20PTS)%20(Parker%204%20AST)", "Leonard 27' 3PT Jump Shot (3 PTS) (Parker 4 AST)")</f>
        <v>Leonard 27' 3PT Jump Shot (3 PTS) (Parker 4 AST)</v>
      </c>
      <c r="K179" s="2" t="str">
        <f>HYPERLINK("https://www.nba.com/game/...-vs-...-0021600543/play-by-play?watchFullGame=true", "SAS vs DEN - Q1 06:26.00")</f>
        <v>SAS vs DEN - Q1 06:26.00</v>
      </c>
      <c r="L179">
        <v>27</v>
      </c>
      <c r="M179">
        <v>-202</v>
      </c>
      <c r="N179">
        <v>183</v>
      </c>
      <c r="O179">
        <v>-202</v>
      </c>
      <c r="P179">
        <v>183</v>
      </c>
    </row>
    <row r="180" spans="1:16" x14ac:dyDescent="0.25">
      <c r="A180">
        <v>41200406</v>
      </c>
      <c r="B180" t="s">
        <v>27</v>
      </c>
      <c r="C180" t="s">
        <v>16</v>
      </c>
      <c r="D180" t="s">
        <v>19</v>
      </c>
      <c r="E180">
        <v>10</v>
      </c>
      <c r="F180">
        <v>12</v>
      </c>
      <c r="G180">
        <v>1</v>
      </c>
      <c r="H180" s="1">
        <v>6.1921296296296299E-3</v>
      </c>
      <c r="I180" t="s">
        <v>18</v>
      </c>
      <c r="J180" s="2" t="str">
        <f>HYPERLINK("https://www.nba.com/stats/events?CFID=&amp;CFPARAMS=&amp;GameEventID=22&amp;GameID=0041200406&amp;Season=2012-13&amp;flag=1&amp;title=Leonard%2024'%203PT%20Jump%20Shot%20(6%20PTS)%20(Parker%202%20AST)", "Leonard 24' 3PT Jump Shot (6 PTS) (Parker 2 AST)")</f>
        <v>Leonard 24' 3PT Jump Shot (6 PTS) (Parker 2 AST)</v>
      </c>
      <c r="K180" s="2" t="str">
        <f>HYPERLINK("https://www.nba.com/game/...-vs-...-0041200406/play-by-play?watchFullGame=true", "SAS vs MIA - Q1 08:55.00")</f>
        <v>SAS vs MIA - Q1 08:55.00</v>
      </c>
      <c r="L180">
        <v>24</v>
      </c>
      <c r="M180">
        <v>-201</v>
      </c>
      <c r="N180">
        <v>140</v>
      </c>
      <c r="O180">
        <v>-201</v>
      </c>
      <c r="P180">
        <v>140</v>
      </c>
    </row>
    <row r="181" spans="1:16" x14ac:dyDescent="0.25">
      <c r="A181">
        <v>41300147</v>
      </c>
      <c r="B181" t="s">
        <v>26</v>
      </c>
      <c r="C181" t="s">
        <v>16</v>
      </c>
      <c r="D181" t="s">
        <v>19</v>
      </c>
      <c r="E181">
        <v>80</v>
      </c>
      <c r="F181">
        <v>63</v>
      </c>
      <c r="G181">
        <v>3</v>
      </c>
      <c r="H181" s="1">
        <v>3.7962962962962963E-3</v>
      </c>
      <c r="I181" t="s">
        <v>18</v>
      </c>
      <c r="J181" s="2" t="str">
        <f>HYPERLINK("https://www.nba.com/stats/events?CFID=&amp;CFPARAMS=&amp;GameEventID=333&amp;GameID=0041300147&amp;Season=2013-14&amp;flag=1&amp;title=Leonard%2025'%203PT%20Jump%20Shot%20(13%20PTS)%20(Diaw%205%20AST)", "Leonard 25' 3PT Jump Shot (13 PTS) (Diaw 5 AST)")</f>
        <v>Leonard 25' 3PT Jump Shot (13 PTS) (Diaw 5 AST)</v>
      </c>
      <c r="K181" s="2" t="str">
        <f>HYPERLINK("https://www.nba.com/game/...-vs-...-0041300147/play-by-play?watchFullGame=true", "SAS vs DAL - Q3 05:28.00")</f>
        <v>SAS vs DAL - Q3 05:28.00</v>
      </c>
      <c r="L181">
        <v>25</v>
      </c>
      <c r="M181">
        <v>-201</v>
      </c>
      <c r="N181">
        <v>148</v>
      </c>
      <c r="O181">
        <v>-201</v>
      </c>
      <c r="P181">
        <v>148</v>
      </c>
    </row>
    <row r="182" spans="1:16" x14ac:dyDescent="0.25">
      <c r="A182">
        <v>21600874</v>
      </c>
      <c r="B182">
        <v>2016</v>
      </c>
      <c r="C182" t="s">
        <v>32</v>
      </c>
      <c r="D182" t="s">
        <v>19</v>
      </c>
      <c r="E182">
        <v>2</v>
      </c>
      <c r="F182">
        <v>4</v>
      </c>
      <c r="G182">
        <v>1</v>
      </c>
      <c r="H182" s="1">
        <v>6.875E-3</v>
      </c>
      <c r="I182" t="s">
        <v>18</v>
      </c>
      <c r="J182" s="2" t="str">
        <f>HYPERLINK("https://www.nba.com/stats/events?CFID=&amp;CFPARAMS=&amp;GameEventID=14&amp;GameID=0021600874&amp;Season=2016-17&amp;flag=1&amp;title=Leonard%2020'%20Jump%20Shot%20(2%20PTS)%20(Parker%202%20AST)", "Leonard 20' Jump Shot (2 PTS) (Parker 2 AST)")</f>
        <v>Leonard 20' Jump Shot (2 PTS) (Parker 2 AST)</v>
      </c>
      <c r="K182" s="2" t="str">
        <f>HYPERLINK("https://www.nba.com/game/...-vs-...-0021600874/play-by-play?watchFullGame=true", "SAS vs LAL - Q1 09:54.00")</f>
        <v>SAS vs LAL - Q1 09:54.00</v>
      </c>
      <c r="L182">
        <v>20</v>
      </c>
      <c r="M182">
        <v>-199</v>
      </c>
      <c r="N182">
        <v>11</v>
      </c>
      <c r="O182">
        <v>-199</v>
      </c>
      <c r="P182">
        <v>11</v>
      </c>
    </row>
    <row r="183" spans="1:16" x14ac:dyDescent="0.25">
      <c r="A183">
        <v>21400964</v>
      </c>
      <c r="B183">
        <v>2014</v>
      </c>
      <c r="C183" t="s">
        <v>16</v>
      </c>
      <c r="D183" t="s">
        <v>19</v>
      </c>
      <c r="E183">
        <v>80</v>
      </c>
      <c r="F183">
        <v>73</v>
      </c>
      <c r="G183">
        <v>3</v>
      </c>
      <c r="H183" s="1">
        <v>2.650462962962963E-3</v>
      </c>
      <c r="I183" t="s">
        <v>18</v>
      </c>
      <c r="J183" s="2" t="str">
        <f>HYPERLINK("https://www.nba.com/stats/events?CFID=&amp;CFPARAMS=&amp;GameEventID=329&amp;GameID=0021400964&amp;Season=2014-15&amp;flag=1&amp;title=Leonard%2024'%203PT%20Jump%20Shot%20(21%20PTS)%20(Parker%206%20AST)", "Leonard 24' 3PT Jump Shot (21 PTS) (Parker 6 AST)")</f>
        <v>Leonard 24' 3PT Jump Shot (21 PTS) (Parker 6 AST)</v>
      </c>
      <c r="K183" s="2" t="str">
        <f>HYPERLINK("https://www.nba.com/game/...-vs-...-0021400964/play-by-play?watchFullGame=true", "SAS vs CLE - Q3 03:49.00")</f>
        <v>SAS vs CLE - Q3 03:49.00</v>
      </c>
      <c r="L183">
        <v>24</v>
      </c>
      <c r="M183">
        <v>-199</v>
      </c>
      <c r="N183">
        <v>140</v>
      </c>
      <c r="O183">
        <v>-199</v>
      </c>
      <c r="P183">
        <v>140</v>
      </c>
    </row>
    <row r="184" spans="1:16" x14ac:dyDescent="0.25">
      <c r="A184">
        <v>21500928</v>
      </c>
      <c r="B184">
        <v>2015</v>
      </c>
      <c r="C184" t="s">
        <v>16</v>
      </c>
      <c r="D184" t="s">
        <v>19</v>
      </c>
      <c r="E184">
        <v>64</v>
      </c>
      <c r="F184">
        <v>54</v>
      </c>
      <c r="G184">
        <v>3</v>
      </c>
      <c r="H184" s="1">
        <v>6.851851851851852E-3</v>
      </c>
      <c r="I184" t="s">
        <v>18</v>
      </c>
      <c r="J184" s="2" t="str">
        <f>HYPERLINK("https://www.nba.com/stats/events?CFID=&amp;CFPARAMS=&amp;GameEventID=295&amp;GameID=0021500928&amp;Season=2015-16&amp;flag=1&amp;title=Leonard%2025'%203PT%20Jump%20Shot%20(17%20PTS)", "Leonard 25' 3PT Jump Shot (17 PTS)")</f>
        <v>Leonard 25' 3PT Jump Shot (17 PTS)</v>
      </c>
      <c r="K184" s="2" t="str">
        <f>HYPERLINK("https://www.nba.com/game/...-vs-...-0021500928/play-by-play?watchFullGame=true", "SAS vs SAC - Q3 09:52.00")</f>
        <v>SAS vs SAC - Q3 09:52.00</v>
      </c>
      <c r="L184">
        <v>25</v>
      </c>
      <c r="M184">
        <v>-199</v>
      </c>
      <c r="N184">
        <v>154</v>
      </c>
      <c r="O184">
        <v>-199</v>
      </c>
      <c r="P184">
        <v>154</v>
      </c>
    </row>
    <row r="185" spans="1:16" x14ac:dyDescent="0.25">
      <c r="A185">
        <v>22000488</v>
      </c>
      <c r="B185">
        <v>2020</v>
      </c>
      <c r="C185" t="s">
        <v>16</v>
      </c>
      <c r="D185" t="s">
        <v>19</v>
      </c>
      <c r="E185">
        <v>67</v>
      </c>
      <c r="F185">
        <v>47</v>
      </c>
      <c r="G185">
        <v>2</v>
      </c>
      <c r="H185" s="1">
        <v>1.6435185185185185E-3</v>
      </c>
      <c r="I185" t="s">
        <v>23</v>
      </c>
      <c r="J185" s="2" t="str">
        <f>HYPERLINK("https://www.nba.com/stats/events?CFID=&amp;CFPARAMS=&amp;GameEventID=306&amp;GameID=0022000488&amp;Season=2020-21&amp;flag=1&amp;title=Leonard%2025'%203PT%20%20(16%20PTS)%20(P.%20George%202%20AST)", "25' 3PT  (16 PTS) (P. George 2 AST)")</f>
        <v>25' 3PT  (16 PTS) (P. George 2 AST)</v>
      </c>
      <c r="K185" s="2" t="str">
        <f>HYPERLINK("https://www.nba.com/game/...-vs-...-0022000488/play-by-play?watchFullGame=true", "LAC vs WAS - Q2 02:22.00")</f>
        <v>LAC vs WAS - Q2 02:22.00</v>
      </c>
      <c r="L185">
        <v>25.29</v>
      </c>
      <c r="M185">
        <v>77.87</v>
      </c>
      <c r="N185">
        <v>10.119999999999999</v>
      </c>
      <c r="O185">
        <v>-199</v>
      </c>
      <c r="P185">
        <v>155</v>
      </c>
    </row>
    <row r="186" spans="1:16" x14ac:dyDescent="0.25">
      <c r="A186">
        <v>21900292</v>
      </c>
      <c r="B186">
        <v>2019</v>
      </c>
      <c r="C186" t="s">
        <v>16</v>
      </c>
      <c r="D186" t="s">
        <v>22</v>
      </c>
      <c r="E186">
        <v>138</v>
      </c>
      <c r="F186">
        <v>107</v>
      </c>
      <c r="G186">
        <v>4</v>
      </c>
      <c r="H186" s="1">
        <v>4.43287037037037E-3</v>
      </c>
      <c r="I186" t="s">
        <v>23</v>
      </c>
      <c r="J186" s="2" t="str">
        <f>HYPERLINK("https://www.nba.com/stats/events?CFID=&amp;CFPARAMS=&amp;GameEventID=650&amp;GameID=0021900292&amp;Season=2019-20&amp;flag=1&amp;title=Leonard%2026'%203PT%20%20(34%20PTS)", "26' 3PT  (34 PTS)")</f>
        <v>26' 3PT  (34 PTS)</v>
      </c>
      <c r="K186" s="2" t="str">
        <f>HYPERLINK("https://www.nba.com/game/...-vs-...-0021900292/play-by-play?watchFullGame=true", "LAC vs WAS - Q4 06:23.00")</f>
        <v>LAC vs WAS - Q4 06:23.00</v>
      </c>
      <c r="L186">
        <v>26.18</v>
      </c>
      <c r="M186">
        <v>23.05</v>
      </c>
      <c r="N186">
        <v>89.88</v>
      </c>
      <c r="O186">
        <v>-199</v>
      </c>
      <c r="P186">
        <v>164</v>
      </c>
    </row>
    <row r="187" spans="1:16" x14ac:dyDescent="0.25">
      <c r="A187">
        <v>21400624</v>
      </c>
      <c r="B187">
        <v>2014</v>
      </c>
      <c r="C187" t="s">
        <v>16</v>
      </c>
      <c r="D187" t="s">
        <v>19</v>
      </c>
      <c r="E187">
        <v>62</v>
      </c>
      <c r="F187">
        <v>64</v>
      </c>
      <c r="G187">
        <v>3</v>
      </c>
      <c r="H187" s="1">
        <v>4.4560185185185189E-3</v>
      </c>
      <c r="I187" t="s">
        <v>18</v>
      </c>
      <c r="J187" s="2" t="str">
        <f>HYPERLINK("https://www.nba.com/stats/events?CFID=&amp;CFPARAMS=&amp;GameEventID=317&amp;GameID=0021400624&amp;Season=2014-15&amp;flag=1&amp;title=Leonard%2025'%203PT%20Jump%20Shot%20(7%20PTS)%20(Ginobili%202%20AST)", "Leonard 25' 3PT Jump Shot (7 PTS) (Ginobili 2 AST)")</f>
        <v>Leonard 25' 3PT Jump Shot (7 PTS) (Ginobili 2 AST)</v>
      </c>
      <c r="K187" s="2" t="str">
        <f>HYPERLINK("https://www.nba.com/game/...-vs-...-0021400624/play-by-play?watchFullGame=true", "SAS vs DEN - Q3 06:25.00")</f>
        <v>SAS vs DEN - Q3 06:25.00</v>
      </c>
      <c r="L187">
        <v>25</v>
      </c>
      <c r="M187">
        <v>-198</v>
      </c>
      <c r="N187">
        <v>148</v>
      </c>
      <c r="O187">
        <v>-198</v>
      </c>
      <c r="P187">
        <v>148</v>
      </c>
    </row>
    <row r="188" spans="1:16" x14ac:dyDescent="0.25">
      <c r="A188">
        <v>21601209</v>
      </c>
      <c r="B188">
        <v>2016</v>
      </c>
      <c r="C188" t="s">
        <v>32</v>
      </c>
      <c r="D188" t="s">
        <v>19</v>
      </c>
      <c r="E188">
        <v>8</v>
      </c>
      <c r="F188">
        <v>6</v>
      </c>
      <c r="G188">
        <v>1</v>
      </c>
      <c r="H188" s="1">
        <v>6.6087962962962966E-3</v>
      </c>
      <c r="I188" t="s">
        <v>18</v>
      </c>
      <c r="J188" s="2" t="str">
        <f>HYPERLINK("https://www.nba.com/stats/events?CFID=&amp;CFPARAMS=&amp;GameEventID=10&amp;GameID=0021601209&amp;Season=2016-17&amp;flag=1&amp;title=Leonard%2020'%20Jump%20Shot%20(2%20PTS)", "Leonard 20' Jump Shot (2 PTS)")</f>
        <v>Leonard 20' Jump Shot (2 PTS)</v>
      </c>
      <c r="K188" s="2" t="str">
        <f>HYPERLINK("https://www.nba.com/game/...-vs-...-0021601209/play-by-play?watchFullGame=true", "SAS vs POR - Q1 09:31.00")</f>
        <v>SAS vs POR - Q1 09:31.00</v>
      </c>
      <c r="L188">
        <v>20</v>
      </c>
      <c r="M188">
        <v>-197</v>
      </c>
      <c r="N188">
        <v>11</v>
      </c>
      <c r="O188">
        <v>-197</v>
      </c>
      <c r="P188">
        <v>11</v>
      </c>
    </row>
    <row r="189" spans="1:16" x14ac:dyDescent="0.25">
      <c r="A189">
        <v>41800303</v>
      </c>
      <c r="B189" t="s">
        <v>20</v>
      </c>
      <c r="C189" t="s">
        <v>16</v>
      </c>
      <c r="D189" t="s">
        <v>17</v>
      </c>
      <c r="E189">
        <v>85</v>
      </c>
      <c r="F189">
        <v>77</v>
      </c>
      <c r="G189">
        <v>4</v>
      </c>
      <c r="H189" s="1">
        <v>6.3078703703703708E-3</v>
      </c>
      <c r="I189" t="s">
        <v>21</v>
      </c>
      <c r="J189" s="2" t="str">
        <f>HYPERLINK("https://www.nba.com/stats/events?CFID=&amp;CFPARAMS=&amp;GameEventID=562&amp;GameID=0041800303&amp;Season=2018-19&amp;flag=1&amp;title=Leonard%2027'%203PT%20Running%20Jump%20Shot%20(22%20PTS)%20(VanVleet%204%20AST)", "Leonard 27' 3PT Running Jump Shot (22 PTS) (VanVleet 4 AST)")</f>
        <v>Leonard 27' 3PT Running Jump Shot (22 PTS) (VanVleet 4 AST)</v>
      </c>
      <c r="K189" s="2" t="str">
        <f>HYPERLINK("https://www.nba.com/game/...-vs-...-0041800303/play-by-play?watchFullGame=true", "TOR vs MIL - Q4 09:05.00")</f>
        <v>TOR vs MIL - Q4 09:05.00</v>
      </c>
      <c r="L189">
        <v>27</v>
      </c>
      <c r="M189">
        <v>-197</v>
      </c>
      <c r="N189">
        <v>189</v>
      </c>
      <c r="O189">
        <v>-197</v>
      </c>
      <c r="P189">
        <v>189</v>
      </c>
    </row>
    <row r="190" spans="1:16" x14ac:dyDescent="0.25">
      <c r="A190">
        <v>22200735</v>
      </c>
      <c r="B190">
        <v>2022</v>
      </c>
      <c r="C190" t="s">
        <v>32</v>
      </c>
      <c r="D190" t="s">
        <v>19</v>
      </c>
      <c r="E190">
        <v>80</v>
      </c>
      <c r="F190">
        <v>57</v>
      </c>
      <c r="G190">
        <v>3</v>
      </c>
      <c r="H190" s="1">
        <v>7.789351851851852E-3</v>
      </c>
      <c r="I190" t="s">
        <v>23</v>
      </c>
      <c r="J190" s="2" t="str">
        <f>HYPERLINK("https://www.nba.com/stats/events?CFID=&amp;CFPARAMS=&amp;GameEventID=343&amp;GameID=0022200735&amp;Season=2022-23&amp;flag=1&amp;title=Leonard%2019'%20Jump%20Shot%20(20%20PTS)", "19' Jump Shot (20 PTS)")</f>
        <v>19' Jump Shot (20 PTS)</v>
      </c>
      <c r="K190" s="2" t="str">
        <f>HYPERLINK("https://www.nba.com/game/...-vs-...-0022200735/play-by-play?watchFullGame=true", "LAC vs SAS - Q3 11:13.00")</f>
        <v>LAC vs SAS - Q3 11:13.00</v>
      </c>
      <c r="L190">
        <v>19.91</v>
      </c>
      <c r="M190">
        <v>9.25</v>
      </c>
      <c r="N190">
        <v>89.22</v>
      </c>
      <c r="O190">
        <v>-196</v>
      </c>
      <c r="P190">
        <v>34</v>
      </c>
    </row>
    <row r="191" spans="1:16" x14ac:dyDescent="0.25">
      <c r="A191">
        <v>21600077</v>
      </c>
      <c r="B191">
        <v>2016</v>
      </c>
      <c r="C191" t="s">
        <v>32</v>
      </c>
      <c r="D191" t="s">
        <v>19</v>
      </c>
      <c r="E191">
        <v>50</v>
      </c>
      <c r="F191">
        <v>62</v>
      </c>
      <c r="G191">
        <v>3</v>
      </c>
      <c r="H191" s="1">
        <v>6.2615740740740739E-3</v>
      </c>
      <c r="I191" t="s">
        <v>18</v>
      </c>
      <c r="J191" s="2" t="str">
        <f>HYPERLINK("https://www.nba.com/stats/events?CFID=&amp;CFPARAMS=&amp;GameEventID=297&amp;GameID=0021600077&amp;Season=2016-17&amp;flag=1&amp;title=Leonard%2021'%20Jump%20Shot%20(19%20PTS)", "Leonard 21' Jump Shot (19 PTS)")</f>
        <v>Leonard 21' Jump Shot (19 PTS)</v>
      </c>
      <c r="K191" s="2" t="str">
        <f>HYPERLINK("https://www.nba.com/game/...-vs-...-0021600077/play-by-play?watchFullGame=true", "SAS vs UTA - Q3 09:01.00")</f>
        <v>SAS vs UTA - Q3 09:01.00</v>
      </c>
      <c r="L191">
        <v>21</v>
      </c>
      <c r="M191">
        <v>-196</v>
      </c>
      <c r="N191">
        <v>85</v>
      </c>
      <c r="O191">
        <v>-196</v>
      </c>
      <c r="P191">
        <v>85</v>
      </c>
    </row>
    <row r="192" spans="1:16" x14ac:dyDescent="0.25">
      <c r="A192">
        <v>41400164</v>
      </c>
      <c r="B192" t="s">
        <v>28</v>
      </c>
      <c r="C192" t="s">
        <v>16</v>
      </c>
      <c r="D192" t="s">
        <v>19</v>
      </c>
      <c r="E192">
        <v>98</v>
      </c>
      <c r="F192">
        <v>106</v>
      </c>
      <c r="G192">
        <v>4</v>
      </c>
      <c r="H192" s="1">
        <v>1.724537037037037E-3</v>
      </c>
      <c r="I192" t="s">
        <v>18</v>
      </c>
      <c r="J192" s="2" t="str">
        <f>HYPERLINK("https://www.nba.com/stats/events?CFID=&amp;CFPARAMS=&amp;GameEventID=521&amp;GameID=0041400164&amp;Season=2014-15&amp;flag=1&amp;title=Leonard%2025'%203PT%20Jump%20Shot%20(26%20PTS)%20(Mills%202%20AST)", "Leonard 25' 3PT Jump Shot (26 PTS) (Mills 2 AST)")</f>
        <v>Leonard 25' 3PT Jump Shot (26 PTS) (Mills 2 AST)</v>
      </c>
      <c r="K192" s="2" t="str">
        <f>HYPERLINK("https://www.nba.com/game/...-vs-...-0041400164/play-by-play?watchFullGame=true", "SAS vs LAC - Q4 02:29.00")</f>
        <v>SAS vs LAC - Q4 02:29.00</v>
      </c>
      <c r="L192">
        <v>25</v>
      </c>
      <c r="M192">
        <v>-196</v>
      </c>
      <c r="N192">
        <v>148</v>
      </c>
      <c r="O192">
        <v>-196</v>
      </c>
      <c r="P192">
        <v>148</v>
      </c>
    </row>
    <row r="193" spans="1:16" x14ac:dyDescent="0.25">
      <c r="A193">
        <v>41300311</v>
      </c>
      <c r="B193" t="s">
        <v>26</v>
      </c>
      <c r="C193" t="s">
        <v>16</v>
      </c>
      <c r="D193" t="s">
        <v>19</v>
      </c>
      <c r="E193">
        <v>25</v>
      </c>
      <c r="F193">
        <v>18</v>
      </c>
      <c r="G193">
        <v>1</v>
      </c>
      <c r="H193" s="1">
        <v>1.712962962962963E-3</v>
      </c>
      <c r="I193" t="s">
        <v>18</v>
      </c>
      <c r="J193" s="2" t="str">
        <f>HYPERLINK("https://www.nba.com/stats/events?CFID=&amp;CFPARAMS=&amp;GameEventID=85&amp;GameID=0041300311&amp;Season=2013-14&amp;flag=1&amp;title=Leonard%2025'%203PT%20Jump%20Shot%20(7%20PTS)%20(Diaw%202%20AST)", "Leonard 25' 3PT Jump Shot (7 PTS) (Diaw 2 AST)")</f>
        <v>Leonard 25' 3PT Jump Shot (7 PTS) (Diaw 2 AST)</v>
      </c>
      <c r="K193" s="2" t="str">
        <f>HYPERLINK("https://www.nba.com/game/...-vs-...-0041300311/play-by-play?watchFullGame=true", "SAS vs OKC - Q1 02:28.00")</f>
        <v>SAS vs OKC - Q1 02:28.00</v>
      </c>
      <c r="L193">
        <v>25</v>
      </c>
      <c r="M193">
        <v>-196</v>
      </c>
      <c r="N193">
        <v>156</v>
      </c>
      <c r="O193">
        <v>-196</v>
      </c>
      <c r="P193">
        <v>156</v>
      </c>
    </row>
    <row r="194" spans="1:16" x14ac:dyDescent="0.25">
      <c r="A194">
        <v>21300378</v>
      </c>
      <c r="B194">
        <v>2013</v>
      </c>
      <c r="C194" t="s">
        <v>16</v>
      </c>
      <c r="D194" t="s">
        <v>19</v>
      </c>
      <c r="E194">
        <v>51</v>
      </c>
      <c r="F194">
        <v>55</v>
      </c>
      <c r="G194">
        <v>2</v>
      </c>
      <c r="H194" s="1">
        <v>1.3773148148148147E-3</v>
      </c>
      <c r="I194" t="s">
        <v>18</v>
      </c>
      <c r="J194" s="2" t="str">
        <f>HYPERLINK("https://www.nba.com/stats/events?CFID=&amp;CFPARAMS=&amp;GameEventID=227&amp;GameID=0021300378&amp;Season=2013-14&amp;flag=1&amp;title=Leonard%2025'%203PT%20Jump%20Shot%20(10%20PTS)%20(Ginobili%205%20AST)", "Leonard 25' 3PT Jump Shot (10 PTS) (Ginobili 5 AST)")</f>
        <v>Leonard 25' 3PT Jump Shot (10 PTS) (Ginobili 5 AST)</v>
      </c>
      <c r="K194" s="2" t="str">
        <f>HYPERLINK("https://www.nba.com/game/...-vs-...-0021300378/play-by-play?watchFullGame=true", "SAS vs PHX - Q2 01:59.00")</f>
        <v>SAS vs PHX - Q2 01:59.00</v>
      </c>
      <c r="L194">
        <v>25</v>
      </c>
      <c r="M194">
        <v>-196</v>
      </c>
      <c r="N194">
        <v>163</v>
      </c>
      <c r="O194">
        <v>-196</v>
      </c>
      <c r="P194">
        <v>163</v>
      </c>
    </row>
    <row r="195" spans="1:16" x14ac:dyDescent="0.25">
      <c r="A195">
        <v>21501018</v>
      </c>
      <c r="B195">
        <v>2015</v>
      </c>
      <c r="C195" t="s">
        <v>16</v>
      </c>
      <c r="D195" t="s">
        <v>19</v>
      </c>
      <c r="E195">
        <v>78</v>
      </c>
      <c r="F195">
        <v>65</v>
      </c>
      <c r="G195">
        <v>3</v>
      </c>
      <c r="H195" s="1">
        <v>4.340277777777778E-3</v>
      </c>
      <c r="I195" t="s">
        <v>18</v>
      </c>
      <c r="J195" s="2" t="str">
        <f>HYPERLINK("https://www.nba.com/stats/events?CFID=&amp;CFPARAMS=&amp;GameEventID=346&amp;GameID=0021501018&amp;Season=2015-16&amp;flag=1&amp;title=Leonard%2026'%203PT%20Jump%20Shot%20(14%20PTS)%20(Parker%2015%20AST)", "Leonard 26' 3PT Jump Shot (14 PTS) (Parker 15 AST)")</f>
        <v>Leonard 26' 3PT Jump Shot (14 PTS) (Parker 15 AST)</v>
      </c>
      <c r="K195" s="2" t="str">
        <f>HYPERLINK("https://www.nba.com/game/...-vs-...-0021501018/play-by-play?watchFullGame=true", "SAS vs POR - Q3 06:15.00")</f>
        <v>SAS vs POR - Q3 06:15.00</v>
      </c>
      <c r="L195">
        <v>26</v>
      </c>
      <c r="M195">
        <v>-196</v>
      </c>
      <c r="N195">
        <v>169</v>
      </c>
      <c r="O195">
        <v>-196</v>
      </c>
      <c r="P195">
        <v>169</v>
      </c>
    </row>
    <row r="196" spans="1:16" x14ac:dyDescent="0.25">
      <c r="A196">
        <v>41600231</v>
      </c>
      <c r="B196" t="s">
        <v>30</v>
      </c>
      <c r="C196" t="s">
        <v>16</v>
      </c>
      <c r="D196" t="s">
        <v>19</v>
      </c>
      <c r="E196">
        <v>11</v>
      </c>
      <c r="F196">
        <v>18</v>
      </c>
      <c r="G196">
        <v>1</v>
      </c>
      <c r="H196" s="1">
        <v>3.8888888888888888E-3</v>
      </c>
      <c r="I196" t="s">
        <v>18</v>
      </c>
      <c r="J196" s="2" t="str">
        <f>HYPERLINK("https://www.nba.com/stats/events?CFID=&amp;CFPARAMS=&amp;GameEventID=56&amp;GameID=0041600231&amp;Season=2016-17&amp;flag=1&amp;title=Leonard%2026'%203PT%20Jump%20Shot%20(5%20PTS)%20(Gasol%201%20AST)", "Leonard 26' 3PT Jump Shot (5 PTS) (Gasol 1 AST)")</f>
        <v>Leonard 26' 3PT Jump Shot (5 PTS) (Gasol 1 AST)</v>
      </c>
      <c r="K196" s="2" t="str">
        <f>HYPERLINK("https://www.nba.com/game/...-vs-...-0041600231/play-by-play?watchFullGame=true", "SAS vs HOU - Q1 05:36.00")</f>
        <v>SAS vs HOU - Q1 05:36.00</v>
      </c>
      <c r="L196">
        <v>26</v>
      </c>
      <c r="M196">
        <v>-196</v>
      </c>
      <c r="N196">
        <v>170</v>
      </c>
      <c r="O196">
        <v>-196</v>
      </c>
      <c r="P196">
        <v>170</v>
      </c>
    </row>
    <row r="197" spans="1:16" x14ac:dyDescent="0.25">
      <c r="A197">
        <v>22300264</v>
      </c>
      <c r="B197">
        <v>2023</v>
      </c>
      <c r="C197" t="s">
        <v>32</v>
      </c>
      <c r="D197" t="s">
        <v>19</v>
      </c>
      <c r="E197">
        <v>50</v>
      </c>
      <c r="F197">
        <v>72</v>
      </c>
      <c r="G197">
        <v>2</v>
      </c>
      <c r="H197" s="1">
        <v>1.0416666666666666E-5</v>
      </c>
      <c r="I197" t="s">
        <v>23</v>
      </c>
      <c r="J197" s="2" t="str">
        <f>HYPERLINK("https://www.nba.com/stats/events?CFID=&amp;CFPARAMS=&amp;GameEventID=351&amp;GameID=0022300264&amp;Season=2023-24&amp;flag=1&amp;title=Leonard%2019'%20fadeaway%20Jump%20Shot%20(16%20PTS)", "19' fadeaway Jump Shot (16 PTS)")</f>
        <v>19' fadeaway Jump Shot (16 PTS)</v>
      </c>
      <c r="K197" s="2" t="str">
        <f>HYPERLINK("https://www.nba.com/game/...-vs-...-0022300264/play-by-play?watchFullGame=true", "LAC vs SAC - Q2 00:00.90")</f>
        <v>LAC vs SAC - Q2 00:00.90</v>
      </c>
      <c r="L197">
        <v>19.5</v>
      </c>
      <c r="M197">
        <v>5.08</v>
      </c>
      <c r="N197">
        <v>88.97</v>
      </c>
      <c r="O197">
        <v>-195</v>
      </c>
      <c r="P197">
        <v>-5</v>
      </c>
    </row>
    <row r="198" spans="1:16" x14ac:dyDescent="0.25">
      <c r="A198">
        <v>22400500</v>
      </c>
      <c r="B198">
        <v>2024</v>
      </c>
      <c r="C198" t="s">
        <v>16</v>
      </c>
      <c r="D198" t="s">
        <v>19</v>
      </c>
      <c r="E198">
        <v>10</v>
      </c>
      <c r="F198">
        <v>18</v>
      </c>
      <c r="G198">
        <v>1</v>
      </c>
      <c r="H198" s="1">
        <v>2.7662037037037039E-3</v>
      </c>
      <c r="I198" t="s">
        <v>23</v>
      </c>
      <c r="J198" s="2" t="str">
        <f>HYPERLINK("https://www.nba.com/stats/events?CFID=&amp;CFPARAMS=&amp;GameEventID=105&amp;GameID=0022400500&amp;Season=2024-25&amp;flag=1&amp;title=Leonard%203PT%20%20(8%20PTS)%20(J.%20Harden%201%20AST)", "3PT  (8 PTS) (J. Harden 1 AST)")</f>
        <v>3PT  (8 PTS) (J. Harden 1 AST)</v>
      </c>
      <c r="K198" s="2" t="str">
        <f>HYPERLINK("https://www.nba.com/game/...-vs-...-0022400500/play-by-play?watchFullGame=true", "LAC vs MIN - Q1 03:59.00")</f>
        <v>LAC vs MIN - Q1 03:59.00</v>
      </c>
      <c r="L198">
        <v>23.98</v>
      </c>
      <c r="M198">
        <v>20.45</v>
      </c>
      <c r="N198">
        <v>88.97</v>
      </c>
      <c r="O198">
        <v>-195</v>
      </c>
      <c r="P198">
        <v>140</v>
      </c>
    </row>
    <row r="199" spans="1:16" x14ac:dyDescent="0.25">
      <c r="A199">
        <v>21901241</v>
      </c>
      <c r="B199">
        <v>2019</v>
      </c>
      <c r="C199" t="s">
        <v>16</v>
      </c>
      <c r="D199" t="s">
        <v>22</v>
      </c>
      <c r="E199">
        <v>17</v>
      </c>
      <c r="F199">
        <v>6</v>
      </c>
      <c r="G199">
        <v>1</v>
      </c>
      <c r="H199" s="1">
        <v>5.9143518518518521E-3</v>
      </c>
      <c r="I199" t="s">
        <v>23</v>
      </c>
      <c r="J199" s="2" t="str">
        <f>HYPERLINK("https://www.nba.com/stats/events?CFID=&amp;CFPARAMS=&amp;GameEventID=38&amp;GameID=0021901241&amp;Season=2019-20&amp;flag=1&amp;title=Leonard%2025'%203PT%20%20(5%20PTS)", "25' 3PT  (5 PTS)")</f>
        <v>25' 3PT  (5 PTS)</v>
      </c>
      <c r="K199" s="2" t="str">
        <f>HYPERLINK("https://www.nba.com/game/...-vs-...-0021901241/play-by-play?watchFullGame=true", "LAC vs NOP - Q1 08:31.00")</f>
        <v>LAC vs NOP - Q1 08:31.00</v>
      </c>
      <c r="L199">
        <v>24.55</v>
      </c>
      <c r="M199">
        <v>20.84</v>
      </c>
      <c r="N199">
        <v>89.04</v>
      </c>
      <c r="O199">
        <v>-195</v>
      </c>
      <c r="P199">
        <v>143</v>
      </c>
    </row>
    <row r="200" spans="1:16" x14ac:dyDescent="0.25">
      <c r="A200">
        <v>41800112</v>
      </c>
      <c r="B200" t="s">
        <v>20</v>
      </c>
      <c r="C200" t="s">
        <v>16</v>
      </c>
      <c r="D200" t="s">
        <v>31</v>
      </c>
      <c r="E200">
        <v>88</v>
      </c>
      <c r="F200">
        <v>66</v>
      </c>
      <c r="G200">
        <v>3</v>
      </c>
      <c r="H200" s="1">
        <v>2.5810185185185186E-4</v>
      </c>
      <c r="I200" t="s">
        <v>21</v>
      </c>
      <c r="J200" s="2" t="str">
        <f>HYPERLINK("https://www.nba.com/stats/events?CFID=&amp;CFPARAMS=&amp;GameEventID=470&amp;GameID=0041800112&amp;Season=2018-19&amp;flag=1&amp;title=Leonard%2025'%203PT%20Step%20Back%20Jump%20Shot%20(34%20PTS)", "Leonard 25' 3PT Step Back Jump Shot (34 PTS)")</f>
        <v>Leonard 25' 3PT Step Back Jump Shot (34 PTS)</v>
      </c>
      <c r="K200" s="2" t="str">
        <f>HYPERLINK("https://www.nba.com/game/...-vs-...-0041800112/play-by-play?watchFullGame=true", "TOR vs ORL - Q3 00:22.30")</f>
        <v>TOR vs ORL - Q3 00:22.30</v>
      </c>
      <c r="L200">
        <v>25</v>
      </c>
      <c r="M200">
        <v>-195</v>
      </c>
      <c r="N200">
        <v>152</v>
      </c>
      <c r="O200">
        <v>-195</v>
      </c>
      <c r="P200">
        <v>152</v>
      </c>
    </row>
    <row r="201" spans="1:16" x14ac:dyDescent="0.25">
      <c r="A201">
        <v>22300944</v>
      </c>
      <c r="B201">
        <v>2023</v>
      </c>
      <c r="C201" t="s">
        <v>16</v>
      </c>
      <c r="D201" t="s">
        <v>19</v>
      </c>
      <c r="E201">
        <v>23</v>
      </c>
      <c r="F201">
        <v>10</v>
      </c>
      <c r="G201">
        <v>1</v>
      </c>
      <c r="H201" s="1">
        <v>3.0787037037037037E-3</v>
      </c>
      <c r="I201" t="s">
        <v>23</v>
      </c>
      <c r="J201" s="2" t="str">
        <f>HYPERLINK("https://www.nba.com/stats/events?CFID=&amp;CFPARAMS=&amp;GameEventID=88&amp;GameID=0022300944&amp;Season=2023-24&amp;flag=1&amp;title=Leonard%2024'%203PT%20pullup%20(5%20PTS)", "24' 3PT pullup (5 PTS)")</f>
        <v>24' 3PT pullup (5 PTS)</v>
      </c>
      <c r="K201" s="2" t="str">
        <f>HYPERLINK("https://www.nba.com/game/...-vs-...-0022300944/play-by-play?watchFullGame=true", "LAC vs MIN - Q1 04:26.00")</f>
        <v>LAC vs MIN - Q1 04:26.00</v>
      </c>
      <c r="L201">
        <v>24.85</v>
      </c>
      <c r="M201">
        <v>21.99</v>
      </c>
      <c r="N201">
        <v>88.97</v>
      </c>
      <c r="O201">
        <v>-195</v>
      </c>
      <c r="P201">
        <v>154</v>
      </c>
    </row>
    <row r="202" spans="1:16" x14ac:dyDescent="0.25">
      <c r="A202">
        <v>21900576</v>
      </c>
      <c r="B202">
        <v>2019</v>
      </c>
      <c r="C202" t="s">
        <v>16</v>
      </c>
      <c r="D202" t="s">
        <v>22</v>
      </c>
      <c r="E202">
        <v>16</v>
      </c>
      <c r="F202">
        <v>9</v>
      </c>
      <c r="G202">
        <v>1</v>
      </c>
      <c r="H202" s="1">
        <v>3.9351851851851848E-3</v>
      </c>
      <c r="I202" t="s">
        <v>23</v>
      </c>
      <c r="J202" s="2" t="str">
        <f>HYPERLINK("https://www.nba.com/stats/events?CFID=&amp;CFPARAMS=&amp;GameEventID=71&amp;GameID=0021900576&amp;Season=2019-20&amp;flag=1&amp;title=Leonard%2025'%203PT%20%20(5%20PTS)%20(P.%20Beverley%203%20AST)", "25' 3PT  (5 PTS) (P. Beverley 3 AST)")</f>
        <v>25' 3PT  (5 PTS) (P. Beverley 3 AST)</v>
      </c>
      <c r="K202" s="2" t="str">
        <f>HYPERLINK("https://www.nba.com/game/...-vs-...-0021900576/play-by-play?watchFullGame=true", "LAC vs GSW - Q1 05:40.00")</f>
        <v>LAC vs GSW - Q1 05:40.00</v>
      </c>
      <c r="L202">
        <v>24.91</v>
      </c>
      <c r="M202">
        <v>78.37</v>
      </c>
      <c r="N202">
        <v>11.21</v>
      </c>
      <c r="O202">
        <v>-194</v>
      </c>
      <c r="P202">
        <v>151</v>
      </c>
    </row>
    <row r="203" spans="1:16" x14ac:dyDescent="0.25">
      <c r="A203">
        <v>21900377</v>
      </c>
      <c r="B203">
        <v>2019</v>
      </c>
      <c r="C203" t="s">
        <v>16</v>
      </c>
      <c r="D203" t="s">
        <v>22</v>
      </c>
      <c r="E203">
        <v>95</v>
      </c>
      <c r="F203">
        <v>110</v>
      </c>
      <c r="G203">
        <v>4</v>
      </c>
      <c r="H203" s="1">
        <v>5.0462962962962961E-3</v>
      </c>
      <c r="I203" t="s">
        <v>23</v>
      </c>
      <c r="J203" s="2" t="str">
        <f>HYPERLINK("https://www.nba.com/stats/events?CFID=&amp;CFPARAMS=&amp;GameEventID=589&amp;GameID=0021900377&amp;Season=2019-20&amp;flag=1&amp;title=Leonard%2025'%203PT%20%20(40%20PTS)%20(P.%20Patterson%201%20AST)", "25' 3PT  (40 PTS) (P. Patterson 1 AST)")</f>
        <v>25' 3PT  (40 PTS) (P. Patterson 1 AST)</v>
      </c>
      <c r="K203" s="2" t="str">
        <f>HYPERLINK("https://www.nba.com/game/...-vs-...-0021900377/play-by-play?watchFullGame=true", "LAC vs MIN - Q4 07:16.00")</f>
        <v>LAC vs MIN - Q4 07:16.00</v>
      </c>
      <c r="L203">
        <v>25.23</v>
      </c>
      <c r="M203">
        <v>22.16</v>
      </c>
      <c r="N203">
        <v>88.79</v>
      </c>
      <c r="O203">
        <v>-194</v>
      </c>
      <c r="P203">
        <v>156</v>
      </c>
    </row>
    <row r="204" spans="1:16" x14ac:dyDescent="0.25">
      <c r="A204">
        <v>22300280</v>
      </c>
      <c r="B204">
        <v>2023</v>
      </c>
      <c r="C204" t="s">
        <v>16</v>
      </c>
      <c r="D204" t="s">
        <v>19</v>
      </c>
      <c r="E204">
        <v>20</v>
      </c>
      <c r="F204">
        <v>30</v>
      </c>
      <c r="G204">
        <v>1</v>
      </c>
      <c r="H204" s="1">
        <v>1.261574074074074E-3</v>
      </c>
      <c r="I204" t="s">
        <v>23</v>
      </c>
      <c r="J204" s="2" t="str">
        <f>HYPERLINK("https://www.nba.com/stats/events?CFID=&amp;CFPARAMS=&amp;GameEventID=119&amp;GameID=0022300280&amp;Season=2023-24&amp;flag=1&amp;title=Leonard%2025'%203PT%20%20(5%20PTS)%20(P.%20George%202%20AST)", "25' 3PT  (5 PTS) (P. George 2 AST)")</f>
        <v>25' 3PT  (5 PTS) (P. George 2 AST)</v>
      </c>
      <c r="K204" s="2" t="str">
        <f>HYPERLINK("https://www.nba.com/game/...-vs-...-0022300280/play-by-play?watchFullGame=true", "LAC vs GSW - Q1 01:49.00")</f>
        <v>LAC vs GSW - Q1 01:49.00</v>
      </c>
      <c r="L204">
        <v>25.95</v>
      </c>
      <c r="M204">
        <v>23.97</v>
      </c>
      <c r="N204">
        <v>88.73</v>
      </c>
      <c r="O204">
        <v>-194</v>
      </c>
      <c r="P204">
        <v>173</v>
      </c>
    </row>
    <row r="205" spans="1:16" x14ac:dyDescent="0.25">
      <c r="A205">
        <v>41300404</v>
      </c>
      <c r="B205" t="s">
        <v>26</v>
      </c>
      <c r="C205" t="s">
        <v>16</v>
      </c>
      <c r="D205" t="s">
        <v>19</v>
      </c>
      <c r="E205">
        <v>49</v>
      </c>
      <c r="F205">
        <v>73</v>
      </c>
      <c r="G205">
        <v>3</v>
      </c>
      <c r="H205" s="1">
        <v>2.650462962962963E-3</v>
      </c>
      <c r="I205" t="s">
        <v>18</v>
      </c>
      <c r="J205" s="2" t="str">
        <f>HYPERLINK("https://www.nba.com/stats/events?CFID=&amp;CFPARAMS=&amp;GameEventID=320&amp;GameID=0041300404&amp;Season=2013-14&amp;flag=1&amp;title=Leonard%2025'%203PT%20Jump%20Shot%20(13%20PTS)%20(Duncan%201%20AST)", "Leonard 25' 3PT Jump Shot (13 PTS) (Duncan 1 AST)")</f>
        <v>Leonard 25' 3PT Jump Shot (13 PTS) (Duncan 1 AST)</v>
      </c>
      <c r="K205" s="2" t="str">
        <f>HYPERLINK("https://www.nba.com/game/...-vs-...-0041300404/play-by-play?watchFullGame=true", "SAS vs MIA - Q3 03:49.00")</f>
        <v>SAS vs MIA - Q3 03:49.00</v>
      </c>
      <c r="L205">
        <v>25</v>
      </c>
      <c r="M205">
        <v>-193</v>
      </c>
      <c r="N205">
        <v>153</v>
      </c>
      <c r="O205">
        <v>-193</v>
      </c>
      <c r="P205">
        <v>153</v>
      </c>
    </row>
    <row r="206" spans="1:16" x14ac:dyDescent="0.25">
      <c r="A206">
        <v>22200918</v>
      </c>
      <c r="B206">
        <v>2022</v>
      </c>
      <c r="C206" t="s">
        <v>32</v>
      </c>
      <c r="D206" t="s">
        <v>19</v>
      </c>
      <c r="E206">
        <v>94</v>
      </c>
      <c r="F206">
        <v>88</v>
      </c>
      <c r="G206">
        <v>3</v>
      </c>
      <c r="H206" s="1">
        <v>6.7939814814814816E-4</v>
      </c>
      <c r="I206" t="s">
        <v>23</v>
      </c>
      <c r="J206" s="2" t="str">
        <f>HYPERLINK("https://www.nba.com/stats/events?CFID=&amp;CFPARAMS=&amp;GameEventID=461&amp;GameID=0022200918&amp;Season=2022-23&amp;flag=1&amp;title=Leonard%2019'%20Jump%20Shot%20(21%20PTS)", "19' Jump Shot (21 PTS)")</f>
        <v>19' Jump Shot (21 PTS)</v>
      </c>
      <c r="K206" s="2" t="str">
        <f>HYPERLINK("https://www.nba.com/game/...-vs-...-0022200918/play-by-play?watchFullGame=true", "LAC vs DEN - Q3 00:58.70")</f>
        <v>LAC vs DEN - Q3 00:58.70</v>
      </c>
      <c r="L206">
        <v>19.57</v>
      </c>
      <c r="M206">
        <v>9.41</v>
      </c>
      <c r="N206">
        <v>88.48</v>
      </c>
      <c r="O206">
        <v>-192</v>
      </c>
      <c r="P206">
        <v>36</v>
      </c>
    </row>
    <row r="207" spans="1:16" x14ac:dyDescent="0.25">
      <c r="A207">
        <v>22300897</v>
      </c>
      <c r="B207">
        <v>2023</v>
      </c>
      <c r="C207" t="s">
        <v>32</v>
      </c>
      <c r="D207" t="s">
        <v>19</v>
      </c>
      <c r="E207">
        <v>50</v>
      </c>
      <c r="F207">
        <v>35</v>
      </c>
      <c r="G207">
        <v>2</v>
      </c>
      <c r="H207" s="1">
        <v>2.5462962962962965E-3</v>
      </c>
      <c r="I207" t="s">
        <v>23</v>
      </c>
      <c r="J207" s="2" t="str">
        <f>HYPERLINK("https://www.nba.com/stats/events?CFID=&amp;CFPARAMS=&amp;GameEventID=257&amp;GameID=0022300897&amp;Season=2023-24&amp;flag=1&amp;title=Leonard%2018'%20step%20back%20Jump%20Shot%20(8%20PTS)", "18' step back Jump Shot (8 PTS)")</f>
        <v>18' step back Jump Shot (8 PTS)</v>
      </c>
      <c r="K207" s="2" t="str">
        <f>HYPERLINK("https://www.nba.com/game/...-vs-...-0022300897/play-by-play?watchFullGame=true", "LAC vs HOU - Q2 03:40.00")</f>
        <v>LAC vs HOU - Q2 03:40.00</v>
      </c>
      <c r="L207">
        <v>18.88</v>
      </c>
      <c r="M207">
        <v>93.77</v>
      </c>
      <c r="N207">
        <v>12.25</v>
      </c>
      <c r="O207">
        <v>-189</v>
      </c>
      <c r="P207">
        <v>6</v>
      </c>
    </row>
    <row r="208" spans="1:16" x14ac:dyDescent="0.25">
      <c r="A208">
        <v>21600801</v>
      </c>
      <c r="B208">
        <v>2016</v>
      </c>
      <c r="C208" t="s">
        <v>16</v>
      </c>
      <c r="D208" t="s">
        <v>19</v>
      </c>
      <c r="E208">
        <v>17</v>
      </c>
      <c r="F208">
        <v>25</v>
      </c>
      <c r="G208">
        <v>1</v>
      </c>
      <c r="H208" s="1">
        <v>4.3634259259259261E-4</v>
      </c>
      <c r="I208" t="s">
        <v>18</v>
      </c>
      <c r="J208" s="2" t="str">
        <f>HYPERLINK("https://www.nba.com/stats/events?CFID=&amp;CFPARAMS=&amp;GameEventID=101&amp;GameID=0021600801&amp;Season=2016-17&amp;flag=1&amp;title=Leonard%2026'%203PT%20Jump%20Shot%20(7%20PTS)%20(Mills%202%20AST)", "Leonard 26' 3PT Jump Shot (7 PTS) (Mills 2 AST)")</f>
        <v>Leonard 26' 3PT Jump Shot (7 PTS) (Mills 2 AST)</v>
      </c>
      <c r="K208" s="2" t="str">
        <f>HYPERLINK("https://www.nba.com/game/...-vs-...-0021600801/play-by-play?watchFullGame=true", "SAS vs DET - Q1 00:37.70")</f>
        <v>SAS vs DET - Q1 00:37.70</v>
      </c>
      <c r="L208">
        <v>26</v>
      </c>
      <c r="M208">
        <v>-189</v>
      </c>
      <c r="N208">
        <v>178</v>
      </c>
      <c r="O208">
        <v>-189</v>
      </c>
      <c r="P208">
        <v>178</v>
      </c>
    </row>
    <row r="209" spans="1:16" x14ac:dyDescent="0.25">
      <c r="A209">
        <v>41300402</v>
      </c>
      <c r="B209" t="s">
        <v>26</v>
      </c>
      <c r="C209" t="s">
        <v>16</v>
      </c>
      <c r="D209" t="s">
        <v>19</v>
      </c>
      <c r="E209">
        <v>60</v>
      </c>
      <c r="F209">
        <v>56</v>
      </c>
      <c r="G209">
        <v>3</v>
      </c>
      <c r="H209" s="1">
        <v>4.5370370370370373E-3</v>
      </c>
      <c r="I209" t="s">
        <v>18</v>
      </c>
      <c r="J209" s="2" t="str">
        <f>HYPERLINK("https://www.nba.com/stats/events?CFID=&amp;CFPARAMS=&amp;GameEventID=298&amp;GameID=0041300402&amp;Season=2013-14&amp;flag=1&amp;title=Leonard%2025'%203PT%20Jump%20Shot%20(9%20PTS)%20(Diaw%203%20AST)", "Leonard 25' 3PT Jump Shot (9 PTS) (Diaw 3 AST)")</f>
        <v>Leonard 25' 3PT Jump Shot (9 PTS) (Diaw 3 AST)</v>
      </c>
      <c r="K209" s="2" t="str">
        <f>HYPERLINK("https://www.nba.com/game/...-vs-...-0041300402/play-by-play?watchFullGame=true", "SAS vs MIA - Q3 06:32.00")</f>
        <v>SAS vs MIA - Q3 06:32.00</v>
      </c>
      <c r="L209">
        <v>25</v>
      </c>
      <c r="M209">
        <v>-188</v>
      </c>
      <c r="N209">
        <v>168</v>
      </c>
      <c r="O209">
        <v>-188</v>
      </c>
      <c r="P209">
        <v>168</v>
      </c>
    </row>
    <row r="210" spans="1:16" x14ac:dyDescent="0.25">
      <c r="A210">
        <v>22300343</v>
      </c>
      <c r="B210">
        <v>2023</v>
      </c>
      <c r="C210" t="s">
        <v>16</v>
      </c>
      <c r="D210" t="s">
        <v>19</v>
      </c>
      <c r="E210">
        <v>105</v>
      </c>
      <c r="F210">
        <v>85</v>
      </c>
      <c r="G210">
        <v>3</v>
      </c>
      <c r="H210" s="1">
        <v>2.7546296296296294E-3</v>
      </c>
      <c r="I210" t="s">
        <v>23</v>
      </c>
      <c r="J210" s="2" t="str">
        <f>HYPERLINK("https://www.nba.com/stats/events?CFID=&amp;CFPARAMS=&amp;GameEventID=458&amp;GameID=0022300343&amp;Season=2023-24&amp;flag=1&amp;title=Leonard%2025'%203PT%20%20(34%20PTS)%20(T.%20Mann%204%20AST)", "25' 3PT  (34 PTS) (T. Mann 4 AST)")</f>
        <v>25' 3PT  (34 PTS) (T. Mann 4 AST)</v>
      </c>
      <c r="K210" s="2" t="str">
        <f>HYPERLINK("https://www.nba.com/game/...-vs-...-0022300343/play-by-play?watchFullGame=true", "LAC vs NYK - Q3 03:58.00")</f>
        <v>LAC vs NYK - Q3 03:58.00</v>
      </c>
      <c r="L210">
        <v>25.41</v>
      </c>
      <c r="M210">
        <v>23.83</v>
      </c>
      <c r="N210">
        <v>87.5</v>
      </c>
      <c r="O210">
        <v>-188</v>
      </c>
      <c r="P210">
        <v>172</v>
      </c>
    </row>
    <row r="211" spans="1:16" x14ac:dyDescent="0.25">
      <c r="A211">
        <v>21300032</v>
      </c>
      <c r="B211">
        <v>2013</v>
      </c>
      <c r="C211" t="s">
        <v>32</v>
      </c>
      <c r="D211" t="s">
        <v>19</v>
      </c>
      <c r="E211">
        <v>13</v>
      </c>
      <c r="F211">
        <v>6</v>
      </c>
      <c r="G211">
        <v>1</v>
      </c>
      <c r="H211" s="1">
        <v>4.5949074074074078E-3</v>
      </c>
      <c r="I211" t="s">
        <v>18</v>
      </c>
      <c r="J211" s="2" t="str">
        <f>HYPERLINK("https://www.nba.com/stats/events?CFID=&amp;CFPARAMS=&amp;GameEventID=59&amp;GameID=0021300032&amp;Season=2013-14&amp;flag=1&amp;title=Leonard%2019'%20Jump%20Shot%20(2%20PTS)%20(Parker%201%20AST)", "Leonard 19' Jump Shot (2 PTS) (Parker 1 AST)")</f>
        <v>Leonard 19' Jump Shot (2 PTS) (Parker 1 AST)</v>
      </c>
      <c r="K211" s="2" t="str">
        <f>HYPERLINK("https://www.nba.com/game/...-vs-...-0021300032/play-by-play?watchFullGame=true", "SAS vs LAL - Q1 06:37.00")</f>
        <v>SAS vs LAL - Q1 06:37.00</v>
      </c>
      <c r="L211">
        <v>19</v>
      </c>
      <c r="M211">
        <v>-187</v>
      </c>
      <c r="N211">
        <v>14</v>
      </c>
      <c r="O211">
        <v>-187</v>
      </c>
      <c r="P211">
        <v>14</v>
      </c>
    </row>
    <row r="212" spans="1:16" x14ac:dyDescent="0.25">
      <c r="A212">
        <v>21400610</v>
      </c>
      <c r="B212">
        <v>2014</v>
      </c>
      <c r="C212" t="s">
        <v>16</v>
      </c>
      <c r="D212" t="s">
        <v>19</v>
      </c>
      <c r="E212">
        <v>35</v>
      </c>
      <c r="F212">
        <v>22</v>
      </c>
      <c r="G212">
        <v>2</v>
      </c>
      <c r="H212" s="1">
        <v>3.6689814814814814E-3</v>
      </c>
      <c r="I212" t="s">
        <v>18</v>
      </c>
      <c r="J212" s="2" t="str">
        <f>HYPERLINK("https://www.nba.com/stats/events?CFID=&amp;CFPARAMS=&amp;GameEventID=191&amp;GameID=0021400610&amp;Season=2014-15&amp;flag=1&amp;title=Leonard%2025'%203PT%20Jump%20Shot%20(8%20PTS)%20(Splitter%202%20AST)", "Leonard 25' 3PT Jump Shot (8 PTS) (Splitter 2 AST)")</f>
        <v>Leonard 25' 3PT Jump Shot (8 PTS) (Splitter 2 AST)</v>
      </c>
      <c r="K212" s="2" t="str">
        <f>HYPERLINK("https://www.nba.com/game/...-vs-...-0021400610/play-by-play?watchFullGame=true", "SAS vs UTA - Q2 05:17.00")</f>
        <v>SAS vs UTA - Q2 05:17.00</v>
      </c>
      <c r="L212">
        <v>25</v>
      </c>
      <c r="M212">
        <v>-187</v>
      </c>
      <c r="N212">
        <v>159</v>
      </c>
      <c r="O212">
        <v>-187</v>
      </c>
      <c r="P212">
        <v>159</v>
      </c>
    </row>
    <row r="213" spans="1:16" x14ac:dyDescent="0.25">
      <c r="A213">
        <v>21600558</v>
      </c>
      <c r="B213">
        <v>2016</v>
      </c>
      <c r="C213" t="s">
        <v>16</v>
      </c>
      <c r="D213" t="s">
        <v>19</v>
      </c>
      <c r="E213">
        <v>29</v>
      </c>
      <c r="F213">
        <v>30</v>
      </c>
      <c r="G213">
        <v>2</v>
      </c>
      <c r="H213" s="1">
        <v>6.7129629629629631E-3</v>
      </c>
      <c r="I213" t="s">
        <v>18</v>
      </c>
      <c r="J213" s="2" t="str">
        <f>HYPERLINK("https://www.nba.com/stats/events?CFID=&amp;CFPARAMS=&amp;GameEventID=135&amp;GameID=0021600558&amp;Season=2016-17&amp;flag=1&amp;title=Leonard%2025'%203PT%20Jump%20Shot%20(8%20PTS)%20(Gasol%203%20AST)", "Leonard 25' 3PT Jump Shot (8 PTS) (Gasol 3 AST)")</f>
        <v>Leonard 25' 3PT Jump Shot (8 PTS) (Gasol 3 AST)</v>
      </c>
      <c r="K213" s="2" t="str">
        <f>HYPERLINK("https://www.nba.com/game/...-vs-...-0021600558/play-by-play?watchFullGame=true", "SAS vs CHA - Q2 09:40.00")</f>
        <v>SAS vs CHA - Q2 09:40.00</v>
      </c>
      <c r="L213">
        <v>25</v>
      </c>
      <c r="M213">
        <v>-187</v>
      </c>
      <c r="N213">
        <v>170</v>
      </c>
      <c r="O213">
        <v>-187</v>
      </c>
      <c r="P213">
        <v>170</v>
      </c>
    </row>
    <row r="214" spans="1:16" x14ac:dyDescent="0.25">
      <c r="A214">
        <v>21600525</v>
      </c>
      <c r="B214">
        <v>2016</v>
      </c>
      <c r="C214" t="s">
        <v>16</v>
      </c>
      <c r="D214" t="s">
        <v>29</v>
      </c>
      <c r="E214">
        <v>24</v>
      </c>
      <c r="F214">
        <v>10</v>
      </c>
      <c r="G214">
        <v>1</v>
      </c>
      <c r="H214" s="1">
        <v>3.5300925925925925E-3</v>
      </c>
      <c r="I214" t="s">
        <v>18</v>
      </c>
      <c r="J214" s="2" t="str">
        <f>HYPERLINK("https://www.nba.com/stats/events?CFID=&amp;CFPARAMS=&amp;GameEventID=60&amp;GameID=0021600525&amp;Season=2016-17&amp;flag=1&amp;title=Leonard%2026'%203PT%20Pullup%20Jump%20Shot%20(10%20PTS)%20(Parker%203%20AST)", "Leonard 26' 3PT Pullup Jump Shot (10 PTS) (Parker 3 AST)")</f>
        <v>Leonard 26' 3PT Pullup Jump Shot (10 PTS) (Parker 3 AST)</v>
      </c>
      <c r="K214" s="2" t="str">
        <f>HYPERLINK("https://www.nba.com/game/...-vs-...-0021600525/play-by-play?watchFullGame=true", "SAS vs TOR - Q1 05:05.00")</f>
        <v>SAS vs TOR - Q1 05:05.00</v>
      </c>
      <c r="L214">
        <v>26</v>
      </c>
      <c r="M214">
        <v>-187</v>
      </c>
      <c r="N214">
        <v>180</v>
      </c>
      <c r="O214">
        <v>-187</v>
      </c>
      <c r="P214">
        <v>180</v>
      </c>
    </row>
    <row r="215" spans="1:16" x14ac:dyDescent="0.25">
      <c r="A215">
        <v>21501161</v>
      </c>
      <c r="B215">
        <v>2015</v>
      </c>
      <c r="C215" t="s">
        <v>32</v>
      </c>
      <c r="D215" t="s">
        <v>29</v>
      </c>
      <c r="E215">
        <v>25</v>
      </c>
      <c r="F215">
        <v>35</v>
      </c>
      <c r="G215">
        <v>2</v>
      </c>
      <c r="H215" s="1">
        <v>4.4212962962962964E-3</v>
      </c>
      <c r="I215" t="s">
        <v>18</v>
      </c>
      <c r="J215" s="2" t="str">
        <f>HYPERLINK("https://www.nba.com/stats/events?CFID=&amp;CFPARAMS=&amp;GameEventID=149&amp;GameID=0021501161&amp;Season=2015-16&amp;flag=1&amp;title=Leonard%2020'%20Pullup%20Jump%20Shot%20(8%20PTS)", "Leonard 20' Pullup Jump Shot (8 PTS)")</f>
        <v>Leonard 20' Pullup Jump Shot (8 PTS)</v>
      </c>
      <c r="K215" s="2" t="str">
        <f>HYPERLINK("https://www.nba.com/game/...-vs-...-0021501161/play-by-play?watchFullGame=true", "SAS vs UTA - Q2 06:22.00")</f>
        <v>SAS vs UTA - Q2 06:22.00</v>
      </c>
      <c r="L215">
        <v>20</v>
      </c>
      <c r="M215">
        <v>-186</v>
      </c>
      <c r="N215">
        <v>65</v>
      </c>
      <c r="O215">
        <v>-186</v>
      </c>
      <c r="P215">
        <v>65</v>
      </c>
    </row>
    <row r="216" spans="1:16" x14ac:dyDescent="0.25">
      <c r="A216">
        <v>22300473</v>
      </c>
      <c r="B216">
        <v>2023</v>
      </c>
      <c r="C216" t="s">
        <v>16</v>
      </c>
      <c r="D216" t="s">
        <v>19</v>
      </c>
      <c r="E216">
        <v>66</v>
      </c>
      <c r="F216">
        <v>86</v>
      </c>
      <c r="G216">
        <v>3</v>
      </c>
      <c r="H216" s="1">
        <v>4.9884259259259257E-3</v>
      </c>
      <c r="I216" t="s">
        <v>23</v>
      </c>
      <c r="J216" s="2" t="str">
        <f>HYPERLINK("https://www.nba.com/stats/events?CFID=&amp;CFPARAMS=&amp;GameEventID=383&amp;GameID=0022300473&amp;Season=2023-24&amp;flag=1&amp;title=Leonard%2026'%203PT%20%20(18%20PTS)%20(J.%20Harden%208%20AST)", "26' 3PT  (18 PTS) (J. Harden 8 AST)")</f>
        <v>26' 3PT  (18 PTS) (J. Harden 8 AST)</v>
      </c>
      <c r="K216" s="2" t="str">
        <f>HYPERLINK("https://www.nba.com/game/...-vs-...-0022300473/play-by-play?watchFullGame=true", "LAC vs PHX - Q3 07:11.00")</f>
        <v>LAC vs PHX - Q3 07:11.00</v>
      </c>
      <c r="L216">
        <v>26.11</v>
      </c>
      <c r="M216">
        <v>25.05</v>
      </c>
      <c r="N216">
        <v>87.25</v>
      </c>
      <c r="O216">
        <v>-186</v>
      </c>
      <c r="P216">
        <v>183</v>
      </c>
    </row>
    <row r="217" spans="1:16" x14ac:dyDescent="0.25">
      <c r="A217">
        <v>41300405</v>
      </c>
      <c r="B217" t="s">
        <v>26</v>
      </c>
      <c r="C217" t="s">
        <v>32</v>
      </c>
      <c r="D217" t="s">
        <v>19</v>
      </c>
      <c r="E217">
        <v>26</v>
      </c>
      <c r="F217">
        <v>29</v>
      </c>
      <c r="G217">
        <v>2</v>
      </c>
      <c r="H217" s="1">
        <v>7.743055555555556E-3</v>
      </c>
      <c r="I217" t="s">
        <v>18</v>
      </c>
      <c r="J217" s="2" t="str">
        <f>HYPERLINK("https://www.nba.com/stats/events?CFID=&amp;CFPARAMS=&amp;GameEventID=140&amp;GameID=0041300405&amp;Season=2013-14&amp;flag=1&amp;title=Leonard%2020'%20Jump%20Shot%20(12%20PTS)", "Leonard 20' Jump Shot (12 PTS)")</f>
        <v>Leonard 20' Jump Shot (12 PTS)</v>
      </c>
      <c r="K217" s="2" t="str">
        <f>HYPERLINK("https://www.nba.com/game/...-vs-...-0041300405/play-by-play?watchFullGame=true", "SAS vs MIA - Q2 11:09.00")</f>
        <v>SAS vs MIA - Q2 11:09.00</v>
      </c>
      <c r="L217">
        <v>20</v>
      </c>
      <c r="M217">
        <v>-185</v>
      </c>
      <c r="N217">
        <v>69</v>
      </c>
      <c r="O217">
        <v>-185</v>
      </c>
      <c r="P217">
        <v>69</v>
      </c>
    </row>
    <row r="218" spans="1:16" x14ac:dyDescent="0.25">
      <c r="A218">
        <v>21600077</v>
      </c>
      <c r="B218">
        <v>2016</v>
      </c>
      <c r="C218" t="s">
        <v>32</v>
      </c>
      <c r="D218" t="s">
        <v>33</v>
      </c>
      <c r="E218">
        <v>55</v>
      </c>
      <c r="F218">
        <v>71</v>
      </c>
      <c r="G218">
        <v>3</v>
      </c>
      <c r="H218" s="1">
        <v>4.2129629629629626E-3</v>
      </c>
      <c r="I218" t="s">
        <v>18</v>
      </c>
      <c r="J218" s="2" t="str">
        <f>HYPERLINK("https://www.nba.com/stats/events?CFID=&amp;CFPARAMS=&amp;GameEventID=313&amp;GameID=0021600077&amp;Season=2016-17&amp;flag=1&amp;title=Leonard%2019'%20Fadeaway%20Jumper%20(23%20PTS)", "Leonard 19' Fadeaway Jumper (23 PTS)")</f>
        <v>Leonard 19' Fadeaway Jumper (23 PTS)</v>
      </c>
      <c r="K218" s="2" t="str">
        <f>HYPERLINK("https://www.nba.com/game/...-vs-...-0021600077/play-by-play?watchFullGame=true", "SAS vs UTA - Q3 06:04.00")</f>
        <v>SAS vs UTA - Q3 06:04.00</v>
      </c>
      <c r="L218">
        <v>19</v>
      </c>
      <c r="M218">
        <v>-184</v>
      </c>
      <c r="N218">
        <v>-24</v>
      </c>
      <c r="O218">
        <v>-184</v>
      </c>
      <c r="P218">
        <v>-24</v>
      </c>
    </row>
    <row r="219" spans="1:16" x14ac:dyDescent="0.25">
      <c r="A219">
        <v>21600077</v>
      </c>
      <c r="B219">
        <v>2016</v>
      </c>
      <c r="C219" t="s">
        <v>16</v>
      </c>
      <c r="D219" t="s">
        <v>19</v>
      </c>
      <c r="E219">
        <v>23</v>
      </c>
      <c r="F219">
        <v>38</v>
      </c>
      <c r="G219">
        <v>2</v>
      </c>
      <c r="H219" s="1">
        <v>5.7175925925925927E-3</v>
      </c>
      <c r="I219" t="s">
        <v>18</v>
      </c>
      <c r="J219" s="2" t="str">
        <f>HYPERLINK("https://www.nba.com/stats/events?CFID=&amp;CFPARAMS=&amp;GameEventID=172&amp;GameID=0021600077&amp;Season=2016-17&amp;flag=1&amp;title=Leonard%2025'%203PT%20Jump%20Shot%20(12%20PTS)%20(Mills%202%20AST)", "Leonard 25' 3PT Jump Shot (12 PTS) (Mills 2 AST)")</f>
        <v>Leonard 25' 3PT Jump Shot (12 PTS) (Mills 2 AST)</v>
      </c>
      <c r="K219" s="2" t="str">
        <f>HYPERLINK("https://www.nba.com/game/...-vs-...-0021600077/play-by-play?watchFullGame=true", "SAS vs UTA - Q2 08:14.00")</f>
        <v>SAS vs UTA - Q2 08:14.00</v>
      </c>
      <c r="L219">
        <v>25</v>
      </c>
      <c r="M219">
        <v>-184</v>
      </c>
      <c r="N219">
        <v>164</v>
      </c>
      <c r="O219">
        <v>-184</v>
      </c>
      <c r="P219">
        <v>164</v>
      </c>
    </row>
    <row r="220" spans="1:16" x14ac:dyDescent="0.25">
      <c r="A220">
        <v>41600156</v>
      </c>
      <c r="B220" t="s">
        <v>30</v>
      </c>
      <c r="C220" t="s">
        <v>32</v>
      </c>
      <c r="D220" t="s">
        <v>29</v>
      </c>
      <c r="E220">
        <v>32</v>
      </c>
      <c r="F220">
        <v>32</v>
      </c>
      <c r="G220">
        <v>2</v>
      </c>
      <c r="H220" s="1">
        <v>4.4791666666666669E-3</v>
      </c>
      <c r="I220" t="s">
        <v>18</v>
      </c>
      <c r="J220" s="2" t="str">
        <f>HYPERLINK("https://www.nba.com/stats/events?CFID=&amp;CFPARAMS=&amp;GameEventID=148&amp;GameID=0041600156&amp;Season=2016-17&amp;flag=1&amp;title=Leonard%2020'%20Pullup%20Jump%20Shot%20(8%20PTS)", "Leonard 20' Pullup Jump Shot (8 PTS)")</f>
        <v>Leonard 20' Pullup Jump Shot (8 PTS)</v>
      </c>
      <c r="K220" s="2" t="str">
        <f>HYPERLINK("https://www.nba.com/game/...-vs-...-0041600156/play-by-play?watchFullGame=true", "SAS vs MEM - Q2 06:27.00")</f>
        <v>SAS vs MEM - Q2 06:27.00</v>
      </c>
      <c r="L220">
        <v>20</v>
      </c>
      <c r="M220">
        <v>-183</v>
      </c>
      <c r="N220">
        <v>90</v>
      </c>
      <c r="O220">
        <v>-183</v>
      </c>
      <c r="P220">
        <v>90</v>
      </c>
    </row>
    <row r="221" spans="1:16" x14ac:dyDescent="0.25">
      <c r="A221">
        <v>21400757</v>
      </c>
      <c r="B221">
        <v>2014</v>
      </c>
      <c r="C221" t="s">
        <v>16</v>
      </c>
      <c r="D221" t="s">
        <v>19</v>
      </c>
      <c r="E221">
        <v>24</v>
      </c>
      <c r="F221">
        <v>17</v>
      </c>
      <c r="G221">
        <v>1</v>
      </c>
      <c r="H221" s="1">
        <v>1.6435185185185185E-3</v>
      </c>
      <c r="I221" t="s">
        <v>18</v>
      </c>
      <c r="J221" s="2" t="str">
        <f>HYPERLINK("https://www.nba.com/stats/events?CFID=&amp;CFPARAMS=&amp;GameEventID=83&amp;GameID=0021400757&amp;Season=2014-15&amp;flag=1&amp;title=Leonard%2025'%203PT%20Jump%20Shot%20(8%20PTS)%20(Ginobili%201%20AST)", "Leonard 25' 3PT Jump Shot (8 PTS) (Ginobili 1 AST)")</f>
        <v>Leonard 25' 3PT Jump Shot (8 PTS) (Ginobili 1 AST)</v>
      </c>
      <c r="K221" s="2" t="str">
        <f>HYPERLINK("https://www.nba.com/game/...-vs-...-0021400757/play-by-play?watchFullGame=true", "SAS vs MIA - Q1 02:22.00")</f>
        <v>SAS vs MIA - Q1 02:22.00</v>
      </c>
      <c r="L221">
        <v>25</v>
      </c>
      <c r="M221">
        <v>-183</v>
      </c>
      <c r="N221">
        <v>165</v>
      </c>
      <c r="O221">
        <v>-183</v>
      </c>
      <c r="P221">
        <v>165</v>
      </c>
    </row>
    <row r="222" spans="1:16" x14ac:dyDescent="0.25">
      <c r="A222">
        <v>21500960</v>
      </c>
      <c r="B222">
        <v>2015</v>
      </c>
      <c r="C222" t="s">
        <v>16</v>
      </c>
      <c r="D222" t="s">
        <v>29</v>
      </c>
      <c r="E222">
        <v>39</v>
      </c>
      <c r="F222">
        <v>33</v>
      </c>
      <c r="G222">
        <v>2</v>
      </c>
      <c r="H222" s="1">
        <v>5.7291666666666663E-3</v>
      </c>
      <c r="I222" t="s">
        <v>18</v>
      </c>
      <c r="J222" s="2" t="str">
        <f>HYPERLINK("https://www.nba.com/stats/events?CFID=&amp;CFPARAMS=&amp;GameEventID=155&amp;GameID=0021500960&amp;Season=2015-16&amp;flag=1&amp;title=Leonard%2026'%203PT%20Pullup%20Jump%20Shot%20(14%20PTS)", "Leonard 26' 3PT Pullup Jump Shot (14 PTS)")</f>
        <v>Leonard 26' 3PT Pullup Jump Shot (14 PTS)</v>
      </c>
      <c r="K222" s="2" t="str">
        <f>HYPERLINK("https://www.nba.com/game/...-vs-...-0021500960/play-by-play?watchFullGame=true", "SAS vs CHI - Q2 08:15.00")</f>
        <v>SAS vs CHI - Q2 08:15.00</v>
      </c>
      <c r="L222">
        <v>26</v>
      </c>
      <c r="M222">
        <v>-183</v>
      </c>
      <c r="N222">
        <v>185</v>
      </c>
      <c r="O222">
        <v>-183</v>
      </c>
      <c r="P222">
        <v>185</v>
      </c>
    </row>
    <row r="223" spans="1:16" x14ac:dyDescent="0.25">
      <c r="A223">
        <v>41800305</v>
      </c>
      <c r="B223" t="s">
        <v>20</v>
      </c>
      <c r="C223" t="s">
        <v>16</v>
      </c>
      <c r="D223" t="s">
        <v>19</v>
      </c>
      <c r="E223">
        <v>71</v>
      </c>
      <c r="F223">
        <v>70</v>
      </c>
      <c r="G223">
        <v>3</v>
      </c>
      <c r="H223" s="1">
        <v>1.0648148148148149E-3</v>
      </c>
      <c r="I223" t="s">
        <v>21</v>
      </c>
      <c r="J223" s="2" t="str">
        <f>HYPERLINK("https://www.nba.com/stats/events?CFID=&amp;CFPARAMS=&amp;GameEventID=456&amp;GameID=0041800305&amp;Season=2018-19&amp;flag=1&amp;title=Leonard%2029'%203PT%20Jump%20Shot%20(18%20PTS)%20(Lowry%205%20AST)", "Leonard 29' 3PT Jump Shot (18 PTS) (Lowry 5 AST)")</f>
        <v>Leonard 29' 3PT Jump Shot (18 PTS) (Lowry 5 AST)</v>
      </c>
      <c r="K223" s="2" t="str">
        <f>HYPERLINK("https://www.nba.com/game/...-vs-...-0041800305/play-by-play?watchFullGame=true", "TOR vs MIL - Q3 01:32.00")</f>
        <v>TOR vs MIL - Q3 01:32.00</v>
      </c>
      <c r="L223">
        <v>29</v>
      </c>
      <c r="M223">
        <v>-183</v>
      </c>
      <c r="N223">
        <v>221</v>
      </c>
      <c r="O223">
        <v>-183</v>
      </c>
      <c r="P223">
        <v>221</v>
      </c>
    </row>
    <row r="224" spans="1:16" x14ac:dyDescent="0.25">
      <c r="A224">
        <v>21300414</v>
      </c>
      <c r="B224">
        <v>2013</v>
      </c>
      <c r="C224" t="s">
        <v>16</v>
      </c>
      <c r="D224" t="s">
        <v>19</v>
      </c>
      <c r="E224">
        <v>103</v>
      </c>
      <c r="F224">
        <v>95</v>
      </c>
      <c r="G224">
        <v>4</v>
      </c>
      <c r="H224" s="1">
        <v>1.4004629629629629E-3</v>
      </c>
      <c r="I224" t="s">
        <v>18</v>
      </c>
      <c r="J224" s="2" t="str">
        <f>HYPERLINK("https://www.nba.com/stats/events?CFID=&amp;CFPARAMS=&amp;GameEventID=525&amp;GameID=0021300414&amp;Season=2013-14&amp;flag=1&amp;title=Leonard%2025'%203PT%20Jump%20Shot%20(10%20PTS)%20(Green%201%20AST)", "Leonard 25' 3PT Jump Shot (10 PTS) (Green 1 AST)")</f>
        <v>Leonard 25' 3PT Jump Shot (10 PTS) (Green 1 AST)</v>
      </c>
      <c r="K224" s="2" t="str">
        <f>HYPERLINK("https://www.nba.com/game/...-vs-...-0021300414/play-by-play?watchFullGame=true", "SAS vs TOR - Q4 02:01.00")</f>
        <v>SAS vs TOR - Q4 02:01.00</v>
      </c>
      <c r="L224">
        <v>25</v>
      </c>
      <c r="M224">
        <v>-182</v>
      </c>
      <c r="N224">
        <v>165</v>
      </c>
      <c r="O224">
        <v>-182</v>
      </c>
      <c r="P224">
        <v>165</v>
      </c>
    </row>
    <row r="225" spans="1:16" x14ac:dyDescent="0.25">
      <c r="A225">
        <v>21401028</v>
      </c>
      <c r="B225">
        <v>2014</v>
      </c>
      <c r="C225" t="s">
        <v>16</v>
      </c>
      <c r="D225" t="s">
        <v>19</v>
      </c>
      <c r="E225">
        <v>15</v>
      </c>
      <c r="F225">
        <v>4</v>
      </c>
      <c r="G225">
        <v>1</v>
      </c>
      <c r="H225" s="1">
        <v>5.4976851851851853E-3</v>
      </c>
      <c r="I225" t="s">
        <v>18</v>
      </c>
      <c r="J225" s="2" t="str">
        <f>HYPERLINK("https://www.nba.com/stats/events?CFID=&amp;CFPARAMS=&amp;GameEventID=32&amp;GameID=0021401028&amp;Season=2014-15&amp;flag=1&amp;title=Leonard%2025'%203PT%20Jump%20Shot%20(7%20PTS)%20(Parker%202%20AST)", "Leonard 25' 3PT Jump Shot (7 PTS) (Parker 2 AST)")</f>
        <v>Leonard 25' 3PT Jump Shot (7 PTS) (Parker 2 AST)</v>
      </c>
      <c r="K225" s="2" t="str">
        <f>HYPERLINK("https://www.nba.com/game/...-vs-...-0021401028/play-by-play?watchFullGame=true", "SAS vs BOS - Q1 07:55.00")</f>
        <v>SAS vs BOS - Q1 07:55.00</v>
      </c>
      <c r="L225">
        <v>25</v>
      </c>
      <c r="M225">
        <v>-182</v>
      </c>
      <c r="N225">
        <v>170</v>
      </c>
      <c r="O225">
        <v>-182</v>
      </c>
      <c r="P225">
        <v>170</v>
      </c>
    </row>
    <row r="226" spans="1:16" x14ac:dyDescent="0.25">
      <c r="A226">
        <v>22300526</v>
      </c>
      <c r="B226">
        <v>2023</v>
      </c>
      <c r="C226" t="s">
        <v>32</v>
      </c>
      <c r="D226" t="s">
        <v>19</v>
      </c>
      <c r="E226">
        <v>11</v>
      </c>
      <c r="F226">
        <v>8</v>
      </c>
      <c r="G226">
        <v>1</v>
      </c>
      <c r="H226" s="1">
        <v>5.185185185185185E-3</v>
      </c>
      <c r="I226" t="s">
        <v>23</v>
      </c>
      <c r="J226" s="2" t="str">
        <f>HYPERLINK("https://www.nba.com/stats/events?CFID=&amp;CFPARAMS=&amp;GameEventID=38&amp;GameID=0022300526&amp;Season=2023-24&amp;flag=1&amp;title=Leonard%2020'%20pullup%20Jump%20Shot%20(2%20PTS)%20(I.%20Zubac%201%20AST)", "20' pullup Jump Shot (2 PTS) (I. Zubac 1 AST)")</f>
        <v>20' pullup Jump Shot (2 PTS) (I. Zubac 1 AST)</v>
      </c>
      <c r="K226" s="2" t="str">
        <f>HYPERLINK("https://www.nba.com/game/...-vs-...-0022300526/play-by-play?watchFullGame=true", "LAC vs TOR - Q1 07:28.00")</f>
        <v>LAC vs TOR - Q1 07:28.00</v>
      </c>
      <c r="L226">
        <v>20.59</v>
      </c>
      <c r="M226">
        <v>15.95</v>
      </c>
      <c r="N226">
        <v>86.27</v>
      </c>
      <c r="O226">
        <v>-181</v>
      </c>
      <c r="P226">
        <v>97</v>
      </c>
    </row>
    <row r="227" spans="1:16" x14ac:dyDescent="0.25">
      <c r="A227">
        <v>21501118</v>
      </c>
      <c r="B227">
        <v>2015</v>
      </c>
      <c r="C227" t="s">
        <v>16</v>
      </c>
      <c r="D227" t="s">
        <v>19</v>
      </c>
      <c r="E227">
        <v>9</v>
      </c>
      <c r="F227">
        <v>7</v>
      </c>
      <c r="G227">
        <v>1</v>
      </c>
      <c r="H227" s="1">
        <v>6.5856481481481478E-3</v>
      </c>
      <c r="I227" t="s">
        <v>18</v>
      </c>
      <c r="J227" s="2" t="str">
        <f>HYPERLINK("https://www.nba.com/stats/events?CFID=&amp;CFPARAMS=&amp;GameEventID=18&amp;GameID=0021501118&amp;Season=2015-16&amp;flag=1&amp;title=Leonard%2025'%203PT%20Jump%20Shot%20(5%20PTS)%20(Parker%202%20AST)", "Leonard 25' 3PT Jump Shot (5 PTS) (Parker 2 AST)")</f>
        <v>Leonard 25' 3PT Jump Shot (5 PTS) (Parker 2 AST)</v>
      </c>
      <c r="K227" s="2" t="str">
        <f>HYPERLINK("https://www.nba.com/game/...-vs-...-0021501118/play-by-play?watchFullGame=true", "SAS vs NOP - Q1 09:29.00")</f>
        <v>SAS vs NOP - Q1 09:29.00</v>
      </c>
      <c r="L227">
        <v>25</v>
      </c>
      <c r="M227">
        <v>-181</v>
      </c>
      <c r="N227">
        <v>178</v>
      </c>
      <c r="O227">
        <v>-181</v>
      </c>
      <c r="P227">
        <v>178</v>
      </c>
    </row>
    <row r="228" spans="1:16" x14ac:dyDescent="0.25">
      <c r="A228">
        <v>21400361</v>
      </c>
      <c r="B228">
        <v>2014</v>
      </c>
      <c r="C228" t="s">
        <v>32</v>
      </c>
      <c r="D228" t="s">
        <v>19</v>
      </c>
      <c r="E228">
        <v>38</v>
      </c>
      <c r="F228">
        <v>35</v>
      </c>
      <c r="G228">
        <v>2</v>
      </c>
      <c r="H228" s="1">
        <v>2.7893518518518519E-3</v>
      </c>
      <c r="I228" t="s">
        <v>18</v>
      </c>
      <c r="J228" s="2" t="str">
        <f>HYPERLINK("https://www.nba.com/stats/events?CFID=&amp;CFPARAMS=&amp;GameEventID=197&amp;GameID=0021400361&amp;Season=2014-15&amp;flag=1&amp;title=Leonard%2018'%20Jump%20Shot%20(7%20PTS)%20(Diaw%204%20AST)", "Leonard 18' Jump Shot (7 PTS) (Diaw 4 AST)")</f>
        <v>Leonard 18' Jump Shot (7 PTS) (Diaw 4 AST)</v>
      </c>
      <c r="K228" s="2" t="str">
        <f>HYPERLINK("https://www.nba.com/game/...-vs-...-0021400361/play-by-play?watchFullGame=true", "SAS vs POR - Q2 04:01.00")</f>
        <v>SAS vs POR - Q2 04:01.00</v>
      </c>
      <c r="L228">
        <v>18</v>
      </c>
      <c r="M228">
        <v>-180</v>
      </c>
      <c r="N228">
        <v>15</v>
      </c>
      <c r="O228">
        <v>-180</v>
      </c>
      <c r="P228">
        <v>15</v>
      </c>
    </row>
    <row r="229" spans="1:16" x14ac:dyDescent="0.25">
      <c r="A229">
        <v>21301186</v>
      </c>
      <c r="B229">
        <v>2013</v>
      </c>
      <c r="C229" t="s">
        <v>16</v>
      </c>
      <c r="D229" t="s">
        <v>19</v>
      </c>
      <c r="E229">
        <v>5</v>
      </c>
      <c r="F229">
        <v>7</v>
      </c>
      <c r="G229">
        <v>1</v>
      </c>
      <c r="H229" s="1">
        <v>7.0949074074074074E-3</v>
      </c>
      <c r="I229" t="s">
        <v>18</v>
      </c>
      <c r="J229" s="2" t="str">
        <f>HYPERLINK("https://www.nba.com/stats/events?CFID=&amp;CFPARAMS=&amp;GameEventID=13&amp;GameID=0021301186&amp;Season=2013-14&amp;flag=1&amp;title=Leonard%2025'%203PT%20Jump%20Shot%20(3%20PTS)%20(Parker%202%20AST)", "Leonard 25' 3PT Jump Shot (3 PTS) (Parker 2 AST)")</f>
        <v>Leonard 25' 3PT Jump Shot (3 PTS) (Parker 2 AST)</v>
      </c>
      <c r="K229" s="2" t="str">
        <f>HYPERLINK("https://www.nba.com/game/...-vs-...-0021301186/play-by-play?watchFullGame=true", "SAS vs PHX - Q1 10:13.00")</f>
        <v>SAS vs PHX - Q1 10:13.00</v>
      </c>
      <c r="L229">
        <v>25</v>
      </c>
      <c r="M229">
        <v>-180</v>
      </c>
      <c r="N229">
        <v>168</v>
      </c>
      <c r="O229">
        <v>-180</v>
      </c>
      <c r="P229">
        <v>168</v>
      </c>
    </row>
    <row r="230" spans="1:16" x14ac:dyDescent="0.25">
      <c r="A230">
        <v>41300221</v>
      </c>
      <c r="B230" t="s">
        <v>26</v>
      </c>
      <c r="C230" t="s">
        <v>16</v>
      </c>
      <c r="D230" t="s">
        <v>19</v>
      </c>
      <c r="E230">
        <v>78</v>
      </c>
      <c r="F230">
        <v>53</v>
      </c>
      <c r="G230">
        <v>3</v>
      </c>
      <c r="H230" s="1">
        <v>2.8819444444444444E-3</v>
      </c>
      <c r="I230" t="s">
        <v>18</v>
      </c>
      <c r="J230" s="2" t="str">
        <f>HYPERLINK("https://www.nba.com/stats/events?CFID=&amp;CFPARAMS=&amp;GameEventID=346&amp;GameID=0041300221&amp;Season=2013-14&amp;flag=1&amp;title=Leonard%2025'%203PT%20Jump%20Shot%20(14%20PTS)%20(Ginobili%204%20AST)", "Leonard 25' 3PT Jump Shot (14 PTS) (Ginobili 4 AST)")</f>
        <v>Leonard 25' 3PT Jump Shot (14 PTS) (Ginobili 4 AST)</v>
      </c>
      <c r="K230" s="2" t="str">
        <f>HYPERLINK("https://www.nba.com/game/...-vs-...-0041300221/play-by-play?watchFullGame=true", "SAS vs POR - Q3 04:09.00")</f>
        <v>SAS vs POR - Q3 04:09.00</v>
      </c>
      <c r="L230">
        <v>25</v>
      </c>
      <c r="M230">
        <v>-180</v>
      </c>
      <c r="N230">
        <v>176</v>
      </c>
      <c r="O230">
        <v>-180</v>
      </c>
      <c r="P230">
        <v>176</v>
      </c>
    </row>
    <row r="231" spans="1:16" x14ac:dyDescent="0.25">
      <c r="A231">
        <v>21600225</v>
      </c>
      <c r="B231">
        <v>2016</v>
      </c>
      <c r="C231" t="s">
        <v>32</v>
      </c>
      <c r="D231" t="s">
        <v>19</v>
      </c>
      <c r="E231">
        <v>38</v>
      </c>
      <c r="F231">
        <v>37</v>
      </c>
      <c r="G231">
        <v>2</v>
      </c>
      <c r="H231" s="1">
        <v>3.1597222222222222E-3</v>
      </c>
      <c r="I231" t="s">
        <v>18</v>
      </c>
      <c r="J231" s="2" t="str">
        <f>HYPERLINK("https://www.nba.com/stats/events?CFID=&amp;CFPARAMS=&amp;GameEventID=182&amp;GameID=0021600225&amp;Season=2016-17&amp;flag=1&amp;title=Leonard%2018'%20Jump%20Shot%20(10%20PTS)%20(Aldridge%201%20AST)", "Leonard 18' Jump Shot (10 PTS) (Aldridge 1 AST)")</f>
        <v>Leonard 18' Jump Shot (10 PTS) (Aldridge 1 AST)</v>
      </c>
      <c r="K231" s="2" t="str">
        <f>HYPERLINK("https://www.nba.com/game/...-vs-...-0021600225/play-by-play?watchFullGame=true", "SAS vs BOS - Q2 04:33.00")</f>
        <v>SAS vs BOS - Q2 04:33.00</v>
      </c>
      <c r="L231">
        <v>18</v>
      </c>
      <c r="M231">
        <v>-179</v>
      </c>
      <c r="N231">
        <v>2</v>
      </c>
      <c r="O231">
        <v>-179</v>
      </c>
      <c r="P231">
        <v>2</v>
      </c>
    </row>
    <row r="232" spans="1:16" x14ac:dyDescent="0.25">
      <c r="A232">
        <v>21300082</v>
      </c>
      <c r="B232">
        <v>2013</v>
      </c>
      <c r="C232" t="s">
        <v>32</v>
      </c>
      <c r="D232" t="s">
        <v>19</v>
      </c>
      <c r="E232">
        <v>40</v>
      </c>
      <c r="F232">
        <v>31</v>
      </c>
      <c r="G232">
        <v>2</v>
      </c>
      <c r="H232" s="1">
        <v>1.9791666666666668E-3</v>
      </c>
      <c r="I232" t="s">
        <v>18</v>
      </c>
      <c r="J232" s="2" t="str">
        <f>HYPERLINK("https://www.nba.com/stats/events?CFID=&amp;CFPARAMS=&amp;GameEventID=202&amp;GameID=0021300082&amp;Season=2013-14&amp;flag=1&amp;title=Leonard%2019'%20Jump%20Shot%20(7%20PTS)%20(Ginobili%201%20AST)", "Leonard 19' Jump Shot (7 PTS) (Ginobili 1 AST)")</f>
        <v>Leonard 19' Jump Shot (7 PTS) (Ginobili 1 AST)</v>
      </c>
      <c r="K232" s="2" t="str">
        <f>HYPERLINK("https://www.nba.com/game/...-vs-...-0021300082/play-by-play?watchFullGame=true", "SAS vs GSW - Q2 02:51.00")</f>
        <v>SAS vs GSW - Q2 02:51.00</v>
      </c>
      <c r="L232">
        <v>19</v>
      </c>
      <c r="M232">
        <v>-179</v>
      </c>
      <c r="N232">
        <v>61</v>
      </c>
      <c r="O232">
        <v>-179</v>
      </c>
      <c r="P232">
        <v>61</v>
      </c>
    </row>
    <row r="233" spans="1:16" x14ac:dyDescent="0.25">
      <c r="A233">
        <v>41200312</v>
      </c>
      <c r="B233" t="s">
        <v>27</v>
      </c>
      <c r="C233" t="s">
        <v>16</v>
      </c>
      <c r="D233" t="s">
        <v>19</v>
      </c>
      <c r="E233">
        <v>51</v>
      </c>
      <c r="F233">
        <v>35</v>
      </c>
      <c r="G233">
        <v>3</v>
      </c>
      <c r="H233" s="1">
        <v>7.5231481481481477E-3</v>
      </c>
      <c r="I233" t="s">
        <v>18</v>
      </c>
      <c r="J233" s="2" t="str">
        <f>HYPERLINK("https://www.nba.com/stats/events?CFID=&amp;CFPARAMS=&amp;GameEventID=268&amp;GameID=0041200312&amp;Season=2012-13&amp;flag=1&amp;title=Leonard%2025'%203PT%20Jump%20Shot%20(10%20PTS)%20(Parker%209%20AST)", "Leonard 25' 3PT Jump Shot (10 PTS) (Parker 9 AST)")</f>
        <v>Leonard 25' 3PT Jump Shot (10 PTS) (Parker 9 AST)</v>
      </c>
      <c r="K233" s="2" t="str">
        <f>HYPERLINK("https://www.nba.com/game/...-vs-...-0041200312/play-by-play?watchFullGame=true", "SAS vs MEM - Q3 10:50.00")</f>
        <v>SAS vs MEM - Q3 10:50.00</v>
      </c>
      <c r="L233">
        <v>25</v>
      </c>
      <c r="M233">
        <v>-179</v>
      </c>
      <c r="N233">
        <v>168</v>
      </c>
      <c r="O233">
        <v>-179</v>
      </c>
      <c r="P233">
        <v>168</v>
      </c>
    </row>
    <row r="234" spans="1:16" x14ac:dyDescent="0.25">
      <c r="A234">
        <v>21900157</v>
      </c>
      <c r="B234">
        <v>2019</v>
      </c>
      <c r="C234" t="s">
        <v>16</v>
      </c>
      <c r="D234" t="s">
        <v>22</v>
      </c>
      <c r="E234">
        <v>80</v>
      </c>
      <c r="F234">
        <v>83</v>
      </c>
      <c r="G234">
        <v>4</v>
      </c>
      <c r="H234" s="1">
        <v>4.7685185185185183E-3</v>
      </c>
      <c r="I234" t="s">
        <v>23</v>
      </c>
      <c r="J234" s="2" t="str">
        <f>HYPERLINK("https://www.nba.com/stats/events?CFID=&amp;CFPARAMS=&amp;GameEventID=580&amp;GameID=0021900157&amp;Season=2019-20&amp;flag=1&amp;title=Leonard%2026'%203PT%20%20(23%20PTS)", "26' 3PT  (23 PTS)")</f>
        <v>26' 3PT  (23 PTS)</v>
      </c>
      <c r="K234" s="2" t="str">
        <f>HYPERLINK("https://www.nba.com/game/...-vs-...-0021900157/play-by-play?watchFullGame=true", "LAC vs HOU - Q4 06:52.00")</f>
        <v>LAC vs HOU - Q4 06:52.00</v>
      </c>
      <c r="L234">
        <v>26.03</v>
      </c>
      <c r="M234">
        <v>25.15</v>
      </c>
      <c r="N234">
        <v>85.72</v>
      </c>
      <c r="O234">
        <v>-179</v>
      </c>
      <c r="P234">
        <v>184</v>
      </c>
    </row>
    <row r="235" spans="1:16" x14ac:dyDescent="0.25">
      <c r="A235">
        <v>21500431</v>
      </c>
      <c r="B235">
        <v>2015</v>
      </c>
      <c r="C235" t="s">
        <v>32</v>
      </c>
      <c r="D235" t="s">
        <v>19</v>
      </c>
      <c r="E235">
        <v>67</v>
      </c>
      <c r="F235">
        <v>87</v>
      </c>
      <c r="G235">
        <v>4</v>
      </c>
      <c r="H235" s="1">
        <v>6.1111111111111114E-3</v>
      </c>
      <c r="I235" t="s">
        <v>18</v>
      </c>
      <c r="J235" s="2" t="str">
        <f>HYPERLINK("https://www.nba.com/stats/events?CFID=&amp;CFPARAMS=&amp;GameEventID=392&amp;GameID=0021500431&amp;Season=2015-16&amp;flag=1&amp;title=Leonard%2018'%20Jump%20Shot%20(12%20PTS)", "Leonard 18' Jump Shot (12 PTS)")</f>
        <v>Leonard 18' Jump Shot (12 PTS)</v>
      </c>
      <c r="K235" s="2" t="str">
        <f>HYPERLINK("https://www.nba.com/game/...-vs-...-0021500431/play-by-play?watchFullGame=true", "SAS vs MIN - Q4 08:48.00")</f>
        <v>SAS vs MIN - Q4 08:48.00</v>
      </c>
      <c r="L235">
        <v>18</v>
      </c>
      <c r="M235">
        <v>-178</v>
      </c>
      <c r="N235">
        <v>28</v>
      </c>
      <c r="O235">
        <v>-178</v>
      </c>
      <c r="P235">
        <v>28</v>
      </c>
    </row>
    <row r="236" spans="1:16" x14ac:dyDescent="0.25">
      <c r="A236">
        <v>21600588</v>
      </c>
      <c r="B236">
        <v>2016</v>
      </c>
      <c r="C236" t="s">
        <v>16</v>
      </c>
      <c r="D236" t="s">
        <v>29</v>
      </c>
      <c r="E236">
        <v>25</v>
      </c>
      <c r="F236">
        <v>13</v>
      </c>
      <c r="G236">
        <v>1</v>
      </c>
      <c r="H236" s="1">
        <v>3.7847222222222223E-3</v>
      </c>
      <c r="I236" t="s">
        <v>18</v>
      </c>
      <c r="J236" s="2" t="str">
        <f>HYPERLINK("https://www.nba.com/stats/events?CFID=&amp;CFPARAMS=&amp;GameEventID=56&amp;GameID=0021600588&amp;Season=2016-17&amp;flag=1&amp;title=Leonard%2025'%203PT%20Pullup%20Jump%20Shot%20(11%20PTS)", "Leonard 25' 3PT Pullup Jump Shot (11 PTS)")</f>
        <v>Leonard 25' 3PT Pullup Jump Shot (11 PTS)</v>
      </c>
      <c r="K236" s="2" t="str">
        <f>HYPERLINK("https://www.nba.com/game/...-vs-...-0021600588/play-by-play?watchFullGame=true", "SAS vs LAL - Q1 05:27.00")</f>
        <v>SAS vs LAL - Q1 05:27.00</v>
      </c>
      <c r="L236">
        <v>25</v>
      </c>
      <c r="M236">
        <v>-178</v>
      </c>
      <c r="N236">
        <v>174</v>
      </c>
      <c r="O236">
        <v>-178</v>
      </c>
      <c r="P236">
        <v>174</v>
      </c>
    </row>
    <row r="237" spans="1:16" x14ac:dyDescent="0.25">
      <c r="A237">
        <v>21500790</v>
      </c>
      <c r="B237">
        <v>2015</v>
      </c>
      <c r="C237" t="s">
        <v>16</v>
      </c>
      <c r="D237" t="s">
        <v>19</v>
      </c>
      <c r="E237">
        <v>17</v>
      </c>
      <c r="F237">
        <v>17</v>
      </c>
      <c r="G237">
        <v>1</v>
      </c>
      <c r="H237" s="1">
        <v>2.5810185185185185E-3</v>
      </c>
      <c r="I237" t="s">
        <v>18</v>
      </c>
      <c r="J237" s="2" t="str">
        <f>HYPERLINK("https://www.nba.com/stats/events?CFID=&amp;CFPARAMS=&amp;GameEventID=72&amp;GameID=0021500790&amp;Season=2015-16&amp;flag=1&amp;title=Leonard%2026'%203PT%20Jump%20Shot%20(9%20PTS)%20(Mills%202%20AST)", "Leonard 26' 3PT Jump Shot (9 PTS) (Mills 2 AST)")</f>
        <v>Leonard 26' 3PT Jump Shot (9 PTS) (Mills 2 AST)</v>
      </c>
      <c r="K237" s="2" t="str">
        <f>HYPERLINK("https://www.nba.com/game/...-vs-...-0021500790/play-by-play?watchFullGame=true", "SAS vs ORL - Q1 03:43.00")</f>
        <v>SAS vs ORL - Q1 03:43.00</v>
      </c>
      <c r="L237">
        <v>26</v>
      </c>
      <c r="M237">
        <v>-178</v>
      </c>
      <c r="N237">
        <v>183</v>
      </c>
      <c r="O237">
        <v>-178</v>
      </c>
      <c r="P237">
        <v>183</v>
      </c>
    </row>
    <row r="238" spans="1:16" x14ac:dyDescent="0.25">
      <c r="A238">
        <v>21401110</v>
      </c>
      <c r="B238">
        <v>2014</v>
      </c>
      <c r="C238" t="s">
        <v>32</v>
      </c>
      <c r="D238" t="s">
        <v>19</v>
      </c>
      <c r="E238">
        <v>60</v>
      </c>
      <c r="F238">
        <v>77</v>
      </c>
      <c r="G238">
        <v>4</v>
      </c>
      <c r="H238" s="1">
        <v>6.5624999999999998E-3</v>
      </c>
      <c r="I238" t="s">
        <v>18</v>
      </c>
      <c r="J238" s="2" t="str">
        <f>HYPERLINK("https://www.nba.com/stats/events?CFID=&amp;CFPARAMS=&amp;GameEventID=387&amp;GameID=0021401110&amp;Season=2014-15&amp;flag=1&amp;title=Leonard%2018'%20Jump%20Shot%20(18%20PTS)%20(Diaw%202%20AST)", "Leonard 18' Jump Shot (18 PTS) (Diaw 2 AST)")</f>
        <v>Leonard 18' Jump Shot (18 PTS) (Diaw 2 AST)</v>
      </c>
      <c r="K238" s="2" t="str">
        <f>HYPERLINK("https://www.nba.com/game/...-vs-...-0021401110/play-by-play?watchFullGame=true", "SAS vs MIA - Q4 09:27.00")</f>
        <v>SAS vs MIA - Q4 09:27.00</v>
      </c>
      <c r="L238">
        <v>18</v>
      </c>
      <c r="M238">
        <v>-177</v>
      </c>
      <c r="N238">
        <v>6</v>
      </c>
      <c r="O238">
        <v>-177</v>
      </c>
      <c r="P238">
        <v>6</v>
      </c>
    </row>
    <row r="239" spans="1:16" x14ac:dyDescent="0.25">
      <c r="A239">
        <v>22000720</v>
      </c>
      <c r="B239">
        <v>2020</v>
      </c>
      <c r="C239" t="s">
        <v>32</v>
      </c>
      <c r="D239" t="s">
        <v>19</v>
      </c>
      <c r="E239">
        <v>42</v>
      </c>
      <c r="F239">
        <v>26</v>
      </c>
      <c r="G239">
        <v>2</v>
      </c>
      <c r="H239" s="1">
        <v>3.1597222222222222E-3</v>
      </c>
      <c r="I239" t="s">
        <v>23</v>
      </c>
      <c r="J239" s="2" t="str">
        <f>HYPERLINK("https://www.nba.com/stats/events?CFID=&amp;CFPARAMS=&amp;GameEventID=227&amp;GameID=0022000720&amp;Season=2020-21&amp;flag=1&amp;title=Leonard%2018'%20Jump%20Shot%20(9%20PTS)%20(R.%20Jackson%205%20AST)", "18' Jump Shot (9 PTS) (R. Jackson 5 AST)")</f>
        <v>18' Jump Shot (9 PTS) (R. Jackson 5 AST)</v>
      </c>
      <c r="K239" s="2" t="str">
        <f>HYPERLINK("https://www.nba.com/game/...-vs-...-0022000720/play-by-play?watchFullGame=true", "LAC vs ORL - Q2 04:33.00")</f>
        <v>LAC vs ORL - Q2 04:33.00</v>
      </c>
      <c r="L239">
        <v>18.02</v>
      </c>
      <c r="M239">
        <v>9.2799999999999994</v>
      </c>
      <c r="N239">
        <v>85.36</v>
      </c>
      <c r="O239">
        <v>-177</v>
      </c>
      <c r="P239">
        <v>35</v>
      </c>
    </row>
    <row r="240" spans="1:16" x14ac:dyDescent="0.25">
      <c r="A240">
        <v>21900068</v>
      </c>
      <c r="B240">
        <v>2019</v>
      </c>
      <c r="C240" t="s">
        <v>32</v>
      </c>
      <c r="D240" t="s">
        <v>22</v>
      </c>
      <c r="E240">
        <v>4</v>
      </c>
      <c r="F240">
        <v>0</v>
      </c>
      <c r="G240">
        <v>1</v>
      </c>
      <c r="H240" s="1">
        <v>6.3425925925925924E-3</v>
      </c>
      <c r="I240" t="s">
        <v>23</v>
      </c>
      <c r="J240" s="2" t="str">
        <f>HYPERLINK("https://www.nba.com/stats/events?CFID=&amp;CFPARAMS=&amp;GameEventID=29&amp;GameID=0021900068&amp;Season=2019-20&amp;flag=1&amp;title=[LAC]%20Leonard%20jumpshot:%20Made%20(4%20PTS)", "[LAC] Leonard jumpshot: Made (4 PTS)")</f>
        <v>[LAC] Leonard jumpshot: Made (4 PTS)</v>
      </c>
      <c r="K240" s="2" t="str">
        <f>HYPERLINK("https://www.nba.com/game/...-vs-...-0021900068/play-by-play?watchFullGame=true", "LAC vs SAS - Q1 09:08.00")</f>
        <v>LAC vs SAS - Q1 09:08.00</v>
      </c>
      <c r="L240">
        <v>19.37</v>
      </c>
      <c r="M240">
        <v>13.58</v>
      </c>
      <c r="N240">
        <v>85.23</v>
      </c>
      <c r="O240">
        <v>-176</v>
      </c>
      <c r="P240">
        <v>75</v>
      </c>
    </row>
    <row r="241" spans="1:16" x14ac:dyDescent="0.25">
      <c r="A241">
        <v>21500195</v>
      </c>
      <c r="B241">
        <v>2015</v>
      </c>
      <c r="C241" t="s">
        <v>16</v>
      </c>
      <c r="D241" t="s">
        <v>19</v>
      </c>
      <c r="E241">
        <v>74</v>
      </c>
      <c r="F241">
        <v>61</v>
      </c>
      <c r="G241">
        <v>3</v>
      </c>
      <c r="H241" s="1">
        <v>3.2754629629629632E-4</v>
      </c>
      <c r="I241" t="s">
        <v>18</v>
      </c>
      <c r="J241" s="2" t="str">
        <f>HYPERLINK("https://www.nba.com/stats/events?CFID=&amp;CFPARAMS=&amp;GameEventID=354&amp;GameID=0021500195&amp;Season=2015-16&amp;flag=1&amp;title=Leonard%2026'%203PT%20Jump%20Shot%20(15%20PTS)%20(Anderson%201%20AST)", "Leonard 26' 3PT Jump Shot (15 PTS) (Anderson 1 AST)")</f>
        <v>Leonard 26' 3PT Jump Shot (15 PTS) (Anderson 1 AST)</v>
      </c>
      <c r="K241" s="2" t="str">
        <f>HYPERLINK("https://www.nba.com/game/...-vs-...-0021500195/play-by-play?watchFullGame=true", "SAS vs MEM - Q3 00:28.30")</f>
        <v>SAS vs MEM - Q3 00:28.30</v>
      </c>
      <c r="L241">
        <v>26</v>
      </c>
      <c r="M241">
        <v>-176</v>
      </c>
      <c r="N241">
        <v>188</v>
      </c>
      <c r="O241">
        <v>-176</v>
      </c>
      <c r="P241">
        <v>188</v>
      </c>
    </row>
    <row r="242" spans="1:16" x14ac:dyDescent="0.25">
      <c r="A242">
        <v>22400793</v>
      </c>
      <c r="B242">
        <v>2024</v>
      </c>
      <c r="C242" t="s">
        <v>16</v>
      </c>
      <c r="D242" t="s">
        <v>19</v>
      </c>
      <c r="E242">
        <v>3</v>
      </c>
      <c r="F242">
        <v>9</v>
      </c>
      <c r="G242">
        <v>1</v>
      </c>
      <c r="H242" s="1">
        <v>5.4513888888888893E-3</v>
      </c>
      <c r="I242" t="s">
        <v>23</v>
      </c>
      <c r="J242" s="2" t="str">
        <f>HYPERLINK("https://www.nba.com/stats/events?CFID=&amp;CFPARAMS=&amp;GameEventID=46&amp;GameID=0022400793&amp;Season=2024-25&amp;flag=1&amp;title=Leonard%2024'%203PT%20%20(3%20PTS)%20(J.%20Harden%201%20AST)", "24' 3PT  (3 PTS) (J. Harden 1 AST)")</f>
        <v>24' 3PT  (3 PTS) (J. Harden 1 AST)</v>
      </c>
      <c r="K242" s="2" t="str">
        <f>HYPERLINK("https://www.nba.com/game/...-vs-...-0022400793/play-by-play?watchFullGame=true", "LAC vs MIL - Q1 07:51.00")</f>
        <v>LAC vs MIL - Q1 07:51.00</v>
      </c>
      <c r="L242">
        <v>24.07</v>
      </c>
      <c r="M242">
        <v>23.13</v>
      </c>
      <c r="N242">
        <v>85.07</v>
      </c>
      <c r="O242">
        <v>-175</v>
      </c>
      <c r="P242">
        <v>165</v>
      </c>
    </row>
    <row r="243" spans="1:16" x14ac:dyDescent="0.25">
      <c r="A243">
        <v>21400624</v>
      </c>
      <c r="B243">
        <v>2014</v>
      </c>
      <c r="C243" t="s">
        <v>16</v>
      </c>
      <c r="D243" t="s">
        <v>19</v>
      </c>
      <c r="E243">
        <v>78</v>
      </c>
      <c r="F243">
        <v>91</v>
      </c>
      <c r="G243">
        <v>4</v>
      </c>
      <c r="H243" s="1">
        <v>6.4583333333333333E-3</v>
      </c>
      <c r="I243" t="s">
        <v>18</v>
      </c>
      <c r="J243" s="2" t="str">
        <f>HYPERLINK("https://www.nba.com/stats/events?CFID=&amp;CFPARAMS=&amp;GameEventID=437&amp;GameID=0021400624&amp;Season=2014-15&amp;flag=1&amp;title=Leonard%2025'%203PT%20Jump%20Shot%20(17%20PTS)%20(D.%20Green%202%20AST)", "Leonard 25' 3PT Jump Shot (17 PTS) (D. Green 2 AST)")</f>
        <v>Leonard 25' 3PT Jump Shot (17 PTS) (D. Green 2 AST)</v>
      </c>
      <c r="K243" s="2" t="str">
        <f>HYPERLINK("https://www.nba.com/game/...-vs-...-0021400624/play-by-play?watchFullGame=true", "SAS vs DEN - Q4 09:18.00")</f>
        <v>SAS vs DEN - Q4 09:18.00</v>
      </c>
      <c r="L243">
        <v>25</v>
      </c>
      <c r="M243">
        <v>-175</v>
      </c>
      <c r="N243">
        <v>175</v>
      </c>
      <c r="O243">
        <v>-175</v>
      </c>
      <c r="P243">
        <v>175</v>
      </c>
    </row>
    <row r="244" spans="1:16" x14ac:dyDescent="0.25">
      <c r="A244">
        <v>41800115</v>
      </c>
      <c r="B244" t="s">
        <v>20</v>
      </c>
      <c r="C244" t="s">
        <v>16</v>
      </c>
      <c r="D244" t="s">
        <v>19</v>
      </c>
      <c r="E244">
        <v>47</v>
      </c>
      <c r="F244">
        <v>29</v>
      </c>
      <c r="G244">
        <v>2</v>
      </c>
      <c r="H244" s="1">
        <v>5.324074074074074E-3</v>
      </c>
      <c r="I244" t="s">
        <v>21</v>
      </c>
      <c r="J244" s="2" t="str">
        <f>HYPERLINK("https://www.nba.com/stats/events?CFID=&amp;CFPARAMS=&amp;GameEventID=214&amp;GameID=0041800115&amp;Season=2018-19&amp;flag=1&amp;title=Leonard%2025'%203PT%20Jump%20Shot%20(10%20PTS)%20(Lowry%204%20AST)", "Leonard 25' 3PT Jump Shot (10 PTS) (Lowry 4 AST)")</f>
        <v>Leonard 25' 3PT Jump Shot (10 PTS) (Lowry 4 AST)</v>
      </c>
      <c r="K244" s="2" t="str">
        <f>HYPERLINK("https://www.nba.com/game/...-vs-...-0041800115/play-by-play?watchFullGame=true", "TOR vs ORL - Q2 07:40.00")</f>
        <v>TOR vs ORL - Q2 07:40.00</v>
      </c>
      <c r="L244">
        <v>25</v>
      </c>
      <c r="M244">
        <v>-175</v>
      </c>
      <c r="N244">
        <v>181</v>
      </c>
      <c r="O244">
        <v>-175</v>
      </c>
      <c r="P244">
        <v>181</v>
      </c>
    </row>
    <row r="245" spans="1:16" x14ac:dyDescent="0.25">
      <c r="A245">
        <v>22200016</v>
      </c>
      <c r="B245">
        <v>2022</v>
      </c>
      <c r="C245" t="s">
        <v>16</v>
      </c>
      <c r="D245" t="s">
        <v>19</v>
      </c>
      <c r="E245">
        <v>65</v>
      </c>
      <c r="F245">
        <v>74</v>
      </c>
      <c r="G245">
        <v>3</v>
      </c>
      <c r="H245" s="1">
        <v>3.5763888888888889E-3</v>
      </c>
      <c r="I245" t="s">
        <v>23</v>
      </c>
      <c r="J245" s="2" t="str">
        <f>HYPERLINK("https://www.nba.com/stats/events?CFID=&amp;CFPARAMS=&amp;GameEventID=445&amp;GameID=0022200016&amp;Season=2022-23&amp;flag=1&amp;title=Leonard%2026'%203PT%20%20(10%20PTS)%20(J.%20Wall%202%20AST)", "26' 3PT  (10 PTS) (J. Wall 2 AST)")</f>
        <v>26' 3PT  (10 PTS) (J. Wall 2 AST)</v>
      </c>
      <c r="K245" s="2" t="str">
        <f>HYPERLINK("https://www.nba.com/game/...-vs-...-0022200016/play-by-play?watchFullGame=true", "LAC vs LAL - Q3 05:09.00")</f>
        <v>LAC vs LAL - Q3 05:09.00</v>
      </c>
      <c r="L245">
        <v>26.58</v>
      </c>
      <c r="M245">
        <v>26.86</v>
      </c>
      <c r="N245">
        <v>85.05</v>
      </c>
      <c r="O245">
        <v>-175</v>
      </c>
      <c r="P245">
        <v>200</v>
      </c>
    </row>
    <row r="246" spans="1:16" x14ac:dyDescent="0.25">
      <c r="A246">
        <v>21301030</v>
      </c>
      <c r="B246">
        <v>2013</v>
      </c>
      <c r="C246" t="s">
        <v>16</v>
      </c>
      <c r="D246" t="s">
        <v>19</v>
      </c>
      <c r="E246">
        <v>48</v>
      </c>
      <c r="F246">
        <v>61</v>
      </c>
      <c r="G246">
        <v>3</v>
      </c>
      <c r="H246" s="1">
        <v>2.9976851851851853E-3</v>
      </c>
      <c r="I246" t="s">
        <v>18</v>
      </c>
      <c r="J246" s="2" t="str">
        <f>HYPERLINK("https://www.nba.com/stats/events?CFID=&amp;CFPARAMS=&amp;GameEventID=349&amp;GameID=0021301030&amp;Season=2013-14&amp;flag=1&amp;title=Leonard%2025'%203PT%20Jump%20Shot%20(15%20PTS)%20(Diaw%201%20AST)", "Leonard 25' 3PT Jump Shot (15 PTS) (Diaw 1 AST)")</f>
        <v>Leonard 25' 3PT Jump Shot (15 PTS) (Diaw 1 AST)</v>
      </c>
      <c r="K246" s="2" t="str">
        <f>HYPERLINK("https://www.nba.com/game/...-vs-...-0021301030/play-by-play?watchFullGame=true", "SAS vs SAC - Q3 04:19.00")</f>
        <v>SAS vs SAC - Q3 04:19.00</v>
      </c>
      <c r="L246">
        <v>25</v>
      </c>
      <c r="M246">
        <v>-174</v>
      </c>
      <c r="N246">
        <v>179</v>
      </c>
      <c r="O246">
        <v>-174</v>
      </c>
      <c r="P246">
        <v>179</v>
      </c>
    </row>
    <row r="247" spans="1:16" x14ac:dyDescent="0.25">
      <c r="A247">
        <v>21600353</v>
      </c>
      <c r="B247">
        <v>2016</v>
      </c>
      <c r="C247" t="s">
        <v>16</v>
      </c>
      <c r="D247" t="s">
        <v>19</v>
      </c>
      <c r="E247">
        <v>88</v>
      </c>
      <c r="F247">
        <v>65</v>
      </c>
      <c r="G247">
        <v>3</v>
      </c>
      <c r="H247" s="1">
        <v>3.5995370370370369E-3</v>
      </c>
      <c r="I247" t="s">
        <v>18</v>
      </c>
      <c r="J247" s="2" t="str">
        <f>HYPERLINK("https://www.nba.com/stats/events?CFID=&amp;CFPARAMS=&amp;GameEventID=328&amp;GameID=0021600353&amp;Season=2016-17&amp;flag=1&amp;title=Leonard%2026'%203PT%20Jump%20Shot%20(30%20PTS)%20(Ginobili%201%20AST)", "Leonard 26' 3PT Jump Shot (30 PTS) (Ginobili 1 AST)")</f>
        <v>Leonard 26' 3PT Jump Shot (30 PTS) (Ginobili 1 AST)</v>
      </c>
      <c r="K247" s="2" t="str">
        <f>HYPERLINK("https://www.nba.com/game/...-vs-...-0021600353/play-by-play?watchFullGame=true", "SAS vs BKN - Q3 05:11.00")</f>
        <v>SAS vs BKN - Q3 05:11.00</v>
      </c>
      <c r="L247">
        <v>26</v>
      </c>
      <c r="M247">
        <v>-174</v>
      </c>
      <c r="N247">
        <v>188</v>
      </c>
      <c r="O247">
        <v>-174</v>
      </c>
      <c r="P247">
        <v>188</v>
      </c>
    </row>
    <row r="248" spans="1:16" x14ac:dyDescent="0.25">
      <c r="A248">
        <v>22300646</v>
      </c>
      <c r="B248">
        <v>2023</v>
      </c>
      <c r="C248" t="s">
        <v>16</v>
      </c>
      <c r="D248" t="s">
        <v>19</v>
      </c>
      <c r="E248">
        <v>18</v>
      </c>
      <c r="F248">
        <v>26</v>
      </c>
      <c r="G248">
        <v>1</v>
      </c>
      <c r="H248" s="1">
        <v>3.4490740740740743E-4</v>
      </c>
      <c r="I248" t="s">
        <v>23</v>
      </c>
      <c r="J248" s="2" t="str">
        <f>HYPERLINK("https://www.nba.com/stats/events?CFID=&amp;CFPARAMS=&amp;GameEventID=156&amp;GameID=0022300646&amp;Season=2023-24&amp;flag=1&amp;title=Leonard%2026'%203PT%20%20(12%20PTS)", "26' 3PT  (12 PTS)")</f>
        <v>26' 3PT  (12 PTS)</v>
      </c>
      <c r="K248" s="2" t="str">
        <f>HYPERLINK("https://www.nba.com/game/...-vs-...-0022300646/play-by-play?watchFullGame=true", "LAC vs BOS - Q1 00:29.80")</f>
        <v>LAC vs BOS - Q1 00:29.80</v>
      </c>
      <c r="L248">
        <v>26.88</v>
      </c>
      <c r="M248">
        <v>72.62</v>
      </c>
      <c r="N248">
        <v>15.2</v>
      </c>
      <c r="O248">
        <v>-174</v>
      </c>
      <c r="P248">
        <v>205</v>
      </c>
    </row>
    <row r="249" spans="1:16" x14ac:dyDescent="0.25">
      <c r="A249">
        <v>21600213</v>
      </c>
      <c r="B249">
        <v>2016</v>
      </c>
      <c r="C249" t="s">
        <v>32</v>
      </c>
      <c r="D249" t="s">
        <v>34</v>
      </c>
      <c r="E249">
        <v>102</v>
      </c>
      <c r="F249">
        <v>108</v>
      </c>
      <c r="G249">
        <v>4</v>
      </c>
      <c r="H249" s="1">
        <v>1.3078703703703703E-3</v>
      </c>
      <c r="I249" t="s">
        <v>18</v>
      </c>
      <c r="J249" s="2" t="str">
        <f>HYPERLINK("https://www.nba.com/stats/events?CFID=&amp;CFPARAMS=&amp;GameEventID=463&amp;GameID=0021600213&amp;Season=2016-17&amp;flag=1&amp;title=Leonard%2017'%20Turnaround%20Fadeaway%20(30%20PTS)%20(Aldridge%202%20AST)", "Leonard 17' Turnaround Fadeaway (30 PTS) (Aldridge 2 AST)")</f>
        <v>Leonard 17' Turnaround Fadeaway (30 PTS) (Aldridge 2 AST)</v>
      </c>
      <c r="K249" s="2" t="str">
        <f>HYPERLINK("https://www.nba.com/game/...-vs-...-0021600213/play-by-play?watchFullGame=true", "SAS vs CHA - Q4 01:53.00")</f>
        <v>SAS vs CHA - Q4 01:53.00</v>
      </c>
      <c r="L249">
        <v>17</v>
      </c>
      <c r="M249">
        <v>-173</v>
      </c>
      <c r="N249">
        <v>7</v>
      </c>
      <c r="O249">
        <v>-173</v>
      </c>
      <c r="P249">
        <v>7</v>
      </c>
    </row>
    <row r="250" spans="1:16" x14ac:dyDescent="0.25">
      <c r="A250">
        <v>22201196</v>
      </c>
      <c r="B250">
        <v>2022</v>
      </c>
      <c r="C250" t="s">
        <v>16</v>
      </c>
      <c r="D250" t="s">
        <v>19</v>
      </c>
      <c r="E250">
        <v>76</v>
      </c>
      <c r="F250">
        <v>52</v>
      </c>
      <c r="G250">
        <v>3</v>
      </c>
      <c r="H250" s="1">
        <v>7.8472222222222224E-3</v>
      </c>
      <c r="I250" t="s">
        <v>23</v>
      </c>
      <c r="J250" s="2" t="str">
        <f>HYPERLINK("https://www.nba.com/stats/events?CFID=&amp;CFPARAMS=&amp;GameEventID=314&amp;GameID=0022201196&amp;Season=2022-23&amp;flag=1&amp;title=Leonard%2025'%203PT%20%20(20%20PTS)", "25' 3PT  (20 PTS)")</f>
        <v>25' 3PT  (20 PTS)</v>
      </c>
      <c r="K250" s="2" t="str">
        <f>HYPERLINK("https://www.nba.com/game/...-vs-...-0022201196/play-by-play?watchFullGame=true", "LAC vs LAL - Q3 11:18.00")</f>
        <v>LAC vs LAL - Q3 11:18.00</v>
      </c>
      <c r="L250">
        <v>25.78</v>
      </c>
      <c r="M250">
        <v>25.94</v>
      </c>
      <c r="N250">
        <v>84.56</v>
      </c>
      <c r="O250">
        <v>-173</v>
      </c>
      <c r="P250">
        <v>191</v>
      </c>
    </row>
    <row r="251" spans="1:16" x14ac:dyDescent="0.25">
      <c r="A251">
        <v>21400314</v>
      </c>
      <c r="B251">
        <v>2014</v>
      </c>
      <c r="C251" t="s">
        <v>32</v>
      </c>
      <c r="D251" t="s">
        <v>19</v>
      </c>
      <c r="E251">
        <v>72</v>
      </c>
      <c r="F251">
        <v>71</v>
      </c>
      <c r="G251">
        <v>3</v>
      </c>
      <c r="H251" s="1">
        <v>6.0069444444444439E-4</v>
      </c>
      <c r="I251" t="s">
        <v>18</v>
      </c>
      <c r="J251" s="2" t="str">
        <f>HYPERLINK("https://www.nba.com/stats/events?CFID=&amp;CFPARAMS=&amp;GameEventID=340&amp;GameID=0021400314&amp;Season=2014-15&amp;flag=1&amp;title=Leonard%2017'%20Jump%20Shot%20(13%20PTS)%20(Ginobili%206%20AST)", "Leonard 17' Jump Shot (13 PTS) (Ginobili 6 AST)")</f>
        <v>Leonard 17' Jump Shot (13 PTS) (Ginobili 6 AST)</v>
      </c>
      <c r="K251" s="2" t="str">
        <f>HYPERLINK("https://www.nba.com/game/...-vs-...-0021400314/play-by-play?watchFullGame=true", "SAS vs UTA - Q3 00:51.90")</f>
        <v>SAS vs UTA - Q3 00:51.90</v>
      </c>
      <c r="L251">
        <v>17</v>
      </c>
      <c r="M251">
        <v>-171</v>
      </c>
      <c r="N251">
        <v>-11</v>
      </c>
      <c r="O251">
        <v>-171</v>
      </c>
      <c r="P251">
        <v>-11</v>
      </c>
    </row>
    <row r="252" spans="1:16" x14ac:dyDescent="0.25">
      <c r="A252">
        <v>22000501</v>
      </c>
      <c r="B252">
        <v>2020</v>
      </c>
      <c r="C252" t="s">
        <v>32</v>
      </c>
      <c r="D252" t="s">
        <v>19</v>
      </c>
      <c r="E252">
        <v>51</v>
      </c>
      <c r="F252">
        <v>51</v>
      </c>
      <c r="G252">
        <v>2</v>
      </c>
      <c r="H252" s="1">
        <v>1.5509259259259259E-3</v>
      </c>
      <c r="I252" t="s">
        <v>23</v>
      </c>
      <c r="J252" s="2" t="str">
        <f>HYPERLINK("https://www.nba.com/stats/events?CFID=&amp;CFPARAMS=&amp;GameEventID=287&amp;GameID=0022000501&amp;Season=2020-21&amp;flag=1&amp;title=Leonard%2017'%20Jump%20Shot%20(11%20PTS)%20(P.%20Beverley%202%20AST)", "17' Jump Shot (11 PTS) (P. Beverley 2 AST)")</f>
        <v>17' Jump Shot (11 PTS) (P. Beverley 2 AST)</v>
      </c>
      <c r="K252" s="2" t="str">
        <f>HYPERLINK("https://www.nba.com/game/...-vs-...-0022000501/play-by-play?watchFullGame=true", "LAC vs MEM - Q2 02:14.00")</f>
        <v>LAC vs MEM - Q2 02:14.00</v>
      </c>
      <c r="L252">
        <v>17.309999999999999</v>
      </c>
      <c r="M252">
        <v>91.67</v>
      </c>
      <c r="N252">
        <v>15.76</v>
      </c>
      <c r="O252">
        <v>-171</v>
      </c>
      <c r="P252">
        <v>26</v>
      </c>
    </row>
    <row r="253" spans="1:16" x14ac:dyDescent="0.25">
      <c r="A253">
        <v>22000966</v>
      </c>
      <c r="B253">
        <v>2020</v>
      </c>
      <c r="C253" t="s">
        <v>32</v>
      </c>
      <c r="D253" t="s">
        <v>19</v>
      </c>
      <c r="E253">
        <v>34</v>
      </c>
      <c r="F253">
        <v>34</v>
      </c>
      <c r="G253">
        <v>2</v>
      </c>
      <c r="H253" s="1">
        <v>6.6782407407407407E-3</v>
      </c>
      <c r="I253" t="s">
        <v>23</v>
      </c>
      <c r="J253" s="2" t="str">
        <f>HYPERLINK("https://www.nba.com/stats/events?CFID=&amp;CFPARAMS=&amp;GameEventID=171&amp;GameID=0022000966&amp;Season=2020-21&amp;flag=1&amp;title=Leonard%2021'%20step%20back%20Jump%20Shot%20(9%20PTS)", "21' step back Jump Shot (9 PTS)")</f>
        <v>21' step back Jump Shot (9 PTS)</v>
      </c>
      <c r="K253" s="2" t="str">
        <f>HYPERLINK("https://www.nba.com/game/...-vs-...-0022000966/play-by-play?watchFullGame=true", "LAC vs DEN - Q2 09:37.00")</f>
        <v>LAC vs DEN - Q2 09:37.00</v>
      </c>
      <c r="L253">
        <v>21.32</v>
      </c>
      <c r="M253">
        <v>80.900000000000006</v>
      </c>
      <c r="N253">
        <v>15.76</v>
      </c>
      <c r="O253">
        <v>-171</v>
      </c>
      <c r="P253">
        <v>127</v>
      </c>
    </row>
    <row r="254" spans="1:16" x14ac:dyDescent="0.25">
      <c r="A254">
        <v>21301084</v>
      </c>
      <c r="B254">
        <v>2013</v>
      </c>
      <c r="C254" t="s">
        <v>16</v>
      </c>
      <c r="D254" t="s">
        <v>19</v>
      </c>
      <c r="E254">
        <v>38</v>
      </c>
      <c r="F254">
        <v>58</v>
      </c>
      <c r="G254">
        <v>2</v>
      </c>
      <c r="H254" s="1">
        <v>1.2962962962962963E-3</v>
      </c>
      <c r="I254" t="s">
        <v>18</v>
      </c>
      <c r="J254" s="2" t="str">
        <f>HYPERLINK("https://www.nba.com/stats/events?CFID=&amp;CFPARAMS=&amp;GameEventID=235&amp;GameID=0021301084&amp;Season=2013-14&amp;flag=1&amp;title=Leonard%2025'%203PT%20Jump%20Shot%20(12%20PTS)%20(Splitter%204%20AST)", "Leonard 25' 3PT Jump Shot (12 PTS) (Splitter 4 AST)")</f>
        <v>Leonard 25' 3PT Jump Shot (12 PTS) (Splitter 4 AST)</v>
      </c>
      <c r="K254" s="2" t="str">
        <f>HYPERLINK("https://www.nba.com/game/...-vs-...-0021301084/play-by-play?watchFullGame=true", "SAS vs DEN - Q2 01:52.00")</f>
        <v>SAS vs DEN - Q2 01:52.00</v>
      </c>
      <c r="L254">
        <v>25</v>
      </c>
      <c r="M254">
        <v>-171</v>
      </c>
      <c r="N254">
        <v>178</v>
      </c>
      <c r="O254">
        <v>-171</v>
      </c>
      <c r="P254">
        <v>178</v>
      </c>
    </row>
    <row r="255" spans="1:16" x14ac:dyDescent="0.25">
      <c r="A255">
        <v>22201082</v>
      </c>
      <c r="B255">
        <v>2022</v>
      </c>
      <c r="C255" t="s">
        <v>32</v>
      </c>
      <c r="D255" t="s">
        <v>19</v>
      </c>
      <c r="E255">
        <v>81</v>
      </c>
      <c r="F255">
        <v>78</v>
      </c>
      <c r="G255">
        <v>3</v>
      </c>
      <c r="H255" s="1">
        <v>9.7222222222222219E-4</v>
      </c>
      <c r="I255" t="s">
        <v>23</v>
      </c>
      <c r="J255" s="2" t="str">
        <f>HYPERLINK("https://www.nba.com/stats/events?CFID=&amp;CFPARAMS=&amp;GameEventID=490&amp;GameID=0022201082&amp;Season=2022-23&amp;flag=1&amp;title=Leonard%2017'%20Jump%20Shot%20(17%20PTS)", "17' Jump Shot (17 PTS)")</f>
        <v>17' Jump Shot (17 PTS)</v>
      </c>
      <c r="K255" s="2" t="str">
        <f>HYPERLINK("https://www.nba.com/game/...-vs-...-0022201082/play-by-play?watchFullGame=true", "LAC vs OKC - Q3 01:24.00")</f>
        <v>LAC vs OKC - Q3 01:24.00</v>
      </c>
      <c r="L255">
        <v>17.61</v>
      </c>
      <c r="M255">
        <v>10.38</v>
      </c>
      <c r="N255">
        <v>84.05</v>
      </c>
      <c r="O255">
        <v>-170</v>
      </c>
      <c r="P255">
        <v>45</v>
      </c>
    </row>
    <row r="256" spans="1:16" x14ac:dyDescent="0.25">
      <c r="A256">
        <v>22300511</v>
      </c>
      <c r="B256">
        <v>2023</v>
      </c>
      <c r="C256" t="s">
        <v>16</v>
      </c>
      <c r="D256" t="s">
        <v>19</v>
      </c>
      <c r="E256">
        <v>16</v>
      </c>
      <c r="F256">
        <v>12</v>
      </c>
      <c r="G256">
        <v>1</v>
      </c>
      <c r="H256" s="1">
        <v>5.0578703703703706E-3</v>
      </c>
      <c r="I256" t="s">
        <v>23</v>
      </c>
      <c r="J256" s="2" t="str">
        <f>HYPERLINK("https://www.nba.com/stats/events?CFID=&amp;CFPARAMS=&amp;GameEventID=54&amp;GameID=0022300511&amp;Season=2023-24&amp;flag=1&amp;title=Leonard%2025'%203PT%20%20(7%20PTS)", "25' 3PT  (7 PTS)")</f>
        <v>25' 3PT  (7 PTS)</v>
      </c>
      <c r="K256" s="2" t="str">
        <f>HYPERLINK("https://www.nba.com/game/...-vs-...-0022300511/play-by-play?watchFullGame=true", "LAC vs PHX - Q1 07:17.00")</f>
        <v>LAC vs PHX - Q1 07:17.00</v>
      </c>
      <c r="L256">
        <v>25.82</v>
      </c>
      <c r="M256">
        <v>73.77</v>
      </c>
      <c r="N256">
        <v>15.93</v>
      </c>
      <c r="O256">
        <v>-170</v>
      </c>
      <c r="P256">
        <v>194</v>
      </c>
    </row>
    <row r="257" spans="1:16" x14ac:dyDescent="0.25">
      <c r="A257">
        <v>22201004</v>
      </c>
      <c r="B257">
        <v>2022</v>
      </c>
      <c r="C257" t="s">
        <v>16</v>
      </c>
      <c r="D257" t="s">
        <v>19</v>
      </c>
      <c r="E257">
        <v>71</v>
      </c>
      <c r="F257">
        <v>70</v>
      </c>
      <c r="G257">
        <v>3</v>
      </c>
      <c r="H257" s="1">
        <v>2.4189814814814816E-3</v>
      </c>
      <c r="I257" t="s">
        <v>23</v>
      </c>
      <c r="J257" s="2" t="str">
        <f>HYPERLINK("https://www.nba.com/stats/events?CFID=&amp;CFPARAMS=&amp;GameEventID=405&amp;GameID=0022201004&amp;Season=2022-23&amp;flag=1&amp;title=Leonard%2026'%203PT%20%20(26%20PTS)%20(P.%20George%205%20AST)", "26' 3PT  (26 PTS) (P. George 5 AST)")</f>
        <v>26' 3PT  (26 PTS) (P. George 5 AST)</v>
      </c>
      <c r="K257" s="2" t="str">
        <f>HYPERLINK("https://www.nba.com/game/...-vs-...-0022201004/play-by-play?watchFullGame=true", "LAC vs NYK - Q3 03:29.00")</f>
        <v>LAC vs NYK - Q3 03:29.00</v>
      </c>
      <c r="L257">
        <v>26.08</v>
      </c>
      <c r="M257">
        <v>26.59</v>
      </c>
      <c r="N257">
        <v>84.07</v>
      </c>
      <c r="O257">
        <v>-170</v>
      </c>
      <c r="P257">
        <v>197</v>
      </c>
    </row>
    <row r="258" spans="1:16" x14ac:dyDescent="0.25">
      <c r="A258">
        <v>22300646</v>
      </c>
      <c r="B258">
        <v>2023</v>
      </c>
      <c r="C258" t="s">
        <v>16</v>
      </c>
      <c r="D258" t="s">
        <v>19</v>
      </c>
      <c r="E258">
        <v>9</v>
      </c>
      <c r="F258">
        <v>9</v>
      </c>
      <c r="G258">
        <v>1</v>
      </c>
      <c r="H258" s="1">
        <v>4.5717592592592589E-3</v>
      </c>
      <c r="I258" t="s">
        <v>23</v>
      </c>
      <c r="J258" s="2" t="str">
        <f>HYPERLINK("https://www.nba.com/stats/events?CFID=&amp;CFPARAMS=&amp;GameEventID=70&amp;GameID=0022300646&amp;Season=2023-24&amp;flag=1&amp;title=Leonard%2027'%203PT%20%20(5%20PTS)%20(T.%20Mann%202%20AST)", "27' 3PT  (5 PTS) (T. Mann 2 AST)")</f>
        <v>27' 3PT  (5 PTS) (T. Mann 2 AST)</v>
      </c>
      <c r="K258" s="2" t="str">
        <f>HYPERLINK("https://www.nba.com/game/...-vs-...-0022300646/play-by-play?watchFullGame=true", "LAC vs BOS - Q1 06:35.00")</f>
        <v>LAC vs BOS - Q1 06:35.00</v>
      </c>
      <c r="L258">
        <v>27.6</v>
      </c>
      <c r="M258">
        <v>71.3</v>
      </c>
      <c r="N258">
        <v>15.93</v>
      </c>
      <c r="O258">
        <v>-170</v>
      </c>
      <c r="P258">
        <v>217</v>
      </c>
    </row>
    <row r="259" spans="1:16" x14ac:dyDescent="0.25">
      <c r="A259">
        <v>21601011</v>
      </c>
      <c r="B259">
        <v>2016</v>
      </c>
      <c r="C259" t="s">
        <v>32</v>
      </c>
      <c r="D259" t="s">
        <v>19</v>
      </c>
      <c r="E259">
        <v>48</v>
      </c>
      <c r="F259">
        <v>43</v>
      </c>
      <c r="G259">
        <v>2</v>
      </c>
      <c r="H259" s="1">
        <v>2.2337962962962962E-3</v>
      </c>
      <c r="I259" t="s">
        <v>18</v>
      </c>
      <c r="J259" s="2" t="str">
        <f>HYPERLINK("https://www.nba.com/stats/events?CFID=&amp;CFPARAMS=&amp;GameEventID=189&amp;GameID=0021601011&amp;Season=2016-17&amp;flag=1&amp;title=Leonard%2017'%20Jump%20Shot%20(10%20PTS)", "Leonard 17' Jump Shot (10 PTS)")</f>
        <v>Leonard 17' Jump Shot (10 PTS)</v>
      </c>
      <c r="K259" s="2" t="str">
        <f>HYPERLINK("https://www.nba.com/game/...-vs-...-0021601011/play-by-play?watchFullGame=true", "SAS vs POR - Q2 03:13.00")</f>
        <v>SAS vs POR - Q2 03:13.00</v>
      </c>
      <c r="L259">
        <v>17</v>
      </c>
      <c r="M259">
        <v>-169</v>
      </c>
      <c r="N259">
        <v>28</v>
      </c>
      <c r="O259">
        <v>-169</v>
      </c>
      <c r="P259">
        <v>28</v>
      </c>
    </row>
    <row r="260" spans="1:16" x14ac:dyDescent="0.25">
      <c r="A260">
        <v>21300170</v>
      </c>
      <c r="B260">
        <v>2013</v>
      </c>
      <c r="C260" t="s">
        <v>32</v>
      </c>
      <c r="D260" t="s">
        <v>19</v>
      </c>
      <c r="E260">
        <v>41</v>
      </c>
      <c r="F260">
        <v>39</v>
      </c>
      <c r="G260">
        <v>2</v>
      </c>
      <c r="H260" s="1">
        <v>1.9907407407407408E-3</v>
      </c>
      <c r="I260" t="s">
        <v>18</v>
      </c>
      <c r="J260" s="2" t="str">
        <f>HYPERLINK("https://www.nba.com/stats/events?CFID=&amp;CFPARAMS=&amp;GameEventID=195&amp;GameID=0021300170&amp;Season=2013-14&amp;flag=1&amp;title=Leonard%2021'%20Jump%20Shot%20(4%20PTS)%20(Duncan%202%20AST)", "Leonard 21' Jump Shot (4 PTS) (Duncan 2 AST)")</f>
        <v>Leonard 21' Jump Shot (4 PTS) (Duncan 2 AST)</v>
      </c>
      <c r="K260" s="2" t="str">
        <f>HYPERLINK("https://www.nba.com/game/...-vs-...-0021300170/play-by-play?watchFullGame=true", "SAS vs BOS - Q2 02:52.00")</f>
        <v>SAS vs BOS - Q2 02:52.00</v>
      </c>
      <c r="L260">
        <v>21</v>
      </c>
      <c r="M260">
        <v>-169</v>
      </c>
      <c r="N260">
        <v>129</v>
      </c>
      <c r="O260">
        <v>-169</v>
      </c>
      <c r="P260">
        <v>129</v>
      </c>
    </row>
    <row r="261" spans="1:16" x14ac:dyDescent="0.25">
      <c r="A261">
        <v>41300143</v>
      </c>
      <c r="B261" t="s">
        <v>26</v>
      </c>
      <c r="C261" t="s">
        <v>16</v>
      </c>
      <c r="D261" t="s">
        <v>19</v>
      </c>
      <c r="E261">
        <v>85</v>
      </c>
      <c r="F261">
        <v>85</v>
      </c>
      <c r="G261">
        <v>4</v>
      </c>
      <c r="H261" s="1">
        <v>6.145833333333333E-3</v>
      </c>
      <c r="I261" t="s">
        <v>18</v>
      </c>
      <c r="J261" s="2" t="str">
        <f>HYPERLINK("https://www.nba.com/stats/events?CFID=&amp;CFPARAMS=&amp;GameEventID=417&amp;GameID=0041300143&amp;Season=2013-14&amp;flag=1&amp;title=Leonard%2025'%203PT%20Jump%20Shot%20(14%20PTS)%20(Mills%203%20AST)", "Leonard 25' 3PT Jump Shot (14 PTS) (Mills 3 AST)")</f>
        <v>Leonard 25' 3PT Jump Shot (14 PTS) (Mills 3 AST)</v>
      </c>
      <c r="K261" s="2" t="str">
        <f>HYPERLINK("https://www.nba.com/game/...-vs-...-0041300143/play-by-play?watchFullGame=true", "SAS vs DAL - Q4 08:51.00")</f>
        <v>SAS vs DAL - Q4 08:51.00</v>
      </c>
      <c r="L261">
        <v>25</v>
      </c>
      <c r="M261">
        <v>-169</v>
      </c>
      <c r="N261">
        <v>179</v>
      </c>
      <c r="O261">
        <v>-169</v>
      </c>
      <c r="P261">
        <v>179</v>
      </c>
    </row>
    <row r="262" spans="1:16" x14ac:dyDescent="0.25">
      <c r="A262">
        <v>22400859</v>
      </c>
      <c r="B262">
        <v>2024</v>
      </c>
      <c r="C262" t="s">
        <v>16</v>
      </c>
      <c r="D262" t="s">
        <v>19</v>
      </c>
      <c r="E262">
        <v>2</v>
      </c>
      <c r="F262">
        <v>8</v>
      </c>
      <c r="G262">
        <v>1</v>
      </c>
      <c r="H262" s="1">
        <v>7.1412037037037034E-3</v>
      </c>
      <c r="I262" t="s">
        <v>23</v>
      </c>
      <c r="J262" s="2" t="str">
        <f>HYPERLINK("https://www.nba.com/stats/events?CFID=&amp;CFPARAMS=&amp;GameEventID=17&amp;GameID=0022400859&amp;Season=2024-25&amp;flag=1&amp;title=Leonard%2026'%203PT%20%20(6%20PTS)%20(Dunn%201%20AST)", "26' 3PT  (6 PTS) (K. Dunn 1 AST)")</f>
        <v>26' 3PT  (6 PTS) (K. Dunn 1 AST)</v>
      </c>
      <c r="K262" s="2" t="str">
        <f>HYPERLINK("https://www.nba.com/game/...-vs-...-0022400859/play-by-play?watchFullGame=true", "LAC vs LAL - Q1 10:17.00")</f>
        <v>LAC vs LAL - Q1 10:17.00</v>
      </c>
      <c r="L262">
        <v>26.11</v>
      </c>
      <c r="M262">
        <v>73.239999999999995</v>
      </c>
      <c r="N262">
        <v>16.18</v>
      </c>
      <c r="O262">
        <v>-169</v>
      </c>
      <c r="P262">
        <v>199</v>
      </c>
    </row>
    <row r="263" spans="1:16" x14ac:dyDescent="0.25">
      <c r="A263">
        <v>41600232</v>
      </c>
      <c r="B263" t="s">
        <v>30</v>
      </c>
      <c r="C263" t="s">
        <v>32</v>
      </c>
      <c r="D263" t="s">
        <v>31</v>
      </c>
      <c r="E263">
        <v>7</v>
      </c>
      <c r="F263">
        <v>4</v>
      </c>
      <c r="G263">
        <v>1</v>
      </c>
      <c r="H263" s="1">
        <v>7.1296296296296299E-3</v>
      </c>
      <c r="I263" t="s">
        <v>18</v>
      </c>
      <c r="J263" s="2" t="str">
        <f>HYPERLINK("https://www.nba.com/stats/events?CFID=&amp;CFPARAMS=&amp;GameEventID=10&amp;GameID=0041600232&amp;Season=2016-17&amp;flag=1&amp;title=Leonard%2017'%20Step%20Back%20Jump%20Shot%20(5%20PTS)%20(Parker%201%20AST)", "Leonard 17' Step Back Jump Shot (5 PTS) (Parker 1 AST)")</f>
        <v>Leonard 17' Step Back Jump Shot (5 PTS) (Parker 1 AST)</v>
      </c>
      <c r="K263" s="2" t="str">
        <f>HYPERLINK("https://www.nba.com/game/...-vs-...-0041600232/play-by-play?watchFullGame=true", "SAS vs HOU - Q1 10:16.00")</f>
        <v>SAS vs HOU - Q1 10:16.00</v>
      </c>
      <c r="L263">
        <v>17</v>
      </c>
      <c r="M263">
        <v>-168</v>
      </c>
      <c r="N263">
        <v>-11</v>
      </c>
      <c r="O263">
        <v>-168</v>
      </c>
      <c r="P263">
        <v>-11</v>
      </c>
    </row>
    <row r="264" spans="1:16" x14ac:dyDescent="0.25">
      <c r="A264">
        <v>21600825</v>
      </c>
      <c r="B264">
        <v>2016</v>
      </c>
      <c r="C264" t="s">
        <v>32</v>
      </c>
      <c r="D264" t="s">
        <v>19</v>
      </c>
      <c r="E264">
        <v>97</v>
      </c>
      <c r="F264">
        <v>98</v>
      </c>
      <c r="G264">
        <v>4</v>
      </c>
      <c r="H264" s="1">
        <v>2.5231481481481481E-3</v>
      </c>
      <c r="I264" t="s">
        <v>18</v>
      </c>
      <c r="J264" s="2" t="str">
        <f>HYPERLINK("https://www.nba.com/stats/events?CFID=&amp;CFPARAMS=&amp;GameEventID=478&amp;GameID=0021600825&amp;Season=2016-17&amp;flag=1&amp;title=Leonard%2017'%20Jump%20Shot%20(29%20PTS)%20(Dedmon%201%20AST)", "Leonard 17' Jump Shot (29 PTS) (Dedmon 1 AST)")</f>
        <v>Leonard 17' Jump Shot (29 PTS) (Dedmon 1 AST)</v>
      </c>
      <c r="K264" s="2" t="str">
        <f>HYPERLINK("https://www.nba.com/game/...-vs-...-0021600825/play-by-play?watchFullGame=true", "SAS vs IND - Q4 03:38.00")</f>
        <v>SAS vs IND - Q4 03:38.00</v>
      </c>
      <c r="L264">
        <v>17</v>
      </c>
      <c r="M264">
        <v>-168</v>
      </c>
      <c r="N264">
        <v>11</v>
      </c>
      <c r="O264">
        <v>-168</v>
      </c>
      <c r="P264">
        <v>11</v>
      </c>
    </row>
    <row r="265" spans="1:16" x14ac:dyDescent="0.25">
      <c r="A265">
        <v>22300897</v>
      </c>
      <c r="B265">
        <v>2023</v>
      </c>
      <c r="C265" t="s">
        <v>32</v>
      </c>
      <c r="D265" t="s">
        <v>19</v>
      </c>
      <c r="E265">
        <v>10</v>
      </c>
      <c r="F265">
        <v>9</v>
      </c>
      <c r="G265">
        <v>1</v>
      </c>
      <c r="H265" s="1">
        <v>4.7800925925925927E-3</v>
      </c>
      <c r="I265" t="s">
        <v>23</v>
      </c>
      <c r="J265" s="2" t="str">
        <f>HYPERLINK("https://www.nba.com/stats/events?CFID=&amp;CFPARAMS=&amp;GameEventID=55&amp;GameID=0022300897&amp;Season=2023-24&amp;flag=1&amp;title=Leonard%2020'%20Jump%20Shot%20(2%20PTS)", "20' Jump Shot (2 PTS)")</f>
        <v>20' Jump Shot (2 PTS)</v>
      </c>
      <c r="K265" s="2" t="str">
        <f>HYPERLINK("https://www.nba.com/game/...-vs-...-0022300897/play-by-play?watchFullGame=true", "LAC vs HOU - Q1 06:53.00")</f>
        <v>LAC vs HOU - Q1 06:53.00</v>
      </c>
      <c r="L265">
        <v>20.54</v>
      </c>
      <c r="M265">
        <v>81.819999999999993</v>
      </c>
      <c r="N265">
        <v>16.420000000000002</v>
      </c>
      <c r="O265">
        <v>-168</v>
      </c>
      <c r="P265">
        <v>118</v>
      </c>
    </row>
    <row r="266" spans="1:16" x14ac:dyDescent="0.25">
      <c r="A266">
        <v>21400757</v>
      </c>
      <c r="B266">
        <v>2014</v>
      </c>
      <c r="C266" t="s">
        <v>16</v>
      </c>
      <c r="D266" t="s">
        <v>19</v>
      </c>
      <c r="E266">
        <v>37</v>
      </c>
      <c r="F266">
        <v>30</v>
      </c>
      <c r="G266">
        <v>2</v>
      </c>
      <c r="H266" s="1">
        <v>5.0115740740740737E-3</v>
      </c>
      <c r="I266" t="s">
        <v>18</v>
      </c>
      <c r="J266" s="2" t="str">
        <f>HYPERLINK("https://www.nba.com/stats/events?CFID=&amp;CFPARAMS=&amp;GameEventID=145&amp;GameID=0021400757&amp;Season=2014-15&amp;flag=1&amp;title=Leonard%2024'%203PT%20Jump%20Shot%20(11%20PTS)%20(Belinelli%202%20AST)", "Leonard 24' 3PT Jump Shot (11 PTS) (Belinelli 2 AST)")</f>
        <v>Leonard 24' 3PT Jump Shot (11 PTS) (Belinelli 2 AST)</v>
      </c>
      <c r="K266" s="2" t="str">
        <f>HYPERLINK("https://www.nba.com/game/...-vs-...-0021400757/play-by-play?watchFullGame=true", "SAS vs MIA - Q2 07:13.00")</f>
        <v>SAS vs MIA - Q2 07:13.00</v>
      </c>
      <c r="L266">
        <v>24</v>
      </c>
      <c r="M266">
        <v>-168</v>
      </c>
      <c r="N266">
        <v>172</v>
      </c>
      <c r="O266">
        <v>-168</v>
      </c>
      <c r="P266">
        <v>172</v>
      </c>
    </row>
    <row r="267" spans="1:16" x14ac:dyDescent="0.25">
      <c r="A267">
        <v>21501063</v>
      </c>
      <c r="B267">
        <v>2015</v>
      </c>
      <c r="C267" t="s">
        <v>16</v>
      </c>
      <c r="D267" t="s">
        <v>29</v>
      </c>
      <c r="E267">
        <v>12</v>
      </c>
      <c r="F267">
        <v>4</v>
      </c>
      <c r="G267">
        <v>1</v>
      </c>
      <c r="H267" s="1">
        <v>5.1736111111111115E-3</v>
      </c>
      <c r="I267" t="s">
        <v>18</v>
      </c>
      <c r="J267" s="2" t="str">
        <f>HYPERLINK("https://www.nba.com/stats/events?CFID=&amp;CFPARAMS=&amp;GameEventID=34&amp;GameID=0021501063&amp;Season=2015-16&amp;flag=1&amp;title=Leonard%2025'%203PT%20Pullup%20Jump%20Shot%20(8%20PTS)", "Leonard 25' 3PT Pullup Jump Shot (8 PTS)")</f>
        <v>Leonard 25' 3PT Pullup Jump Shot (8 PTS)</v>
      </c>
      <c r="K267" s="2" t="str">
        <f>HYPERLINK("https://www.nba.com/game/...-vs-...-0021501063/play-by-play?watchFullGame=true", "SAS vs MIA - Q1 07:27.00")</f>
        <v>SAS vs MIA - Q1 07:27.00</v>
      </c>
      <c r="L267">
        <v>25</v>
      </c>
      <c r="M267">
        <v>-168</v>
      </c>
      <c r="N267">
        <v>185</v>
      </c>
      <c r="O267">
        <v>-168</v>
      </c>
      <c r="P267">
        <v>185</v>
      </c>
    </row>
    <row r="268" spans="1:16" x14ac:dyDescent="0.25">
      <c r="A268">
        <v>22000061</v>
      </c>
      <c r="B268">
        <v>2020</v>
      </c>
      <c r="C268" t="s">
        <v>16</v>
      </c>
      <c r="D268" t="s">
        <v>19</v>
      </c>
      <c r="E268">
        <v>28</v>
      </c>
      <c r="F268">
        <v>16</v>
      </c>
      <c r="G268">
        <v>1</v>
      </c>
      <c r="H268" s="1">
        <v>2.9166666666666668E-3</v>
      </c>
      <c r="I268" t="s">
        <v>23</v>
      </c>
      <c r="J268" s="2" t="str">
        <f>HYPERLINK("https://www.nba.com/stats/events?CFID=&amp;CFPARAMS=&amp;GameEventID=84&amp;GameID=0022000061&amp;Season=2020-21&amp;flag=1&amp;title=Leonard%2025'%203PT%20%20(6%20PTS)%20(P.%20George%205%20AST)", "25' 3PT  (6 PTS) (P. George 5 AST)")</f>
        <v>25' 3PT  (6 PTS) (P. George 5 AST)</v>
      </c>
      <c r="K268" s="2" t="str">
        <f>HYPERLINK("https://www.nba.com/game/...-vs-...-0022000061/play-by-play?watchFullGame=true", "LAC vs POR - Q1 04:12.00")</f>
        <v>LAC vs POR - Q1 04:12.00</v>
      </c>
      <c r="L268">
        <v>25.31</v>
      </c>
      <c r="M268">
        <v>25.71</v>
      </c>
      <c r="N268">
        <v>83.65</v>
      </c>
      <c r="O268">
        <v>-168</v>
      </c>
      <c r="P268">
        <v>189</v>
      </c>
    </row>
    <row r="269" spans="1:16" x14ac:dyDescent="0.25">
      <c r="A269">
        <v>21300952</v>
      </c>
      <c r="B269">
        <v>2013</v>
      </c>
      <c r="C269" t="s">
        <v>16</v>
      </c>
      <c r="D269" t="s">
        <v>19</v>
      </c>
      <c r="E269">
        <v>0</v>
      </c>
      <c r="F269">
        <v>5</v>
      </c>
      <c r="G269">
        <v>1</v>
      </c>
      <c r="H269" s="1">
        <v>7.0254629629629634E-3</v>
      </c>
      <c r="I269" t="s">
        <v>18</v>
      </c>
      <c r="J269" s="2" t="str">
        <f>HYPERLINK("https://www.nba.com/stats/events?CFID=&amp;CFPARAMS=&amp;GameEventID=12&amp;GameID=0021300952&amp;Season=2013-14&amp;flag=1&amp;title=Leonard%2025'%203PT%20Jump%20Shot%20(3%20PTS)%20(Parker%201%20AST)", "Leonard 25' 3PT Jump Shot (3 PTS) (Parker 1 AST)")</f>
        <v>Leonard 25' 3PT Jump Shot (3 PTS) (Parker 1 AST)</v>
      </c>
      <c r="K269" s="2" t="str">
        <f>HYPERLINK("https://www.nba.com/game/...-vs-...-0021300952/play-by-play?watchFullGame=true", "SAS vs CHI - Q1 10:07.00")</f>
        <v>SAS vs CHI - Q1 10:07.00</v>
      </c>
      <c r="L269">
        <v>25</v>
      </c>
      <c r="M269">
        <v>-168</v>
      </c>
      <c r="N269">
        <v>190</v>
      </c>
      <c r="O269">
        <v>-168</v>
      </c>
      <c r="P269">
        <v>190</v>
      </c>
    </row>
    <row r="270" spans="1:16" x14ac:dyDescent="0.25">
      <c r="A270">
        <v>22000009</v>
      </c>
      <c r="B270">
        <v>2020</v>
      </c>
      <c r="C270" t="s">
        <v>32</v>
      </c>
      <c r="D270" t="s">
        <v>19</v>
      </c>
      <c r="E270">
        <v>46</v>
      </c>
      <c r="F270">
        <v>63</v>
      </c>
      <c r="G270">
        <v>2</v>
      </c>
      <c r="H270" s="1">
        <v>1.9791666666666668E-3</v>
      </c>
      <c r="I270" t="s">
        <v>23</v>
      </c>
      <c r="J270" s="2" t="str">
        <f>HYPERLINK("https://www.nba.com/stats/events?CFID=&amp;CFPARAMS=&amp;GameEventID=338&amp;GameID=0022000009&amp;Season=2020-21&amp;flag=1&amp;title=Leonard%2016'%20step%20back%20Jump%20Shot%20(10%20PTS)", "16' step back Jump Shot (10 PTS)")</f>
        <v>16' step back Jump Shot (10 PTS)</v>
      </c>
      <c r="K270" s="2" t="str">
        <f>HYPERLINK("https://www.nba.com/game/...-vs-...-0022000009/play-by-play?watchFullGame=true", "LAC vs DEN - Q2 02:51.00")</f>
        <v>LAC vs DEN - Q2 02:51.00</v>
      </c>
      <c r="L270">
        <v>16.73</v>
      </c>
      <c r="M270">
        <v>6.65</v>
      </c>
      <c r="N270">
        <v>83.4</v>
      </c>
      <c r="O270">
        <v>-167</v>
      </c>
      <c r="P270">
        <v>10</v>
      </c>
    </row>
    <row r="271" spans="1:16" x14ac:dyDescent="0.25">
      <c r="A271">
        <v>21400139</v>
      </c>
      <c r="B271">
        <v>2014</v>
      </c>
      <c r="C271" t="s">
        <v>32</v>
      </c>
      <c r="D271" t="s">
        <v>33</v>
      </c>
      <c r="E271">
        <v>33</v>
      </c>
      <c r="F271">
        <v>36</v>
      </c>
      <c r="G271">
        <v>2</v>
      </c>
      <c r="H271" s="1">
        <v>3.8657407407407408E-3</v>
      </c>
      <c r="I271" t="s">
        <v>18</v>
      </c>
      <c r="J271" s="2" t="str">
        <f>HYPERLINK("https://www.nba.com/stats/events?CFID=&amp;CFPARAMS=&amp;GameEventID=173&amp;GameID=0021400139&amp;Season=2014-15&amp;flag=1&amp;title=Leonard%2017'%20Fadeaway%20Jumper%20(6%20PTS)", "Leonard 17' Fadeaway Jumper (6 PTS)")</f>
        <v>Leonard 17' Fadeaway Jumper (6 PTS)</v>
      </c>
      <c r="K271" s="2" t="str">
        <f>HYPERLINK("https://www.nba.com/game/...-vs-...-0021400139/play-by-play?watchFullGame=true", "SAS vs SAC - Q2 05:34.00")</f>
        <v>SAS vs SAC - Q2 05:34.00</v>
      </c>
      <c r="L271">
        <v>17</v>
      </c>
      <c r="M271">
        <v>-166</v>
      </c>
      <c r="N271">
        <v>11</v>
      </c>
      <c r="O271">
        <v>-166</v>
      </c>
      <c r="P271">
        <v>11</v>
      </c>
    </row>
    <row r="272" spans="1:16" x14ac:dyDescent="0.25">
      <c r="A272">
        <v>41300141</v>
      </c>
      <c r="B272" t="s">
        <v>26</v>
      </c>
      <c r="C272" t="s">
        <v>32</v>
      </c>
      <c r="D272" t="s">
        <v>19</v>
      </c>
      <c r="E272">
        <v>52</v>
      </c>
      <c r="F272">
        <v>51</v>
      </c>
      <c r="G272">
        <v>3</v>
      </c>
      <c r="H272" s="1">
        <v>5.2893518518518515E-3</v>
      </c>
      <c r="I272" t="s">
        <v>18</v>
      </c>
      <c r="J272" s="2" t="str">
        <f>HYPERLINK("https://www.nba.com/stats/events?CFID=&amp;CFPARAMS=&amp;GameEventID=261&amp;GameID=0041300141&amp;Season=2013-14&amp;flag=1&amp;title=Leonard%2019'%20Jump%20Shot%20(9%20PTS)%20(Parker%203%20AST)", "Leonard 19' Jump Shot (9 PTS) (Parker 3 AST)")</f>
        <v>Leonard 19' Jump Shot (9 PTS) (Parker 3 AST)</v>
      </c>
      <c r="K272" s="2" t="str">
        <f>HYPERLINK("https://www.nba.com/game/...-vs-...-0041300141/play-by-play?watchFullGame=true", "SAS vs DAL - Q3 07:37.00")</f>
        <v>SAS vs DAL - Q3 07:37.00</v>
      </c>
      <c r="L272">
        <v>19</v>
      </c>
      <c r="M272">
        <v>-166</v>
      </c>
      <c r="N272">
        <v>83</v>
      </c>
      <c r="O272">
        <v>-166</v>
      </c>
      <c r="P272">
        <v>83</v>
      </c>
    </row>
    <row r="273" spans="1:16" x14ac:dyDescent="0.25">
      <c r="A273">
        <v>21300117</v>
      </c>
      <c r="B273">
        <v>2013</v>
      </c>
      <c r="C273" t="s">
        <v>32</v>
      </c>
      <c r="D273" t="s">
        <v>24</v>
      </c>
      <c r="E273">
        <v>56</v>
      </c>
      <c r="F273">
        <v>46</v>
      </c>
      <c r="G273">
        <v>3</v>
      </c>
      <c r="H273" s="1">
        <v>6.0648148148148145E-3</v>
      </c>
      <c r="I273" t="s">
        <v>18</v>
      </c>
      <c r="J273" s="2" t="str">
        <f>HYPERLINK("https://www.nba.com/stats/events?CFID=&amp;CFPARAMS=&amp;GameEventID=255&amp;GameID=0021300117&amp;Season=2013-14&amp;flag=1&amp;title=Leonard%2020'%20Turnaround%20Jump%20Shot%20(13%20PTS)", "Leonard 20' Turnaround Jump Shot (13 PTS)")</f>
        <v>Leonard 20' Turnaround Jump Shot (13 PTS)</v>
      </c>
      <c r="K273" s="2" t="str">
        <f>HYPERLINK("https://www.nba.com/game/...-vs-...-0021300117/play-by-play?watchFullGame=true", "SAS vs WAS - Q3 08:44.00")</f>
        <v>SAS vs WAS - Q3 08:44.00</v>
      </c>
      <c r="L273">
        <v>20</v>
      </c>
      <c r="M273">
        <v>-166</v>
      </c>
      <c r="N273">
        <v>113</v>
      </c>
      <c r="O273">
        <v>-166</v>
      </c>
      <c r="P273">
        <v>113</v>
      </c>
    </row>
    <row r="274" spans="1:16" x14ac:dyDescent="0.25">
      <c r="A274">
        <v>41600235</v>
      </c>
      <c r="B274" t="s">
        <v>30</v>
      </c>
      <c r="C274" t="s">
        <v>16</v>
      </c>
      <c r="D274" t="s">
        <v>29</v>
      </c>
      <c r="E274">
        <v>15</v>
      </c>
      <c r="F274">
        <v>9</v>
      </c>
      <c r="G274">
        <v>1</v>
      </c>
      <c r="H274" s="1">
        <v>5.7523148148148151E-3</v>
      </c>
      <c r="I274" t="s">
        <v>18</v>
      </c>
      <c r="J274" s="2" t="str">
        <f>HYPERLINK("https://www.nba.com/stats/events?CFID=&amp;CFPARAMS=&amp;GameEventID=28&amp;GameID=0041600235&amp;Season=2016-17&amp;flag=1&amp;title=Leonard%2024'%203PT%20Pullup%20Jump%20Shot%20(3%20PTS)%20(Green%201%20AST)", "Leonard 24' 3PT Pullup Jump Shot (3 PTS) (Green 1 AST)")</f>
        <v>Leonard 24' 3PT Pullup Jump Shot (3 PTS) (Green 1 AST)</v>
      </c>
      <c r="K274" s="2" t="str">
        <f>HYPERLINK("https://www.nba.com/game/...-vs-...-0041600235/play-by-play?watchFullGame=true", "SAS vs HOU - Q1 08:17.00")</f>
        <v>SAS vs HOU - Q1 08:17.00</v>
      </c>
      <c r="L274">
        <v>24</v>
      </c>
      <c r="M274">
        <v>-166</v>
      </c>
      <c r="N274">
        <v>174</v>
      </c>
      <c r="O274">
        <v>-166</v>
      </c>
      <c r="P274">
        <v>174</v>
      </c>
    </row>
    <row r="275" spans="1:16" x14ac:dyDescent="0.25">
      <c r="A275">
        <v>21300952</v>
      </c>
      <c r="B275">
        <v>2013</v>
      </c>
      <c r="C275" t="s">
        <v>16</v>
      </c>
      <c r="D275" t="s">
        <v>19</v>
      </c>
      <c r="E275">
        <v>14</v>
      </c>
      <c r="F275">
        <v>33</v>
      </c>
      <c r="G275">
        <v>1</v>
      </c>
      <c r="H275" s="1">
        <v>9.7222222222222219E-4</v>
      </c>
      <c r="I275" t="s">
        <v>18</v>
      </c>
      <c r="J275" s="2" t="str">
        <f>HYPERLINK("https://www.nba.com/stats/events?CFID=&amp;CFPARAMS=&amp;GameEventID=87&amp;GameID=0021300952&amp;Season=2013-14&amp;flag=1&amp;title=Leonard%2025'%203PT%20Jump%20Shot%20(10%20PTS)%20(Parker%204%20AST)", "Leonard 25' 3PT Jump Shot (10 PTS) (Parker 4 AST)")</f>
        <v>Leonard 25' 3PT Jump Shot (10 PTS) (Parker 4 AST)</v>
      </c>
      <c r="K275" s="2" t="str">
        <f>HYPERLINK("https://www.nba.com/game/...-vs-...-0021300952/play-by-play?watchFullGame=true", "SAS vs CHI - Q1 01:24.00")</f>
        <v>SAS vs CHI - Q1 01:24.00</v>
      </c>
      <c r="L275">
        <v>25</v>
      </c>
      <c r="M275">
        <v>-166</v>
      </c>
      <c r="N275">
        <v>187</v>
      </c>
      <c r="O275">
        <v>-166</v>
      </c>
      <c r="P275">
        <v>187</v>
      </c>
    </row>
    <row r="276" spans="1:16" x14ac:dyDescent="0.25">
      <c r="A276">
        <v>21600994</v>
      </c>
      <c r="B276">
        <v>2016</v>
      </c>
      <c r="C276" t="s">
        <v>32</v>
      </c>
      <c r="D276" t="s">
        <v>19</v>
      </c>
      <c r="E276">
        <v>23</v>
      </c>
      <c r="F276">
        <v>17</v>
      </c>
      <c r="G276">
        <v>1</v>
      </c>
      <c r="H276" s="1">
        <v>1.261574074074074E-3</v>
      </c>
      <c r="I276" t="s">
        <v>18</v>
      </c>
      <c r="J276" s="2" t="str">
        <f>HYPERLINK("https://www.nba.com/stats/events?CFID=&amp;CFPARAMS=&amp;GameEventID=89&amp;GameID=0021600994&amp;Season=2016-17&amp;flag=1&amp;title=Leonard%2017'%20Jump%20Shot%20(9%20PTS)%20(Forbes%201%20AST)", "Leonard 17' Jump Shot (9 PTS) (Forbes 1 AST)")</f>
        <v>Leonard 17' Jump Shot (9 PTS) (Forbes 1 AST)</v>
      </c>
      <c r="K276" s="2" t="str">
        <f>HYPERLINK("https://www.nba.com/game/...-vs-...-0021600994/play-by-play?watchFullGame=true", "SAS vs ATL - Q1 01:49.00")</f>
        <v>SAS vs ATL - Q1 01:49.00</v>
      </c>
      <c r="L276">
        <v>17</v>
      </c>
      <c r="M276">
        <v>-165</v>
      </c>
      <c r="N276">
        <v>-16</v>
      </c>
      <c r="O276">
        <v>-165</v>
      </c>
      <c r="P276">
        <v>-16</v>
      </c>
    </row>
    <row r="277" spans="1:16" x14ac:dyDescent="0.25">
      <c r="A277">
        <v>21500379</v>
      </c>
      <c r="B277">
        <v>2015</v>
      </c>
      <c r="C277" t="s">
        <v>32</v>
      </c>
      <c r="D277" t="s">
        <v>19</v>
      </c>
      <c r="E277">
        <v>63</v>
      </c>
      <c r="F277">
        <v>56</v>
      </c>
      <c r="G277">
        <v>3</v>
      </c>
      <c r="H277" s="1">
        <v>6.1574074074074074E-3</v>
      </c>
      <c r="I277" t="s">
        <v>18</v>
      </c>
      <c r="J277" s="2" t="str">
        <f>HYPERLINK("https://www.nba.com/stats/events?CFID=&amp;CFPARAMS=&amp;GameEventID=310&amp;GameID=0021500379&amp;Season=2015-16&amp;flag=1&amp;title=Leonard%2017'%20Jump%20Shot%20(17%20PTS)", "Leonard 17' Jump Shot (17 PTS)")</f>
        <v>Leonard 17' Jump Shot (17 PTS)</v>
      </c>
      <c r="K277" s="2" t="str">
        <f>HYPERLINK("https://www.nba.com/game/...-vs-...-0021500379/play-by-play?watchFullGame=true", "SAS vs WAS - Q3 08:52.00")</f>
        <v>SAS vs WAS - Q3 08:52.00</v>
      </c>
      <c r="L277">
        <v>17</v>
      </c>
      <c r="M277">
        <v>-165</v>
      </c>
      <c r="N277">
        <v>33</v>
      </c>
      <c r="O277">
        <v>-165</v>
      </c>
      <c r="P277">
        <v>33</v>
      </c>
    </row>
    <row r="278" spans="1:16" x14ac:dyDescent="0.25">
      <c r="A278">
        <v>21500235</v>
      </c>
      <c r="B278">
        <v>2015</v>
      </c>
      <c r="C278" t="s">
        <v>32</v>
      </c>
      <c r="D278" t="s">
        <v>19</v>
      </c>
      <c r="E278">
        <v>36</v>
      </c>
      <c r="F278">
        <v>31</v>
      </c>
      <c r="G278">
        <v>2</v>
      </c>
      <c r="H278" s="1">
        <v>3.6689814814814814E-3</v>
      </c>
      <c r="I278" t="s">
        <v>18</v>
      </c>
      <c r="J278" s="2" t="str">
        <f>HYPERLINK("https://www.nba.com/stats/events?CFID=&amp;CFPARAMS=&amp;GameEventID=184&amp;GameID=0021500235&amp;Season=2015-16&amp;flag=1&amp;title=Leonard%2017'%20Jump%20Shot%20(6%20PTS)%20(Parker%203%20AST)", "Leonard 17' Jump Shot (6 PTS) (Parker 3 AST)")</f>
        <v>Leonard 17' Jump Shot (6 PTS) (Parker 3 AST)</v>
      </c>
      <c r="K278" s="2" t="str">
        <f>HYPERLINK("https://www.nba.com/game/...-vs-...-0021500235/play-by-play?watchFullGame=true", "SAS vs DEN - Q2 05:17.00")</f>
        <v>SAS vs DEN - Q2 05:17.00</v>
      </c>
      <c r="L278">
        <v>17</v>
      </c>
      <c r="M278">
        <v>-165</v>
      </c>
      <c r="N278">
        <v>36</v>
      </c>
      <c r="O278">
        <v>-165</v>
      </c>
      <c r="P278">
        <v>36</v>
      </c>
    </row>
    <row r="279" spans="1:16" x14ac:dyDescent="0.25">
      <c r="A279">
        <v>21500235</v>
      </c>
      <c r="B279">
        <v>2015</v>
      </c>
      <c r="C279" t="s">
        <v>32</v>
      </c>
      <c r="D279" t="s">
        <v>24</v>
      </c>
      <c r="E279">
        <v>13</v>
      </c>
      <c r="F279">
        <v>10</v>
      </c>
      <c r="G279">
        <v>1</v>
      </c>
      <c r="H279" s="1">
        <v>2.7314814814814814E-3</v>
      </c>
      <c r="I279" t="s">
        <v>18</v>
      </c>
      <c r="J279" s="2" t="str">
        <f>HYPERLINK("https://www.nba.com/stats/events?CFID=&amp;CFPARAMS=&amp;GameEventID=69&amp;GameID=0021500235&amp;Season=2015-16&amp;flag=1&amp;title=Leonard%2017'%20Turnaround%20Jump%20Shot%20(2%20PTS)", "Leonard 17' Turnaround Jump Shot (2 PTS)")</f>
        <v>Leonard 17' Turnaround Jump Shot (2 PTS)</v>
      </c>
      <c r="K279" s="2" t="str">
        <f>HYPERLINK("https://www.nba.com/game/...-vs-...-0021500235/play-by-play?watchFullGame=true", "SAS vs DEN - Q1 03:56.00")</f>
        <v>SAS vs DEN - Q1 03:56.00</v>
      </c>
      <c r="L279">
        <v>17</v>
      </c>
      <c r="M279">
        <v>-165</v>
      </c>
      <c r="N279">
        <v>46</v>
      </c>
      <c r="O279">
        <v>-165</v>
      </c>
      <c r="P279">
        <v>46</v>
      </c>
    </row>
    <row r="280" spans="1:16" x14ac:dyDescent="0.25">
      <c r="A280">
        <v>21900499</v>
      </c>
      <c r="B280">
        <v>2019</v>
      </c>
      <c r="C280" t="s">
        <v>16</v>
      </c>
      <c r="D280" t="s">
        <v>22</v>
      </c>
      <c r="E280">
        <v>35</v>
      </c>
      <c r="F280">
        <v>52</v>
      </c>
      <c r="G280">
        <v>2</v>
      </c>
      <c r="H280" s="1">
        <v>2.3148148148148147E-3</v>
      </c>
      <c r="I280" t="s">
        <v>23</v>
      </c>
      <c r="J280" s="2" t="str">
        <f>HYPERLINK("https://www.nba.com/stats/events?CFID=&amp;CFPARAMS=&amp;GameEventID=285&amp;GameID=0021900499&amp;Season=2019-20&amp;flag=1&amp;title=Leonard%2026'%203PT%20%20(8%20PTS)%20(P.%20George%206%20AST)", "26' 3PT  (8 PTS) (P. George 6 AST)")</f>
        <v>26' 3PT  (8 PTS) (P. George 6 AST)</v>
      </c>
      <c r="K280" s="2" t="str">
        <f>HYPERLINK("https://www.nba.com/game/...-vs-...-0021900499/play-by-play?watchFullGame=true", "LAC vs SAC - Q2 03:20.00")</f>
        <v>LAC vs SAC - Q2 03:20.00</v>
      </c>
      <c r="L280">
        <v>25.88</v>
      </c>
      <c r="M280">
        <v>73.8</v>
      </c>
      <c r="N280">
        <v>16.98</v>
      </c>
      <c r="O280">
        <v>-165</v>
      </c>
      <c r="P280">
        <v>194</v>
      </c>
    </row>
    <row r="281" spans="1:16" x14ac:dyDescent="0.25">
      <c r="A281">
        <v>22400486</v>
      </c>
      <c r="B281">
        <v>2024</v>
      </c>
      <c r="C281" t="s">
        <v>16</v>
      </c>
      <c r="D281" t="s">
        <v>19</v>
      </c>
      <c r="E281">
        <v>55</v>
      </c>
      <c r="F281">
        <v>39</v>
      </c>
      <c r="G281">
        <v>2</v>
      </c>
      <c r="H281" s="1">
        <v>3.4953703703703705E-3</v>
      </c>
      <c r="I281" t="s">
        <v>23</v>
      </c>
      <c r="J281" s="2" t="str">
        <f>HYPERLINK("https://www.nba.com/stats/events?CFID=&amp;CFPARAMS=&amp;GameEventID=268&amp;GameID=0022400486&amp;Season=2024-25&amp;flag=1&amp;title=Leonard%2027'%203PT%20running%20(6%20PTS)%20(J.%20Harden%208%20AST)", "27' 3PT running (6 PTS) (J. Harden 8 AST)")</f>
        <v>27' 3PT running (6 PTS) (J. Harden 8 AST)</v>
      </c>
      <c r="K281" s="2" t="str">
        <f>HYPERLINK("https://www.nba.com/game/...-vs-...-0022400486/play-by-play?watchFullGame=true", "LAC vs ATL - Q2 05:02.00")</f>
        <v>LAC vs ATL - Q2 05:02.00</v>
      </c>
      <c r="L281">
        <v>27.9</v>
      </c>
      <c r="M281">
        <v>70.52</v>
      </c>
      <c r="N281">
        <v>16.91</v>
      </c>
      <c r="O281">
        <v>-165</v>
      </c>
      <c r="P281">
        <v>225</v>
      </c>
    </row>
    <row r="282" spans="1:16" x14ac:dyDescent="0.25">
      <c r="A282">
        <v>21401057</v>
      </c>
      <c r="B282">
        <v>2014</v>
      </c>
      <c r="C282" t="s">
        <v>32</v>
      </c>
      <c r="D282" t="s">
        <v>29</v>
      </c>
      <c r="E282">
        <v>11</v>
      </c>
      <c r="F282">
        <v>21</v>
      </c>
      <c r="G282">
        <v>1</v>
      </c>
      <c r="H282" s="1">
        <v>2.1759259259259258E-3</v>
      </c>
      <c r="I282" t="s">
        <v>18</v>
      </c>
      <c r="J282" s="2" t="str">
        <f>HYPERLINK("https://www.nba.com/stats/events?CFID=&amp;CFPARAMS=&amp;GameEventID=75&amp;GameID=0021401057&amp;Season=2014-15&amp;flag=1&amp;title=Leonard%2017'%20Pullup%20Jump%20Shot%20(4%20PTS)", "Leonard 17' Pullup Jump Shot (4 PTS)")</f>
        <v>Leonard 17' Pullup Jump Shot (4 PTS)</v>
      </c>
      <c r="K282" s="2" t="str">
        <f>HYPERLINK("https://www.nba.com/game/...-vs-...-0021401057/play-by-play?watchFullGame=true", "SAS vs DAL - Q1 03:08.00")</f>
        <v>SAS vs DAL - Q1 03:08.00</v>
      </c>
      <c r="L282">
        <v>17</v>
      </c>
      <c r="M282">
        <v>-164</v>
      </c>
      <c r="N282">
        <v>19</v>
      </c>
      <c r="O282">
        <v>-164</v>
      </c>
      <c r="P282">
        <v>19</v>
      </c>
    </row>
    <row r="283" spans="1:16" x14ac:dyDescent="0.25">
      <c r="A283">
        <v>22300637</v>
      </c>
      <c r="B283">
        <v>2023</v>
      </c>
      <c r="C283" t="s">
        <v>16</v>
      </c>
      <c r="D283" t="s">
        <v>19</v>
      </c>
      <c r="E283">
        <v>68</v>
      </c>
      <c r="F283">
        <v>87</v>
      </c>
      <c r="G283">
        <v>3</v>
      </c>
      <c r="H283" s="1">
        <v>3.2986111111111111E-3</v>
      </c>
      <c r="I283" t="s">
        <v>23</v>
      </c>
      <c r="J283" s="2" t="str">
        <f>HYPERLINK("https://www.nba.com/stats/events?CFID=&amp;CFPARAMS=&amp;GameEventID=412&amp;GameID=0022300637&amp;Season=2023-24&amp;flag=1&amp;title=Leonard%2025'%203PT%20%20(16%20PTS)%20(J.%20Harden%209%20AST)", "25' 3PT  (16 PTS) (J. Harden 9 AST)")</f>
        <v>25' 3PT  (16 PTS) (J. Harden 9 AST)</v>
      </c>
      <c r="K283" s="2" t="str">
        <f>HYPERLINK("https://www.nba.com/game/...-vs-...-0022300637/play-by-play?watchFullGame=true", "LAC vs TOR - Q3 04:45.00")</f>
        <v>LAC vs TOR - Q3 04:45.00</v>
      </c>
      <c r="L283">
        <v>25.23</v>
      </c>
      <c r="M283">
        <v>25.97</v>
      </c>
      <c r="N283">
        <v>82.84</v>
      </c>
      <c r="O283">
        <v>-164</v>
      </c>
      <c r="P283">
        <v>192</v>
      </c>
    </row>
    <row r="284" spans="1:16" x14ac:dyDescent="0.25">
      <c r="A284">
        <v>21900292</v>
      </c>
      <c r="B284">
        <v>2019</v>
      </c>
      <c r="C284" t="s">
        <v>16</v>
      </c>
      <c r="D284" t="s">
        <v>22</v>
      </c>
      <c r="E284">
        <v>85</v>
      </c>
      <c r="F284">
        <v>63</v>
      </c>
      <c r="G284">
        <v>3</v>
      </c>
      <c r="H284" s="1">
        <v>7.5925925925925926E-3</v>
      </c>
      <c r="I284" t="s">
        <v>23</v>
      </c>
      <c r="J284" s="2" t="str">
        <f>HYPERLINK("https://www.nba.com/stats/events?CFID=&amp;CFPARAMS=&amp;GameEventID=401&amp;GameID=0021900292&amp;Season=2019-20&amp;flag=1&amp;title=Leonard%2026'%203PT%20%20(17%20PTS)%20(M.%20Harkless%201%20AST)", "26' 3PT  (17 PTS) (M. Harkless 1 AST)")</f>
        <v>26' 3PT  (17 PTS) (M. Harkless 1 AST)</v>
      </c>
      <c r="K284" s="2" t="str">
        <f>HYPERLINK("https://www.nba.com/game/...-vs-...-0021900292/play-by-play?watchFullGame=true", "LAC vs WAS - Q3 10:56.00")</f>
        <v>LAC vs WAS - Q3 10:56.00</v>
      </c>
      <c r="L284">
        <v>25.99</v>
      </c>
      <c r="M284">
        <v>26.46</v>
      </c>
      <c r="N284">
        <v>82.77</v>
      </c>
      <c r="O284">
        <v>-164</v>
      </c>
      <c r="P284">
        <v>196</v>
      </c>
    </row>
    <row r="285" spans="1:16" x14ac:dyDescent="0.25">
      <c r="A285">
        <v>21501043</v>
      </c>
      <c r="B285">
        <v>2015</v>
      </c>
      <c r="C285" t="s">
        <v>32</v>
      </c>
      <c r="D285" t="s">
        <v>29</v>
      </c>
      <c r="E285">
        <v>43</v>
      </c>
      <c r="F285">
        <v>55</v>
      </c>
      <c r="G285">
        <v>3</v>
      </c>
      <c r="H285" s="1">
        <v>6.8171296296296296E-3</v>
      </c>
      <c r="I285" t="s">
        <v>18</v>
      </c>
      <c r="J285" s="2" t="str">
        <f>HYPERLINK("https://www.nba.com/stats/events?CFID=&amp;CFPARAMS=&amp;GameEventID=288&amp;GameID=0021501043&amp;Season=2015-16&amp;flag=1&amp;title=Leonard%2018'%20Pullup%20Jump%20Shot%20(7%20PTS)%20(Aldridge%203%20AST)", "Leonard 18' Pullup Jump Shot (7 PTS) (Aldridge 3 AST)")</f>
        <v>Leonard 18' Pullup Jump Shot (7 PTS) (Aldridge 3 AST)</v>
      </c>
      <c r="K285" s="2" t="str">
        <f>HYPERLINK("https://www.nba.com/game/...-vs-...-0021501043/play-by-play?watchFullGame=true", "SAS vs CHA - Q3 09:49.00")</f>
        <v>SAS vs CHA - Q3 09:49.00</v>
      </c>
      <c r="L285">
        <v>18</v>
      </c>
      <c r="M285">
        <v>-163</v>
      </c>
      <c r="N285">
        <v>85</v>
      </c>
      <c r="O285">
        <v>-163</v>
      </c>
      <c r="P285">
        <v>85</v>
      </c>
    </row>
    <row r="286" spans="1:16" x14ac:dyDescent="0.25">
      <c r="A286">
        <v>22201096</v>
      </c>
      <c r="B286">
        <v>2022</v>
      </c>
      <c r="C286" t="s">
        <v>32</v>
      </c>
      <c r="D286" t="s">
        <v>19</v>
      </c>
      <c r="E286">
        <v>103</v>
      </c>
      <c r="F286">
        <v>85</v>
      </c>
      <c r="G286">
        <v>4</v>
      </c>
      <c r="H286" s="1">
        <v>6.1805555555555555E-3</v>
      </c>
      <c r="I286" t="s">
        <v>23</v>
      </c>
      <c r="J286" s="2" t="str">
        <f>HYPERLINK("https://www.nba.com/stats/events?CFID=&amp;CFPARAMS=&amp;GameEventID=505&amp;GameID=0022201096&amp;Season=2022-23&amp;flag=1&amp;title=Leonard%2016'%20turnaround%20fadeaway%20Jump%20Shot%20(32%20PTS)", "16' turnaround fadeaway Jump Shot (32 PTS)")</f>
        <v>16' turnaround fadeaway Jump Shot (32 PTS)</v>
      </c>
      <c r="K286" s="2" t="str">
        <f>HYPERLINK("https://www.nba.com/game/...-vs-...-0022201096/play-by-play?watchFullGame=true", "LAC vs OKC - Q4 08:54.00")</f>
        <v>LAC vs OKC - Q4 08:54.00</v>
      </c>
      <c r="L286">
        <v>16.95</v>
      </c>
      <c r="M286">
        <v>10.96</v>
      </c>
      <c r="N286">
        <v>82.35</v>
      </c>
      <c r="O286">
        <v>-162</v>
      </c>
      <c r="P286">
        <v>50</v>
      </c>
    </row>
    <row r="287" spans="1:16" x14ac:dyDescent="0.25">
      <c r="A287">
        <v>22201162</v>
      </c>
      <c r="B287">
        <v>2022</v>
      </c>
      <c r="C287" t="s">
        <v>16</v>
      </c>
      <c r="D287" t="s">
        <v>19</v>
      </c>
      <c r="E287">
        <v>105</v>
      </c>
      <c r="F287">
        <v>102</v>
      </c>
      <c r="G287">
        <v>4</v>
      </c>
      <c r="H287" s="1">
        <v>4.0393518518518521E-3</v>
      </c>
      <c r="I287" t="s">
        <v>23</v>
      </c>
      <c r="J287" s="2" t="str">
        <f>HYPERLINK("https://www.nba.com/stats/events?CFID=&amp;CFPARAMS=&amp;GameEventID=558&amp;GameID=0022201162&amp;Season=2022-23&amp;flag=1&amp;title=Leonard%2025'%203PT%20%20(34%20PTS)%20(R.%20Westbrook%208%20AST)", "25' 3PT  (34 PTS) (R. Westbrook 8 AST)")</f>
        <v>25' 3PT  (34 PTS) (R. Westbrook 8 AST)</v>
      </c>
      <c r="K287" s="2" t="str">
        <f>HYPERLINK("https://www.nba.com/game/...-vs-...-0022201162/play-by-play?watchFullGame=true", "LAC vs NOP - Q4 05:49.00")</f>
        <v>LAC vs NOP - Q4 05:49.00</v>
      </c>
      <c r="L287">
        <v>25.65</v>
      </c>
      <c r="M287">
        <v>26.76</v>
      </c>
      <c r="N287">
        <v>82.35</v>
      </c>
      <c r="O287">
        <v>-162</v>
      </c>
      <c r="P287">
        <v>199</v>
      </c>
    </row>
    <row r="288" spans="1:16" x14ac:dyDescent="0.25">
      <c r="A288">
        <v>21400921</v>
      </c>
      <c r="B288">
        <v>2014</v>
      </c>
      <c r="C288" t="s">
        <v>32</v>
      </c>
      <c r="D288" t="s">
        <v>19</v>
      </c>
      <c r="E288">
        <v>115</v>
      </c>
      <c r="F288">
        <v>107</v>
      </c>
      <c r="G288">
        <v>4</v>
      </c>
      <c r="H288" s="1">
        <v>6.9444444444444447E-4</v>
      </c>
      <c r="I288" t="s">
        <v>18</v>
      </c>
      <c r="J288" s="2" t="str">
        <f>HYPERLINK("https://www.nba.com/stats/events?CFID=&amp;CFPARAMS=&amp;GameEventID=509&amp;GameID=0021400921&amp;Season=2014-15&amp;flag=1&amp;title=Leonard%2016'%20Jump%20Shot%20(25%20PTS)%20(Ginobili%202%20AST)", "Leonard 16' Jump Shot (25 PTS) (Ginobili 2 AST)")</f>
        <v>Leonard 16' Jump Shot (25 PTS) (Ginobili 2 AST)</v>
      </c>
      <c r="K288" s="2" t="str">
        <f>HYPERLINK("https://www.nba.com/game/...-vs-...-0021400921/play-by-play?watchFullGame=true", "SAS vs DEN - Q4 01:00.00")</f>
        <v>SAS vs DEN - Q4 01:00.00</v>
      </c>
      <c r="L288">
        <v>16</v>
      </c>
      <c r="M288">
        <v>-161</v>
      </c>
      <c r="N288">
        <v>23</v>
      </c>
      <c r="O288">
        <v>-161</v>
      </c>
      <c r="P288">
        <v>23</v>
      </c>
    </row>
    <row r="289" spans="1:16" x14ac:dyDescent="0.25">
      <c r="A289">
        <v>21600077</v>
      </c>
      <c r="B289">
        <v>2016</v>
      </c>
      <c r="C289" t="s">
        <v>32</v>
      </c>
      <c r="D289" t="s">
        <v>29</v>
      </c>
      <c r="E289">
        <v>55</v>
      </c>
      <c r="F289">
        <v>69</v>
      </c>
      <c r="G289">
        <v>3</v>
      </c>
      <c r="H289" s="1">
        <v>4.6180555555555558E-3</v>
      </c>
      <c r="I289" t="s">
        <v>18</v>
      </c>
      <c r="J289" s="2" t="str">
        <f>HYPERLINK("https://www.nba.com/stats/events?CFID=&amp;CFPARAMS=&amp;GameEventID=310&amp;GameID=0021600077&amp;Season=2016-17&amp;flag=1&amp;title=Leonard%2018'%20Pullup%20Jump%20Shot%20(21%20PTS)", "Leonard 18' Pullup Jump Shot (21 PTS)")</f>
        <v>Leonard 18' Pullup Jump Shot (21 PTS)</v>
      </c>
      <c r="K289" s="2" t="str">
        <f>HYPERLINK("https://www.nba.com/game/...-vs-...-0021600077/play-by-play?watchFullGame=true", "SAS vs UTA - Q3 06:39.00")</f>
        <v>SAS vs UTA - Q3 06:39.00</v>
      </c>
      <c r="L289">
        <v>18</v>
      </c>
      <c r="M289">
        <v>-161</v>
      </c>
      <c r="N289">
        <v>85</v>
      </c>
      <c r="O289">
        <v>-161</v>
      </c>
      <c r="P289">
        <v>85</v>
      </c>
    </row>
    <row r="290" spans="1:16" x14ac:dyDescent="0.25">
      <c r="A290">
        <v>21301127</v>
      </c>
      <c r="B290">
        <v>2013</v>
      </c>
      <c r="C290" t="s">
        <v>32</v>
      </c>
      <c r="D290" t="s">
        <v>19</v>
      </c>
      <c r="E290">
        <v>15</v>
      </c>
      <c r="F290">
        <v>24</v>
      </c>
      <c r="G290">
        <v>1</v>
      </c>
      <c r="H290" s="1">
        <v>1.3541666666666667E-3</v>
      </c>
      <c r="I290" t="s">
        <v>18</v>
      </c>
      <c r="J290" s="2" t="str">
        <f>HYPERLINK("https://www.nba.com/stats/events?CFID=&amp;CFPARAMS=&amp;GameEventID=109&amp;GameID=0021301127&amp;Season=2013-14&amp;flag=1&amp;title=Leonard%2019'%20Jump%20Shot%20(6%20PTS)", "Leonard 19' Jump Shot (6 PTS)")</f>
        <v>Leonard 19' Jump Shot (6 PTS)</v>
      </c>
      <c r="K290" s="2" t="str">
        <f>HYPERLINK("https://www.nba.com/game/...-vs-...-0021301127/play-by-play?watchFullGame=true", "SAS vs OKC - Q1 01:57.00")</f>
        <v>SAS vs OKC - Q1 01:57.00</v>
      </c>
      <c r="L290">
        <v>19</v>
      </c>
      <c r="M290">
        <v>-161</v>
      </c>
      <c r="N290">
        <v>101</v>
      </c>
      <c r="O290">
        <v>-161</v>
      </c>
      <c r="P290">
        <v>101</v>
      </c>
    </row>
    <row r="291" spans="1:16" x14ac:dyDescent="0.25">
      <c r="A291">
        <v>41300224</v>
      </c>
      <c r="B291" t="s">
        <v>26</v>
      </c>
      <c r="C291" t="s">
        <v>32</v>
      </c>
      <c r="D291" t="s">
        <v>19</v>
      </c>
      <c r="E291">
        <v>42</v>
      </c>
      <c r="F291">
        <v>40</v>
      </c>
      <c r="G291">
        <v>2</v>
      </c>
      <c r="H291" s="1">
        <v>3.0902777777777777E-3</v>
      </c>
      <c r="I291" t="s">
        <v>18</v>
      </c>
      <c r="J291" s="2" t="str">
        <f>HYPERLINK("https://www.nba.com/stats/events?CFID=&amp;CFPARAMS=&amp;GameEventID=211&amp;GameID=0041300224&amp;Season=2013-14&amp;flag=1&amp;title=Leonard%2020'%20Jump%20Shot%20(6%20PTS)", "Leonard 20' Jump Shot (6 PTS)")</f>
        <v>Leonard 20' Jump Shot (6 PTS)</v>
      </c>
      <c r="K291" s="2" t="str">
        <f>HYPERLINK("https://www.nba.com/game/...-vs-...-0041300224/play-by-play?watchFullGame=true", "SAS vs POR - Q2 04:27.00")</f>
        <v>SAS vs POR - Q2 04:27.00</v>
      </c>
      <c r="L291">
        <v>20</v>
      </c>
      <c r="M291">
        <v>-161</v>
      </c>
      <c r="N291">
        <v>126</v>
      </c>
      <c r="O291">
        <v>-161</v>
      </c>
      <c r="P291">
        <v>126</v>
      </c>
    </row>
    <row r="292" spans="1:16" x14ac:dyDescent="0.25">
      <c r="A292">
        <v>21901271</v>
      </c>
      <c r="B292">
        <v>2019</v>
      </c>
      <c r="C292" t="s">
        <v>32</v>
      </c>
      <c r="D292" t="s">
        <v>22</v>
      </c>
      <c r="E292">
        <v>108</v>
      </c>
      <c r="F292">
        <v>120</v>
      </c>
      <c r="G292">
        <v>4</v>
      </c>
      <c r="H292" s="1">
        <v>1.1921296296296296E-3</v>
      </c>
      <c r="I292" t="s">
        <v>23</v>
      </c>
      <c r="J292" s="2" t="str">
        <f>HYPERLINK("https://www.nba.com/stats/events?CFID=&amp;CFPARAMS=&amp;GameEventID=615&amp;GameID=0021901271&amp;Season=2019-20&amp;flag=1&amp;title=Leonard%2023'%20jumpshot%20(29%20PTS)", "23' jumpshot (29 PTS)")</f>
        <v>23' jumpshot (29 PTS)</v>
      </c>
      <c r="K292" s="2" t="str">
        <f>HYPERLINK("https://www.nba.com/game/...-vs-...-0021901271/play-by-play?watchFullGame=true", "LAC vs DAL - Q4 01:43.00")</f>
        <v>LAC vs DAL - Q4 01:43.00</v>
      </c>
      <c r="L292">
        <v>22.71</v>
      </c>
      <c r="M292">
        <v>78.010000000000005</v>
      </c>
      <c r="N292">
        <v>17.72</v>
      </c>
      <c r="O292">
        <v>-161</v>
      </c>
      <c r="P292">
        <v>154</v>
      </c>
    </row>
    <row r="293" spans="1:16" x14ac:dyDescent="0.25">
      <c r="A293">
        <v>41500231</v>
      </c>
      <c r="B293" t="s">
        <v>25</v>
      </c>
      <c r="C293" t="s">
        <v>32</v>
      </c>
      <c r="D293" t="s">
        <v>19</v>
      </c>
      <c r="E293">
        <v>23</v>
      </c>
      <c r="F293">
        <v>10</v>
      </c>
      <c r="G293">
        <v>1</v>
      </c>
      <c r="H293" s="1">
        <v>3.425925925925926E-3</v>
      </c>
      <c r="I293" t="s">
        <v>18</v>
      </c>
      <c r="J293" s="2" t="str">
        <f>HYPERLINK("https://www.nba.com/stats/events?CFID=&amp;CFPARAMS=&amp;GameEventID=61&amp;GameID=0041500231&amp;Season=2015-16&amp;flag=1&amp;title=Leonard%2022'%20Jump%20Shot%20(10%20PTS)%20(Parker%204%20AST)", "Leonard 22' Jump Shot (10 PTS) (Parker 4 AST)")</f>
        <v>Leonard 22' Jump Shot (10 PTS) (Parker 4 AST)</v>
      </c>
      <c r="K293" s="2" t="str">
        <f>HYPERLINK("https://www.nba.com/game/...-vs-...-0041500231/play-by-play?watchFullGame=true", "SAS vs OKC - Q1 04:56.00")</f>
        <v>SAS vs OKC - Q1 04:56.00</v>
      </c>
      <c r="L293">
        <v>22</v>
      </c>
      <c r="M293">
        <v>-161</v>
      </c>
      <c r="N293">
        <v>156</v>
      </c>
      <c r="O293">
        <v>-161</v>
      </c>
      <c r="P293">
        <v>156</v>
      </c>
    </row>
    <row r="294" spans="1:16" x14ac:dyDescent="0.25">
      <c r="A294">
        <v>21500742</v>
      </c>
      <c r="B294">
        <v>2015</v>
      </c>
      <c r="C294" t="s">
        <v>16</v>
      </c>
      <c r="D294" t="s">
        <v>19</v>
      </c>
      <c r="E294">
        <v>73</v>
      </c>
      <c r="F294">
        <v>71</v>
      </c>
      <c r="G294">
        <v>3</v>
      </c>
      <c r="H294" s="1">
        <v>2.0138888888888888E-3</v>
      </c>
      <c r="I294" t="s">
        <v>18</v>
      </c>
      <c r="J294" s="2" t="str">
        <f>HYPERLINK("https://www.nba.com/stats/events?CFID=&amp;CFPARAMS=&amp;GameEventID=326&amp;GameID=0021500742&amp;Season=2015-16&amp;flag=1&amp;title=Leonard%2025'%203PT%20Jump%20Shot%20(18%20PTS)%20(Mills%203%20AST)", "Leonard 25' 3PT Jump Shot (18 PTS) (Mills 3 AST)")</f>
        <v>Leonard 25' 3PT Jump Shot (18 PTS) (Mills 3 AST)</v>
      </c>
      <c r="K294" s="2" t="str">
        <f>HYPERLINK("https://www.nba.com/game/...-vs-...-0021500742/play-by-play?watchFullGame=true", "SAS vs NOP - Q3 02:54.00")</f>
        <v>SAS vs NOP - Q3 02:54.00</v>
      </c>
      <c r="L294">
        <v>25</v>
      </c>
      <c r="M294">
        <v>-161</v>
      </c>
      <c r="N294">
        <v>190</v>
      </c>
      <c r="O294">
        <v>-161</v>
      </c>
      <c r="P294">
        <v>190</v>
      </c>
    </row>
    <row r="295" spans="1:16" x14ac:dyDescent="0.25">
      <c r="A295">
        <v>22300350</v>
      </c>
      <c r="B295">
        <v>2023</v>
      </c>
      <c r="C295" t="s">
        <v>16</v>
      </c>
      <c r="D295" t="s">
        <v>19</v>
      </c>
      <c r="E295">
        <v>57</v>
      </c>
      <c r="F295">
        <v>67</v>
      </c>
      <c r="G295">
        <v>2</v>
      </c>
      <c r="H295" s="1">
        <v>2.4537037037037036E-3</v>
      </c>
      <c r="I295" t="s">
        <v>23</v>
      </c>
      <c r="J295" s="2" t="str">
        <f>HYPERLINK("https://www.nba.com/stats/events?CFID=&amp;CFPARAMS=&amp;GameEventID=282&amp;GameID=0022300350&amp;Season=2023-24&amp;flag=1&amp;title=Leonard%2025'%203PT%20%20(17%20PTS)%20(J.%20Harden%204%20AST)", "25' 3PT  (17 PTS) (J. Harden 4 AST)")</f>
        <v>25' 3PT  (17 PTS) (J. Harden 4 AST)</v>
      </c>
      <c r="K295" s="2" t="str">
        <f>HYPERLINK("https://www.nba.com/game/...-vs-...-0022300350/play-by-play?watchFullGame=true", "LAC vs IND - Q2 03:32.00")</f>
        <v>LAC vs IND - Q2 03:32.00</v>
      </c>
      <c r="L295">
        <v>25.06</v>
      </c>
      <c r="M295">
        <v>73.930000000000007</v>
      </c>
      <c r="N295">
        <v>17.89</v>
      </c>
      <c r="O295">
        <v>-161</v>
      </c>
      <c r="P295">
        <v>193</v>
      </c>
    </row>
    <row r="296" spans="1:16" x14ac:dyDescent="0.25">
      <c r="A296">
        <v>21600657</v>
      </c>
      <c r="B296">
        <v>2016</v>
      </c>
      <c r="C296" t="s">
        <v>16</v>
      </c>
      <c r="D296" t="s">
        <v>19</v>
      </c>
      <c r="E296">
        <v>89</v>
      </c>
      <c r="F296">
        <v>91</v>
      </c>
      <c r="G296">
        <v>4</v>
      </c>
      <c r="H296" s="1">
        <v>7.0023148148148145E-3</v>
      </c>
      <c r="I296" t="s">
        <v>18</v>
      </c>
      <c r="J296" s="2" t="str">
        <f>HYPERLINK("https://www.nba.com/stats/events?CFID=&amp;CFPARAMS=&amp;GameEventID=386&amp;GameID=0021600657&amp;Season=2016-17&amp;flag=1&amp;title=Leonard%2026'%203PT%20Jump%20Shot%20(30%20PTS)%20(Anderson%202%20AST)", "Leonard 26' 3PT Jump Shot (30 PTS) (Anderson 2 AST)")</f>
        <v>Leonard 26' 3PT Jump Shot (30 PTS) (Anderson 2 AST)</v>
      </c>
      <c r="K296" s="2" t="str">
        <f>HYPERLINK("https://www.nba.com/game/...-vs-...-0021600657/play-by-play?watchFullGame=true", "SAS vs CLE - Q4 10:05.00")</f>
        <v>SAS vs CLE - Q4 10:05.00</v>
      </c>
      <c r="L296">
        <v>26</v>
      </c>
      <c r="M296">
        <v>-161</v>
      </c>
      <c r="N296">
        <v>200</v>
      </c>
      <c r="O296">
        <v>-161</v>
      </c>
      <c r="P296">
        <v>200</v>
      </c>
    </row>
    <row r="297" spans="1:16" x14ac:dyDescent="0.25">
      <c r="A297">
        <v>21401028</v>
      </c>
      <c r="B297">
        <v>2014</v>
      </c>
      <c r="C297" t="s">
        <v>32</v>
      </c>
      <c r="D297" t="s">
        <v>29</v>
      </c>
      <c r="E297">
        <v>6</v>
      </c>
      <c r="F297">
        <v>2</v>
      </c>
      <c r="G297">
        <v>1</v>
      </c>
      <c r="H297" s="1">
        <v>7.3611111111111108E-3</v>
      </c>
      <c r="I297" t="s">
        <v>18</v>
      </c>
      <c r="J297" s="2" t="str">
        <f>HYPERLINK("https://www.nba.com/stats/events?CFID=&amp;CFPARAMS=&amp;GameEventID=14&amp;GameID=0021401028&amp;Season=2014-15&amp;flag=1&amp;title=Leonard%2016'%20Pullup%20Jump%20Shot%20(4%20PTS)", "Leonard 16' Pullup Jump Shot (4 PTS)")</f>
        <v>Leonard 16' Pullup Jump Shot (4 PTS)</v>
      </c>
      <c r="K297" s="2" t="str">
        <f>HYPERLINK("https://www.nba.com/game/...-vs-...-0021401028/play-by-play?watchFullGame=true", "SAS vs BOS - Q1 10:36.00")</f>
        <v>SAS vs BOS - Q1 10:36.00</v>
      </c>
      <c r="L297">
        <v>16</v>
      </c>
      <c r="M297">
        <v>-160</v>
      </c>
      <c r="N297">
        <v>7</v>
      </c>
      <c r="O297">
        <v>-160</v>
      </c>
      <c r="P297">
        <v>7</v>
      </c>
    </row>
    <row r="298" spans="1:16" x14ac:dyDescent="0.25">
      <c r="A298">
        <v>21601135</v>
      </c>
      <c r="B298">
        <v>2016</v>
      </c>
      <c r="C298" t="s">
        <v>32</v>
      </c>
      <c r="D298" t="s">
        <v>19</v>
      </c>
      <c r="E298">
        <v>16</v>
      </c>
      <c r="F298">
        <v>9</v>
      </c>
      <c r="G298">
        <v>1</v>
      </c>
      <c r="H298" s="1">
        <v>2.3495370370370371E-3</v>
      </c>
      <c r="I298" t="s">
        <v>18</v>
      </c>
      <c r="J298" s="2" t="str">
        <f>HYPERLINK("https://www.nba.com/stats/events?CFID=&amp;CFPARAMS=&amp;GameEventID=89&amp;GameID=0021601135&amp;Season=2016-17&amp;flag=1&amp;title=Leonard%2016'%20Jump%20Shot%20(2%20PTS)%20(Mills%201%20AST)", "Leonard 16' Jump Shot (2 PTS) (Mills 1 AST)")</f>
        <v>Leonard 16' Jump Shot (2 PTS) (Mills 1 AST)</v>
      </c>
      <c r="K298" s="2" t="str">
        <f>HYPERLINK("https://www.nba.com/game/...-vs-...-0021601135/play-by-play?watchFullGame=true", "SAS vs OKC - Q1 03:23.00")</f>
        <v>SAS vs OKC - Q1 03:23.00</v>
      </c>
      <c r="L298">
        <v>16</v>
      </c>
      <c r="M298">
        <v>-160</v>
      </c>
      <c r="N298">
        <v>11</v>
      </c>
      <c r="O298">
        <v>-160</v>
      </c>
      <c r="P298">
        <v>11</v>
      </c>
    </row>
    <row r="299" spans="1:16" x14ac:dyDescent="0.25">
      <c r="A299">
        <v>21600994</v>
      </c>
      <c r="B299">
        <v>2016</v>
      </c>
      <c r="C299" t="s">
        <v>32</v>
      </c>
      <c r="D299" t="s">
        <v>19</v>
      </c>
      <c r="E299">
        <v>67</v>
      </c>
      <c r="F299">
        <v>52</v>
      </c>
      <c r="G299">
        <v>3</v>
      </c>
      <c r="H299" s="1">
        <v>5.115740740740741E-3</v>
      </c>
      <c r="I299" t="s">
        <v>18</v>
      </c>
      <c r="J299" s="2" t="str">
        <f>HYPERLINK("https://www.nba.com/stats/events?CFID=&amp;CFPARAMS=&amp;GameEventID=313&amp;GameID=0021600994&amp;Season=2016-17&amp;flag=1&amp;title=Leonard%2017'%20Jump%20Shot%20(21%20PTS)%20(Lee%204%20AST)", "Leonard 17' Jump Shot (21 PTS) (Lee 4 AST)")</f>
        <v>Leonard 17' Jump Shot (21 PTS) (Lee 4 AST)</v>
      </c>
      <c r="K299" s="2" t="str">
        <f>HYPERLINK("https://www.nba.com/game/...-vs-...-0021600994/play-by-play?watchFullGame=true", "SAS vs ATL - Q3 07:22.00")</f>
        <v>SAS vs ATL - Q3 07:22.00</v>
      </c>
      <c r="L299">
        <v>17</v>
      </c>
      <c r="M299">
        <v>-160</v>
      </c>
      <c r="N299">
        <v>52</v>
      </c>
      <c r="O299">
        <v>-160</v>
      </c>
      <c r="P299">
        <v>52</v>
      </c>
    </row>
    <row r="300" spans="1:16" x14ac:dyDescent="0.25">
      <c r="A300">
        <v>21900589</v>
      </c>
      <c r="B300">
        <v>2019</v>
      </c>
      <c r="C300" t="s">
        <v>16</v>
      </c>
      <c r="D300" t="s">
        <v>22</v>
      </c>
      <c r="E300">
        <v>105</v>
      </c>
      <c r="F300">
        <v>97</v>
      </c>
      <c r="G300">
        <v>4</v>
      </c>
      <c r="H300" s="1">
        <v>2.7314814814814814E-3</v>
      </c>
      <c r="I300" t="s">
        <v>23</v>
      </c>
      <c r="J300" s="2" t="str">
        <f>HYPERLINK("https://www.nba.com/stats/events?CFID=&amp;CFPARAMS=&amp;GameEventID=607&amp;GameID=0021900589&amp;Season=2019-20&amp;flag=1&amp;title=Leonard%2025'%203PT%20%20(28%20PTS)%20(L.%20Shamet%202%20AST)", "25' 3PT  (28 PTS) (L. Shamet 2 AST)")</f>
        <v>25' 3PT  (28 PTS) (L. Shamet 2 AST)</v>
      </c>
      <c r="K300" s="2" t="str">
        <f>HYPERLINK("https://www.nba.com/game/...-vs-...-0021900589/play-by-play?watchFullGame=true", "LAC vs DEN - Q4 03:56.00")</f>
        <v>LAC vs DEN - Q4 03:56.00</v>
      </c>
      <c r="L300">
        <v>25.47</v>
      </c>
      <c r="M300">
        <v>73.930000000000007</v>
      </c>
      <c r="N300">
        <v>17.96</v>
      </c>
      <c r="O300">
        <v>-160</v>
      </c>
      <c r="P300">
        <v>193</v>
      </c>
    </row>
    <row r="301" spans="1:16" x14ac:dyDescent="0.25">
      <c r="A301">
        <v>21900499</v>
      </c>
      <c r="B301">
        <v>2019</v>
      </c>
      <c r="C301" t="s">
        <v>32</v>
      </c>
      <c r="D301" t="s">
        <v>22</v>
      </c>
      <c r="E301">
        <v>11</v>
      </c>
      <c r="F301">
        <v>10</v>
      </c>
      <c r="G301">
        <v>1</v>
      </c>
      <c r="H301" s="1">
        <v>3.9004629629629628E-3</v>
      </c>
      <c r="I301" t="s">
        <v>23</v>
      </c>
      <c r="J301" s="2" t="str">
        <f>HYPERLINK("https://www.nba.com/stats/events?CFID=&amp;CFPARAMS=&amp;GameEventID=84&amp;GameID=0021900499&amp;Season=2019-20&amp;flag=1&amp;title=Leonard%2016'%20jumpshot%20(2%20PTS)%20(P.%20George%203%20AST)", "16' jumpshot (2 PTS) (P. George 3 AST)")</f>
        <v>16' jumpshot (2 PTS) (P. George 3 AST)</v>
      </c>
      <c r="K301" s="2" t="str">
        <f>HYPERLINK("https://www.nba.com/game/...-vs-...-0021900499/play-by-play?watchFullGame=true", "LAC vs SAC - Q1 05:37.00")</f>
        <v>LAC vs SAC - Q1 05:37.00</v>
      </c>
      <c r="L301">
        <v>15.94</v>
      </c>
      <c r="M301">
        <v>93.77</v>
      </c>
      <c r="N301">
        <v>18.21</v>
      </c>
      <c r="O301">
        <v>-159</v>
      </c>
      <c r="P301">
        <v>6</v>
      </c>
    </row>
    <row r="302" spans="1:16" x14ac:dyDescent="0.25">
      <c r="A302">
        <v>22000675</v>
      </c>
      <c r="B302">
        <v>2020</v>
      </c>
      <c r="C302" t="s">
        <v>16</v>
      </c>
      <c r="D302" t="s">
        <v>19</v>
      </c>
      <c r="E302">
        <v>68</v>
      </c>
      <c r="F302">
        <v>85</v>
      </c>
      <c r="G302">
        <v>3</v>
      </c>
      <c r="H302" s="1">
        <v>3.8657407407407408E-3</v>
      </c>
      <c r="I302" t="s">
        <v>23</v>
      </c>
      <c r="J302" s="2" t="str">
        <f>HYPERLINK("https://www.nba.com/stats/events?CFID=&amp;CFPARAMS=&amp;GameEventID=413&amp;GameID=0022000675&amp;Season=2020-21&amp;flag=1&amp;title=Leonard%2024'%203PT%20pullup%20(23%20PTS)", "24' 3PT pullup (23 PTS)")</f>
        <v>24' 3PT pullup (23 PTS)</v>
      </c>
      <c r="K302" s="2" t="str">
        <f>HYPERLINK("https://www.nba.com/game/...-vs-...-0022000675/play-by-play?watchFullGame=true", "LAC vs SAS - Q3 05:34.00")</f>
        <v>LAC vs SAS - Q3 05:34.00</v>
      </c>
      <c r="L302">
        <v>24.97</v>
      </c>
      <c r="M302">
        <v>73.930000000000007</v>
      </c>
      <c r="N302">
        <v>18.21</v>
      </c>
      <c r="O302">
        <v>-159</v>
      </c>
      <c r="P302">
        <v>193</v>
      </c>
    </row>
    <row r="303" spans="1:16" x14ac:dyDescent="0.25">
      <c r="A303">
        <v>22400596</v>
      </c>
      <c r="B303">
        <v>2024</v>
      </c>
      <c r="C303" t="s">
        <v>16</v>
      </c>
      <c r="D303" t="s">
        <v>19</v>
      </c>
      <c r="E303">
        <v>18</v>
      </c>
      <c r="F303">
        <v>12</v>
      </c>
      <c r="G303">
        <v>1</v>
      </c>
      <c r="H303" s="1">
        <v>4.7337962962962967E-3</v>
      </c>
      <c r="I303" t="s">
        <v>23</v>
      </c>
      <c r="J303" s="2" t="str">
        <f>HYPERLINK("https://www.nba.com/stats/events?CFID=&amp;CFPARAMS=&amp;GameEventID=50&amp;GameID=0022400596&amp;Season=2024-25&amp;flag=1&amp;title=Leonard%2026'%203PT%20%20(3%20PTS)%20(J.%20Harden%201%20AST)", "26' 3PT  (3 PTS) (J. Harden 1 AST)")</f>
        <v>26' 3PT  (3 PTS) (J. Harden 1 AST)</v>
      </c>
      <c r="K303" s="2" t="str">
        <f>HYPERLINK("https://www.nba.com/game/...-vs-...-0022400596/play-by-play?watchFullGame=true", "LAC vs LAL - Q1 06:49.00")</f>
        <v>LAC vs LAL - Q1 06:49.00</v>
      </c>
      <c r="L303">
        <v>26.54</v>
      </c>
      <c r="M303">
        <v>71.83</v>
      </c>
      <c r="N303">
        <v>18.14</v>
      </c>
      <c r="O303">
        <v>-159</v>
      </c>
      <c r="P303">
        <v>212</v>
      </c>
    </row>
    <row r="304" spans="1:16" x14ac:dyDescent="0.25">
      <c r="A304">
        <v>41300147</v>
      </c>
      <c r="B304" t="s">
        <v>26</v>
      </c>
      <c r="C304" t="s">
        <v>32</v>
      </c>
      <c r="D304" t="s">
        <v>19</v>
      </c>
      <c r="E304">
        <v>18</v>
      </c>
      <c r="F304">
        <v>7</v>
      </c>
      <c r="G304">
        <v>1</v>
      </c>
      <c r="H304" s="1">
        <v>4.0393518518518521E-3</v>
      </c>
      <c r="I304" t="s">
        <v>18</v>
      </c>
      <c r="J304" s="2" t="str">
        <f>HYPERLINK("https://www.nba.com/stats/events?CFID=&amp;CFPARAMS=&amp;GameEventID=54&amp;GameID=0041300147&amp;Season=2013-14&amp;flag=1&amp;title=Leonard%2016'%20Jump%20Shot%20(4%20PTS)%20(Diaw%201%20AST)", "Leonard 16' Jump Shot (4 PTS) (Diaw 1 AST)")</f>
        <v>Leonard 16' Jump Shot (4 PTS) (Diaw 1 AST)</v>
      </c>
      <c r="K304" s="2" t="str">
        <f>HYPERLINK("https://www.nba.com/game/...-vs-...-0041300147/play-by-play?watchFullGame=true", "SAS vs DAL - Q1 05:49.00")</f>
        <v>SAS vs DAL - Q1 05:49.00</v>
      </c>
      <c r="L304">
        <v>16</v>
      </c>
      <c r="M304">
        <v>-158</v>
      </c>
      <c r="N304">
        <v>-25</v>
      </c>
      <c r="O304">
        <v>-158</v>
      </c>
      <c r="P304">
        <v>-25</v>
      </c>
    </row>
    <row r="305" spans="1:16" x14ac:dyDescent="0.25">
      <c r="A305">
        <v>21500612</v>
      </c>
      <c r="B305">
        <v>2015</v>
      </c>
      <c r="C305" t="s">
        <v>32</v>
      </c>
      <c r="D305" t="s">
        <v>34</v>
      </c>
      <c r="E305">
        <v>29</v>
      </c>
      <c r="F305">
        <v>28</v>
      </c>
      <c r="G305">
        <v>2</v>
      </c>
      <c r="H305" s="1">
        <v>3.9583333333333337E-3</v>
      </c>
      <c r="I305" t="s">
        <v>18</v>
      </c>
      <c r="J305" s="2" t="str">
        <f>HYPERLINK("https://www.nba.com/stats/events?CFID=&amp;CFPARAMS=&amp;GameEventID=186&amp;GameID=0021500612&amp;Season=2015-16&amp;flag=1&amp;title=Leonard%2016'%20Turnaround%20Fadeaway%20(4%20PTS)", "Leonard 16' Turnaround Fadeaway (4 PTS)")</f>
        <v>Leonard 16' Turnaround Fadeaway (4 PTS)</v>
      </c>
      <c r="K305" s="2" t="str">
        <f>HYPERLINK("https://www.nba.com/game/...-vs-...-0021500612/play-by-play?watchFullGame=true", "SAS vs DAL - Q2 05:42.00")</f>
        <v>SAS vs DAL - Q2 05:42.00</v>
      </c>
      <c r="L305">
        <v>16</v>
      </c>
      <c r="M305">
        <v>-158</v>
      </c>
      <c r="N305">
        <v>31</v>
      </c>
      <c r="O305">
        <v>-158</v>
      </c>
      <c r="P305">
        <v>31</v>
      </c>
    </row>
    <row r="306" spans="1:16" x14ac:dyDescent="0.25">
      <c r="A306">
        <v>21300494</v>
      </c>
      <c r="B306">
        <v>2013</v>
      </c>
      <c r="C306" t="s">
        <v>32</v>
      </c>
      <c r="D306" t="s">
        <v>19</v>
      </c>
      <c r="E306">
        <v>90</v>
      </c>
      <c r="F306">
        <v>74</v>
      </c>
      <c r="G306">
        <v>4</v>
      </c>
      <c r="H306" s="1">
        <v>7.5115740740740742E-3</v>
      </c>
      <c r="I306" t="s">
        <v>18</v>
      </c>
      <c r="J306" s="2" t="str">
        <f>HYPERLINK("https://www.nba.com/stats/events?CFID=&amp;CFPARAMS=&amp;GameEventID=395&amp;GameID=0021300494&amp;Season=2013-14&amp;flag=1&amp;title=Leonard%2018'%20Jump%20Shot%20(10%20PTS)", "Leonard 18' Jump Shot (10 PTS)")</f>
        <v>Leonard 18' Jump Shot (10 PTS)</v>
      </c>
      <c r="K306" s="2" t="str">
        <f>HYPERLINK("https://www.nba.com/game/...-vs-...-0021300494/play-by-play?watchFullGame=true", "SAS vs LAC - Q4 10:49.00")</f>
        <v>SAS vs LAC - Q4 10:49.00</v>
      </c>
      <c r="L306">
        <v>18</v>
      </c>
      <c r="M306">
        <v>-158</v>
      </c>
      <c r="N306">
        <v>80</v>
      </c>
      <c r="O306">
        <v>-158</v>
      </c>
      <c r="P306">
        <v>80</v>
      </c>
    </row>
    <row r="307" spans="1:16" x14ac:dyDescent="0.25">
      <c r="A307">
        <v>21600625</v>
      </c>
      <c r="B307">
        <v>2016</v>
      </c>
      <c r="C307" t="s">
        <v>16</v>
      </c>
      <c r="D307" t="s">
        <v>19</v>
      </c>
      <c r="E307">
        <v>110</v>
      </c>
      <c r="F307">
        <v>98</v>
      </c>
      <c r="G307">
        <v>4</v>
      </c>
      <c r="H307" s="1">
        <v>4.3981481481481484E-3</v>
      </c>
      <c r="I307" t="s">
        <v>18</v>
      </c>
      <c r="J307" s="2" t="str">
        <f>HYPERLINK("https://www.nba.com/stats/events?CFID=&amp;CFPARAMS=&amp;GameEventID=502&amp;GameID=0021600625&amp;Season=2016-17&amp;flag=1&amp;title=Leonard%2025'%203PT%20Jump%20Shot%20(32%20PTS)%20(Aldridge%202%20AST)", "Leonard 25' 3PT Jump Shot (32 PTS) (Aldridge 2 AST)")</f>
        <v>Leonard 25' 3PT Jump Shot (32 PTS) (Aldridge 2 AST)</v>
      </c>
      <c r="K307" s="2" t="str">
        <f>HYPERLINK("https://www.nba.com/game/...-vs-...-0021600625/play-by-play?watchFullGame=true", "SAS vs MIN - Q4 06:20.00")</f>
        <v>SAS vs MIN - Q4 06:20.00</v>
      </c>
      <c r="L307">
        <v>25</v>
      </c>
      <c r="M307">
        <v>-158</v>
      </c>
      <c r="N307">
        <v>198</v>
      </c>
      <c r="O307">
        <v>-158</v>
      </c>
      <c r="P307">
        <v>198</v>
      </c>
    </row>
    <row r="308" spans="1:16" x14ac:dyDescent="0.25">
      <c r="A308">
        <v>22300014</v>
      </c>
      <c r="B308">
        <v>2023</v>
      </c>
      <c r="C308" t="s">
        <v>16</v>
      </c>
      <c r="D308" t="s">
        <v>19</v>
      </c>
      <c r="E308">
        <v>77</v>
      </c>
      <c r="F308">
        <v>54</v>
      </c>
      <c r="G308">
        <v>3</v>
      </c>
      <c r="H308" s="1">
        <v>8.0902777777777778E-3</v>
      </c>
      <c r="I308" t="s">
        <v>23</v>
      </c>
      <c r="J308" s="2" t="str">
        <f>HYPERLINK("https://www.nba.com/stats/events?CFID=&amp;CFPARAMS=&amp;GameEventID=360&amp;GameID=0022300014&amp;Season=2023-24&amp;flag=1&amp;title=Leonard%2025'%203PT%20%20(19%20PTS)%20(T.%20Mann%201%20AST)", "25' 3PT  (19 PTS) (T. Mann 1 AST)")</f>
        <v>25' 3PT  (19 PTS) (T. Mann 1 AST)</v>
      </c>
      <c r="K308" s="2" t="str">
        <f>HYPERLINK("https://www.nba.com/game/...-vs-...-0022300014/play-by-play?watchFullGame=true", "LAC vs DAL - Q3 11:39.00")</f>
        <v>LAC vs DAL - Q3 11:39.00</v>
      </c>
      <c r="L308">
        <v>25.32</v>
      </c>
      <c r="M308">
        <v>26.63</v>
      </c>
      <c r="N308">
        <v>81.62</v>
      </c>
      <c r="O308">
        <v>-158</v>
      </c>
      <c r="P308">
        <v>198</v>
      </c>
    </row>
    <row r="309" spans="1:16" x14ac:dyDescent="0.25">
      <c r="A309">
        <v>21301038</v>
      </c>
      <c r="B309">
        <v>2013</v>
      </c>
      <c r="C309" t="s">
        <v>16</v>
      </c>
      <c r="D309" t="s">
        <v>29</v>
      </c>
      <c r="E309">
        <v>5</v>
      </c>
      <c r="F309">
        <v>11</v>
      </c>
      <c r="G309">
        <v>1</v>
      </c>
      <c r="H309" s="1">
        <v>6.3541666666666668E-3</v>
      </c>
      <c r="I309" t="s">
        <v>18</v>
      </c>
      <c r="J309" s="2" t="str">
        <f>HYPERLINK("https://www.nba.com/stats/events?CFID=&amp;CFPARAMS=&amp;GameEventID=18&amp;GameID=0021301038&amp;Season=2013-14&amp;flag=1&amp;title=Leonard%2027'%203PT%20Pullup%20Jump%20Shot%20(3%20PTS)%20(Parker%202%20AST)", "Leonard 27' 3PT Pullup Jump Shot (3 PTS) (Parker 2 AST)")</f>
        <v>Leonard 27' 3PT Pullup Jump Shot (3 PTS) (Parker 2 AST)</v>
      </c>
      <c r="K309" s="2" t="str">
        <f>HYPERLINK("https://www.nba.com/game/...-vs-...-0021301038/play-by-play?watchFullGame=true", "SAS vs GSW - Q1 09:09.00")</f>
        <v>SAS vs GSW - Q1 09:09.00</v>
      </c>
      <c r="L309">
        <v>27</v>
      </c>
      <c r="M309">
        <v>-158</v>
      </c>
      <c r="N309">
        <v>214</v>
      </c>
      <c r="O309">
        <v>-158</v>
      </c>
      <c r="P309">
        <v>214</v>
      </c>
    </row>
    <row r="310" spans="1:16" x14ac:dyDescent="0.25">
      <c r="A310">
        <v>21401157</v>
      </c>
      <c r="B310">
        <v>2014</v>
      </c>
      <c r="C310" t="s">
        <v>32</v>
      </c>
      <c r="D310" t="s">
        <v>29</v>
      </c>
      <c r="E310">
        <v>26</v>
      </c>
      <c r="F310">
        <v>43</v>
      </c>
      <c r="G310">
        <v>2</v>
      </c>
      <c r="H310" s="1">
        <v>4.5717592592592589E-3</v>
      </c>
      <c r="I310" t="s">
        <v>18</v>
      </c>
      <c r="J310" s="2" t="str">
        <f>HYPERLINK("https://www.nba.com/stats/events?CFID=&amp;CFPARAMS=&amp;GameEventID=195&amp;GameID=0021401157&amp;Season=2014-15&amp;flag=1&amp;title=Leonard%2016'%20Pullup%20Jump%20Shot%20(17%20PTS)", "Leonard 16' Pullup Jump Shot (17 PTS)")</f>
        <v>Leonard 16' Pullup Jump Shot (17 PTS)</v>
      </c>
      <c r="K310" s="2" t="str">
        <f>HYPERLINK("https://www.nba.com/game/...-vs-...-0021401157/play-by-play?watchFullGame=true", "SAS vs OKC - Q2 06:35.00")</f>
        <v>SAS vs OKC - Q2 06:35.00</v>
      </c>
      <c r="L310">
        <v>16</v>
      </c>
      <c r="M310">
        <v>-157</v>
      </c>
      <c r="N310">
        <v>48</v>
      </c>
      <c r="O310">
        <v>-157</v>
      </c>
      <c r="P310">
        <v>48</v>
      </c>
    </row>
    <row r="311" spans="1:16" x14ac:dyDescent="0.25">
      <c r="A311">
        <v>22300526</v>
      </c>
      <c r="B311">
        <v>2023</v>
      </c>
      <c r="C311" t="s">
        <v>16</v>
      </c>
      <c r="D311" t="s">
        <v>19</v>
      </c>
      <c r="E311">
        <v>83</v>
      </c>
      <c r="F311">
        <v>82</v>
      </c>
      <c r="G311">
        <v>3</v>
      </c>
      <c r="H311" s="1">
        <v>2.5694444444444445E-3</v>
      </c>
      <c r="I311" t="s">
        <v>23</v>
      </c>
      <c r="J311" s="2" t="str">
        <f>HYPERLINK("https://www.nba.com/stats/events?CFID=&amp;CFPARAMS=&amp;GameEventID=396&amp;GameID=0022300526&amp;Season=2023-24&amp;flag=1&amp;title=Leonard%2025'%203PT%20%20(21%20PTS)%20(P.%20George%204%20AST)", "25' 3PT  (21 PTS) (P. George 4 AST)")</f>
        <v>25' 3PT  (21 PTS) (P. George 4 AST)</v>
      </c>
      <c r="K311" s="2" t="str">
        <f>HYPERLINK("https://www.nba.com/game/...-vs-...-0022300526/play-by-play?watchFullGame=true", "LAC vs TOR - Q3 03:42.00")</f>
        <v>LAC vs TOR - Q3 03:42.00</v>
      </c>
      <c r="L311">
        <v>25.54</v>
      </c>
      <c r="M311">
        <v>72.98</v>
      </c>
      <c r="N311">
        <v>18.63</v>
      </c>
      <c r="O311">
        <v>-157</v>
      </c>
      <c r="P311">
        <v>201</v>
      </c>
    </row>
    <row r="312" spans="1:16" x14ac:dyDescent="0.25">
      <c r="A312">
        <v>22400646</v>
      </c>
      <c r="B312">
        <v>2024</v>
      </c>
      <c r="C312" t="s">
        <v>16</v>
      </c>
      <c r="D312" t="s">
        <v>19</v>
      </c>
      <c r="E312">
        <v>36</v>
      </c>
      <c r="F312">
        <v>35</v>
      </c>
      <c r="G312">
        <v>2</v>
      </c>
      <c r="H312" s="1">
        <v>5.8912037037037041E-3</v>
      </c>
      <c r="I312" t="s">
        <v>23</v>
      </c>
      <c r="J312" s="2" t="str">
        <f>HYPERLINK("https://www.nba.com/stats/events?CFID=&amp;CFPARAMS=&amp;GameEventID=205&amp;GameID=0022400646&amp;Season=2024-25&amp;flag=1&amp;title=Leonard%2026'%203PT%20%20(7%20PTS)%20(N.%20Batum%202%20AST)", "26' 3PT  (7 PTS) (N. Batum 2 AST)")</f>
        <v>26' 3PT  (7 PTS) (N. Batum 2 AST)</v>
      </c>
      <c r="K312" s="2" t="str">
        <f>HYPERLINK("https://www.nba.com/game/...-vs-...-0022400646/play-by-play?watchFullGame=true", "LAC vs MIL - Q2 08:29.00")</f>
        <v>LAC vs MIL - Q2 08:29.00</v>
      </c>
      <c r="L312">
        <v>26.1</v>
      </c>
      <c r="M312">
        <v>72.22</v>
      </c>
      <c r="N312">
        <v>18.63</v>
      </c>
      <c r="O312">
        <v>-157</v>
      </c>
      <c r="P312">
        <v>209</v>
      </c>
    </row>
    <row r="313" spans="1:16" x14ac:dyDescent="0.25">
      <c r="A313">
        <v>21500481</v>
      </c>
      <c r="B313">
        <v>2015</v>
      </c>
      <c r="C313" t="s">
        <v>32</v>
      </c>
      <c r="D313" t="s">
        <v>19</v>
      </c>
      <c r="E313">
        <v>76</v>
      </c>
      <c r="F313">
        <v>50</v>
      </c>
      <c r="G313">
        <v>3</v>
      </c>
      <c r="H313" s="1">
        <v>2.2106481481481482E-3</v>
      </c>
      <c r="I313" t="s">
        <v>18</v>
      </c>
      <c r="J313" s="2" t="str">
        <f>HYPERLINK("https://www.nba.com/stats/events?CFID=&amp;CFPARAMS=&amp;GameEventID=334&amp;GameID=0021500481&amp;Season=2015-16&amp;flag=1&amp;title=Leonard%2016'%20Jump%20Shot%20(17%20PTS)", "Leonard 16' Jump Shot (17 PTS)")</f>
        <v>Leonard 16' Jump Shot (17 PTS)</v>
      </c>
      <c r="K313" s="2" t="str">
        <f>HYPERLINK("https://www.nba.com/game/...-vs-...-0021500481/play-by-play?watchFullGame=true", "SAS vs PHX - Q3 03:11.00")</f>
        <v>SAS vs PHX - Q3 03:11.00</v>
      </c>
      <c r="L313">
        <v>16</v>
      </c>
      <c r="M313">
        <v>-156</v>
      </c>
      <c r="N313">
        <v>23</v>
      </c>
      <c r="O313">
        <v>-156</v>
      </c>
      <c r="P313">
        <v>23</v>
      </c>
    </row>
    <row r="314" spans="1:16" x14ac:dyDescent="0.25">
      <c r="A314">
        <v>22300074</v>
      </c>
      <c r="B314">
        <v>2023</v>
      </c>
      <c r="C314" t="s">
        <v>32</v>
      </c>
      <c r="D314" t="s">
        <v>19</v>
      </c>
      <c r="E314">
        <v>108</v>
      </c>
      <c r="F314">
        <v>86</v>
      </c>
      <c r="G314">
        <v>4</v>
      </c>
      <c r="H314" s="1">
        <v>4.9884259259259257E-3</v>
      </c>
      <c r="I314" t="s">
        <v>23</v>
      </c>
      <c r="J314" s="2" t="str">
        <f>HYPERLINK("https://www.nba.com/stats/events?CFID=&amp;CFPARAMS=&amp;GameEventID=590&amp;GameID=0022300074&amp;Season=2023-24&amp;flag=1&amp;title=Leonard%2015'%20pullup%20Jump%20Shot%20(23%20PTS)%20(R.%20Westbrook%2011%20AST)", "15' pullup Jump Shot (23 PTS) (R. Westbrook 11 AST)")</f>
        <v>15' pullup Jump Shot (23 PTS) (R. Westbrook 11 AST)</v>
      </c>
      <c r="K314" s="2" t="str">
        <f>HYPERLINK("https://www.nba.com/game/...-vs-...-0022300074/play-by-play?watchFullGame=true", "LAC vs POR - Q4 07:11.00")</f>
        <v>LAC vs POR - Q4 07:11.00</v>
      </c>
      <c r="L314">
        <v>15.74</v>
      </c>
      <c r="M314">
        <v>8.15</v>
      </c>
      <c r="N314">
        <v>81.099999999999994</v>
      </c>
      <c r="O314">
        <v>-156</v>
      </c>
      <c r="P314">
        <v>24</v>
      </c>
    </row>
    <row r="315" spans="1:16" x14ac:dyDescent="0.25">
      <c r="A315">
        <v>21601056</v>
      </c>
      <c r="B315">
        <v>2016</v>
      </c>
      <c r="C315" t="s">
        <v>32</v>
      </c>
      <c r="D315" t="s">
        <v>19</v>
      </c>
      <c r="E315">
        <v>93</v>
      </c>
      <c r="F315">
        <v>94</v>
      </c>
      <c r="G315">
        <v>4</v>
      </c>
      <c r="H315" s="1">
        <v>6.2500000000000001E-4</v>
      </c>
      <c r="I315" t="s">
        <v>18</v>
      </c>
      <c r="J315" s="2" t="str">
        <f>HYPERLINK("https://www.nba.com/stats/events?CFID=&amp;CFPARAMS=&amp;GameEventID=474&amp;GameID=0021601056&amp;Season=2016-17&amp;flag=1&amp;title=Leonard%2019'%20Jump%20Shot%20(20%20PTS)", "Leonard 19' Jump Shot (20 PTS)")</f>
        <v>Leonard 19' Jump Shot (20 PTS)</v>
      </c>
      <c r="K315" s="2" t="str">
        <f>HYPERLINK("https://www.nba.com/game/...-vs-...-0021601056/play-by-play?watchFullGame=true", "SAS vs MIN - Q4 00:54.00")</f>
        <v>SAS vs MIN - Q4 00:54.00</v>
      </c>
      <c r="L315">
        <v>19</v>
      </c>
      <c r="M315">
        <v>-156</v>
      </c>
      <c r="N315">
        <v>105</v>
      </c>
      <c r="O315">
        <v>-156</v>
      </c>
      <c r="P315">
        <v>105</v>
      </c>
    </row>
    <row r="316" spans="1:16" x14ac:dyDescent="0.25">
      <c r="A316">
        <v>21601070</v>
      </c>
      <c r="B316">
        <v>2016</v>
      </c>
      <c r="C316" t="s">
        <v>32</v>
      </c>
      <c r="D316" t="s">
        <v>19</v>
      </c>
      <c r="E316">
        <v>13</v>
      </c>
      <c r="F316">
        <v>5</v>
      </c>
      <c r="G316">
        <v>1</v>
      </c>
      <c r="H316" s="1">
        <v>4.2013888888888891E-3</v>
      </c>
      <c r="I316" t="s">
        <v>18</v>
      </c>
      <c r="J316" s="2" t="str">
        <f>HYPERLINK("https://www.nba.com/stats/events?CFID=&amp;CFPARAMS=&amp;GameEventID=45&amp;GameID=0021601070&amp;Season=2016-17&amp;flag=1&amp;title=Leonard%2024'%20Jump%20Shot%20(4%20PTS)%20(Parker%201%20AST)", "Leonard 24' Jump Shot (4 PTS) (Parker 1 AST)")</f>
        <v>Leonard 24' Jump Shot (4 PTS) (Parker 1 AST)</v>
      </c>
      <c r="K316" s="2" t="str">
        <f>HYPERLINK("https://www.nba.com/game/...-vs-...-0021601070/play-by-play?watchFullGame=true", "SAS vs MEM - Q1 06:03.00")</f>
        <v>SAS vs MEM - Q1 06:03.00</v>
      </c>
      <c r="L316">
        <v>24</v>
      </c>
      <c r="M316">
        <v>-156</v>
      </c>
      <c r="N316">
        <v>178</v>
      </c>
      <c r="O316">
        <v>-156</v>
      </c>
      <c r="P316">
        <v>178</v>
      </c>
    </row>
    <row r="317" spans="1:16" x14ac:dyDescent="0.25">
      <c r="A317">
        <v>21500431</v>
      </c>
      <c r="B317">
        <v>2015</v>
      </c>
      <c r="C317" t="s">
        <v>16</v>
      </c>
      <c r="D317" t="s">
        <v>19</v>
      </c>
      <c r="E317">
        <v>72</v>
      </c>
      <c r="F317">
        <v>94</v>
      </c>
      <c r="G317">
        <v>4</v>
      </c>
      <c r="H317" s="1">
        <v>4.6296296296296294E-3</v>
      </c>
      <c r="I317" t="s">
        <v>18</v>
      </c>
      <c r="J317" s="2" t="str">
        <f>HYPERLINK("https://www.nba.com/stats/events?CFID=&amp;CFPARAMS=&amp;GameEventID=408&amp;GameID=0021500431&amp;Season=2015-16&amp;flag=1&amp;title=Leonard%2025'%203PT%20Jump%20Shot%20(17%20PTS)%20(Parker%206%20AST)", "Leonard 25' 3PT Jump Shot (17 PTS) (Parker 6 AST)")</f>
        <v>Leonard 25' 3PT Jump Shot (17 PTS) (Parker 6 AST)</v>
      </c>
      <c r="K317" s="2" t="str">
        <f>HYPERLINK("https://www.nba.com/game/...-vs-...-0021500431/play-by-play?watchFullGame=true", "SAS vs MIN - Q4 06:40.00")</f>
        <v>SAS vs MIN - Q4 06:40.00</v>
      </c>
      <c r="L317">
        <v>25</v>
      </c>
      <c r="M317">
        <v>-156</v>
      </c>
      <c r="N317">
        <v>195</v>
      </c>
      <c r="O317">
        <v>-156</v>
      </c>
      <c r="P317">
        <v>195</v>
      </c>
    </row>
    <row r="318" spans="1:16" x14ac:dyDescent="0.25">
      <c r="A318">
        <v>22300676</v>
      </c>
      <c r="B318">
        <v>2023</v>
      </c>
      <c r="C318" t="s">
        <v>16</v>
      </c>
      <c r="D318" t="s">
        <v>19</v>
      </c>
      <c r="E318">
        <v>7</v>
      </c>
      <c r="F318">
        <v>12</v>
      </c>
      <c r="G318">
        <v>1</v>
      </c>
      <c r="H318" s="1">
        <v>6.076388888888889E-3</v>
      </c>
      <c r="I318" t="s">
        <v>23</v>
      </c>
      <c r="J318" s="2" t="str">
        <f>HYPERLINK("https://www.nba.com/stats/events?CFID=&amp;CFPARAMS=&amp;GameEventID=35&amp;GameID=0022300676&amp;Season=2023-24&amp;flag=1&amp;title=Leonard%2025'%203PT%20pullup%20(3%20PTS)", "25' 3PT pullup (3 PTS)")</f>
        <v>25' 3PT pullup (3 PTS)</v>
      </c>
      <c r="K318" s="2" t="str">
        <f>HYPERLINK("https://www.nba.com/game/...-vs-...-0022300676/play-by-play?watchFullGame=true", "LAC vs WAS - Q1 08:45.00")</f>
        <v>LAC vs WAS - Q1 08:45.00</v>
      </c>
      <c r="L318">
        <v>25.63</v>
      </c>
      <c r="M318">
        <v>72.75</v>
      </c>
      <c r="N318">
        <v>18.87</v>
      </c>
      <c r="O318">
        <v>-156</v>
      </c>
      <c r="P318">
        <v>204</v>
      </c>
    </row>
    <row r="319" spans="1:16" x14ac:dyDescent="0.25">
      <c r="A319">
        <v>41500153</v>
      </c>
      <c r="B319" t="s">
        <v>25</v>
      </c>
      <c r="C319" t="s">
        <v>32</v>
      </c>
      <c r="D319" t="s">
        <v>31</v>
      </c>
      <c r="E319">
        <v>0</v>
      </c>
      <c r="F319">
        <v>2</v>
      </c>
      <c r="G319">
        <v>1</v>
      </c>
      <c r="H319" s="1">
        <v>8.0324074074074082E-3</v>
      </c>
      <c r="I319" t="s">
        <v>18</v>
      </c>
      <c r="J319" s="2" t="str">
        <f>HYPERLINK("https://www.nba.com/stats/events?CFID=&amp;CFPARAMS=&amp;GameEventID=4&amp;GameID=0041500153&amp;Season=2015-16&amp;flag=1&amp;title=Leonard%2016'%20Step%20Back%20Jump%20Shot%20(2%20PTS)", "Leonard 16' Step Back Jump Shot (2 PTS)")</f>
        <v>Leonard 16' Step Back Jump Shot (2 PTS)</v>
      </c>
      <c r="K319" s="2" t="str">
        <f>HYPERLINK("https://www.nba.com/game/...-vs-...-0041500153/play-by-play?watchFullGame=true", "SAS vs MEM - Q1 11:34.00")</f>
        <v>SAS vs MEM - Q1 11:34.00</v>
      </c>
      <c r="L319">
        <v>16</v>
      </c>
      <c r="M319">
        <v>-155</v>
      </c>
      <c r="N319">
        <v>11</v>
      </c>
      <c r="O319">
        <v>-155</v>
      </c>
      <c r="P319">
        <v>11</v>
      </c>
    </row>
    <row r="320" spans="1:16" x14ac:dyDescent="0.25">
      <c r="A320">
        <v>41500234</v>
      </c>
      <c r="B320" t="s">
        <v>25</v>
      </c>
      <c r="C320" t="s">
        <v>32</v>
      </c>
      <c r="D320" t="s">
        <v>31</v>
      </c>
      <c r="E320">
        <v>64</v>
      </c>
      <c r="F320">
        <v>69</v>
      </c>
      <c r="G320">
        <v>3</v>
      </c>
      <c r="H320" s="1">
        <v>3.1134259259259257E-3</v>
      </c>
      <c r="I320" t="s">
        <v>18</v>
      </c>
      <c r="J320" s="2" t="str">
        <f>HYPERLINK("https://www.nba.com/stats/events?CFID=&amp;CFPARAMS=&amp;GameEventID=344&amp;GameID=0041500234&amp;Season=2015-16&amp;flag=1&amp;title=Leonard%2016'%20Step%20Back%20Jump%20Shot%20(21%20PTS)", "Leonard 16' Step Back Jump Shot (21 PTS)")</f>
        <v>Leonard 16' Step Back Jump Shot (21 PTS)</v>
      </c>
      <c r="K320" s="2" t="str">
        <f>HYPERLINK("https://www.nba.com/game/...-vs-...-0041500234/play-by-play?watchFullGame=true", "SAS vs OKC - Q3 04:29.00")</f>
        <v>SAS vs OKC - Q3 04:29.00</v>
      </c>
      <c r="L320">
        <v>16</v>
      </c>
      <c r="M320">
        <v>-155</v>
      </c>
      <c r="N320">
        <v>28</v>
      </c>
      <c r="O320">
        <v>-155</v>
      </c>
      <c r="P320">
        <v>28</v>
      </c>
    </row>
    <row r="321" spans="1:16" x14ac:dyDescent="0.25">
      <c r="A321">
        <v>22000366</v>
      </c>
      <c r="B321">
        <v>2020</v>
      </c>
      <c r="C321" t="s">
        <v>32</v>
      </c>
      <c r="D321" t="s">
        <v>19</v>
      </c>
      <c r="E321">
        <v>47</v>
      </c>
      <c r="F321">
        <v>45</v>
      </c>
      <c r="G321">
        <v>2</v>
      </c>
      <c r="H321" s="1">
        <v>2.1643518518518518E-3</v>
      </c>
      <c r="I321" t="s">
        <v>23</v>
      </c>
      <c r="J321" s="2" t="str">
        <f>HYPERLINK("https://www.nba.com/stats/events?CFID=&amp;CFPARAMS=&amp;GameEventID=274&amp;GameID=0022000366&amp;Season=2020-21&amp;flag=1&amp;title=Leonard%2016'%20Jump%20Shot%20(6%20PTS)", "16' Jump Shot (6 PTS)")</f>
        <v>16' Jump Shot (6 PTS)</v>
      </c>
      <c r="K321" s="2" t="str">
        <f>HYPERLINK("https://www.nba.com/game/...-vs-...-0022000366/play-by-play?watchFullGame=true", "LAC vs SAC - Q2 03:07.00")</f>
        <v>LAC vs SAC - Q2 03:07.00</v>
      </c>
      <c r="L321">
        <v>16.89</v>
      </c>
      <c r="M321">
        <v>87.34</v>
      </c>
      <c r="N321">
        <v>18.940000000000001</v>
      </c>
      <c r="O321">
        <v>-155</v>
      </c>
      <c r="P321">
        <v>67</v>
      </c>
    </row>
    <row r="322" spans="1:16" x14ac:dyDescent="0.25">
      <c r="A322">
        <v>21600182</v>
      </c>
      <c r="B322">
        <v>2016</v>
      </c>
      <c r="C322" t="s">
        <v>32</v>
      </c>
      <c r="D322" t="s">
        <v>19</v>
      </c>
      <c r="E322">
        <v>29</v>
      </c>
      <c r="F322">
        <v>40</v>
      </c>
      <c r="G322">
        <v>2</v>
      </c>
      <c r="H322" s="1">
        <v>4.43287037037037E-3</v>
      </c>
      <c r="I322" t="s">
        <v>18</v>
      </c>
      <c r="J322" s="2" t="str">
        <f>HYPERLINK("https://www.nba.com/stats/events?CFID=&amp;CFPARAMS=&amp;GameEventID=187&amp;GameID=0021600182&amp;Season=2016-17&amp;flag=1&amp;title=Leonard%2020'%20Jump%20Shot%20(4%20PTS)%20(Parker%204%20AST)", "Leonard 20' Jump Shot (4 PTS) (Parker 4 AST)")</f>
        <v>Leonard 20' Jump Shot (4 PTS) (Parker 4 AST)</v>
      </c>
      <c r="K322" s="2" t="str">
        <f>HYPERLINK("https://www.nba.com/game/...-vs-...-0021600182/play-by-play?watchFullGame=true", "SAS vs LAL - Q2 06:23.00")</f>
        <v>SAS vs LAL - Q2 06:23.00</v>
      </c>
      <c r="L322">
        <v>20</v>
      </c>
      <c r="M322">
        <v>-155</v>
      </c>
      <c r="N322">
        <v>125</v>
      </c>
      <c r="O322">
        <v>-155</v>
      </c>
      <c r="P322">
        <v>125</v>
      </c>
    </row>
    <row r="323" spans="1:16" x14ac:dyDescent="0.25">
      <c r="A323">
        <v>21600817</v>
      </c>
      <c r="B323">
        <v>2016</v>
      </c>
      <c r="C323" t="s">
        <v>16</v>
      </c>
      <c r="D323" t="s">
        <v>19</v>
      </c>
      <c r="E323">
        <v>57</v>
      </c>
      <c r="F323">
        <v>57</v>
      </c>
      <c r="G323">
        <v>3</v>
      </c>
      <c r="H323" s="1">
        <v>3.8425925925925928E-3</v>
      </c>
      <c r="I323" t="s">
        <v>18</v>
      </c>
      <c r="J323" s="2" t="str">
        <f>HYPERLINK("https://www.nba.com/stats/events?CFID=&amp;CFPARAMS=&amp;GameEventID=297&amp;GameID=0021600817&amp;Season=2016-17&amp;flag=1&amp;title=Leonard%2025'%203PT%20Jump%20Shot%20(19%20PTS)%20(Mills%202%20AST)", "Leonard 25' 3PT Jump Shot (19 PTS) (Mills 2 AST)")</f>
        <v>Leonard 25' 3PT Jump Shot (19 PTS) (Mills 2 AST)</v>
      </c>
      <c r="K323" s="2" t="str">
        <f>HYPERLINK("https://www.nba.com/game/...-vs-...-0021600817/play-by-play?watchFullGame=true", "SAS vs NYK - Q3 05:32.00")</f>
        <v>SAS vs NYK - Q3 05:32.00</v>
      </c>
      <c r="L323">
        <v>25</v>
      </c>
      <c r="M323">
        <v>-155</v>
      </c>
      <c r="N323">
        <v>190</v>
      </c>
      <c r="O323">
        <v>-155</v>
      </c>
      <c r="P323">
        <v>190</v>
      </c>
    </row>
    <row r="324" spans="1:16" x14ac:dyDescent="0.25">
      <c r="A324">
        <v>21300170</v>
      </c>
      <c r="B324">
        <v>2013</v>
      </c>
      <c r="C324" t="s">
        <v>16</v>
      </c>
      <c r="D324" t="s">
        <v>19</v>
      </c>
      <c r="E324">
        <v>61</v>
      </c>
      <c r="F324">
        <v>52</v>
      </c>
      <c r="G324">
        <v>3</v>
      </c>
      <c r="H324" s="1">
        <v>5.4513888888888893E-3</v>
      </c>
      <c r="I324" t="s">
        <v>18</v>
      </c>
      <c r="J324" s="2" t="str">
        <f>HYPERLINK("https://www.nba.com/stats/events?CFID=&amp;CFPARAMS=&amp;GameEventID=281&amp;GameID=0021300170&amp;Season=2013-14&amp;flag=1&amp;title=Leonard%2025'%203PT%20Jump%20Shot%20(14%20PTS)%20(Bonner%201%20AST)", "Leonard 25' 3PT Jump Shot (14 PTS) (Bonner 1 AST)")</f>
        <v>Leonard 25' 3PT Jump Shot (14 PTS) (Bonner 1 AST)</v>
      </c>
      <c r="K324" s="2" t="str">
        <f>HYPERLINK("https://www.nba.com/game/...-vs-...-0021300170/play-by-play?watchFullGame=true", "SAS vs BOS - Q3 07:51.00")</f>
        <v>SAS vs BOS - Q3 07:51.00</v>
      </c>
      <c r="L324">
        <v>25</v>
      </c>
      <c r="M324">
        <v>-155</v>
      </c>
      <c r="N324">
        <v>200</v>
      </c>
      <c r="O324">
        <v>-155</v>
      </c>
      <c r="P324">
        <v>200</v>
      </c>
    </row>
    <row r="325" spans="1:16" x14ac:dyDescent="0.25">
      <c r="A325">
        <v>21600032</v>
      </c>
      <c r="B325">
        <v>2016</v>
      </c>
      <c r="C325" t="s">
        <v>16</v>
      </c>
      <c r="D325" t="s">
        <v>19</v>
      </c>
      <c r="E325">
        <v>58</v>
      </c>
      <c r="F325">
        <v>47</v>
      </c>
      <c r="G325">
        <v>3</v>
      </c>
      <c r="H325" s="1">
        <v>7.6851851851851855E-3</v>
      </c>
      <c r="I325" t="s">
        <v>18</v>
      </c>
      <c r="J325" s="2" t="str">
        <f>HYPERLINK("https://www.nba.com/stats/events?CFID=&amp;CFPARAMS=&amp;GameEventID=268&amp;GameID=0021600032&amp;Season=2016-17&amp;flag=1&amp;title=Leonard%2026'%203PT%20Jump%20Shot%20(7%20PTS)%20(Mills%204%20AST)", "Leonard 26' 3PT Jump Shot (7 PTS) (Mills 4 AST)")</f>
        <v>Leonard 26' 3PT Jump Shot (7 PTS) (Mills 4 AST)</v>
      </c>
      <c r="K325" s="2" t="str">
        <f>HYPERLINK("https://www.nba.com/game/...-vs-...-0021600032/play-by-play?watchFullGame=true", "SAS vs NOP - Q3 11:04.00")</f>
        <v>SAS vs NOP - Q3 11:04.00</v>
      </c>
      <c r="L325">
        <v>26</v>
      </c>
      <c r="M325">
        <v>-155</v>
      </c>
      <c r="N325">
        <v>203</v>
      </c>
      <c r="O325">
        <v>-155</v>
      </c>
      <c r="P325">
        <v>203</v>
      </c>
    </row>
    <row r="326" spans="1:16" x14ac:dyDescent="0.25">
      <c r="A326">
        <v>22400842</v>
      </c>
      <c r="B326">
        <v>2024</v>
      </c>
      <c r="C326" t="s">
        <v>16</v>
      </c>
      <c r="D326" t="s">
        <v>19</v>
      </c>
      <c r="E326">
        <v>35</v>
      </c>
      <c r="F326">
        <v>47</v>
      </c>
      <c r="G326">
        <v>2</v>
      </c>
      <c r="H326" s="1">
        <v>5.4282407407407404E-3</v>
      </c>
      <c r="I326" t="s">
        <v>23</v>
      </c>
      <c r="J326" s="2" t="str">
        <f>HYPERLINK("https://www.nba.com/stats/events?CFID=&amp;CFPARAMS=&amp;GameEventID=218&amp;GameID=0022400842&amp;Season=2024-25&amp;flag=1&amp;title=Leonard%2028'%203PT%20%20(8%20PTS)%20(B.%20Simmons%205%20AST)", "28' 3PT  (8 PTS) (B. Simmons 5 AST)")</f>
        <v>28' 3PT  (8 PTS) (B. Simmons 5 AST)</v>
      </c>
      <c r="K326" s="2" t="str">
        <f>HYPERLINK("https://www.nba.com/game/...-vs-...-0022400842/play-by-play?watchFullGame=true", "LAC vs CHI - Q2 07:49.00")</f>
        <v>LAC vs CHI - Q2 07:49.00</v>
      </c>
      <c r="L326">
        <v>28.19</v>
      </c>
      <c r="M326">
        <v>30.67</v>
      </c>
      <c r="N326">
        <v>80.88</v>
      </c>
      <c r="O326">
        <v>-154</v>
      </c>
      <c r="P326">
        <v>236</v>
      </c>
    </row>
    <row r="327" spans="1:16" x14ac:dyDescent="0.25">
      <c r="A327">
        <v>21500790</v>
      </c>
      <c r="B327">
        <v>2015</v>
      </c>
      <c r="C327" t="s">
        <v>32</v>
      </c>
      <c r="D327" t="s">
        <v>19</v>
      </c>
      <c r="E327">
        <v>87</v>
      </c>
      <c r="F327">
        <v>78</v>
      </c>
      <c r="G327">
        <v>4</v>
      </c>
      <c r="H327" s="1">
        <v>5.0578703703703706E-3</v>
      </c>
      <c r="I327" t="s">
        <v>18</v>
      </c>
      <c r="J327" s="2" t="str">
        <f>HYPERLINK("https://www.nba.com/stats/events?CFID=&amp;CFPARAMS=&amp;GameEventID=422&amp;GameID=0021500790&amp;Season=2015-16&amp;flag=1&amp;title=Leonard%2015'%20Jump%20Shot%20(20%20PTS)", "Leonard 15' Jump Shot (20 PTS)")</f>
        <v>Leonard 15' Jump Shot (20 PTS)</v>
      </c>
      <c r="K327" s="2" t="str">
        <f>HYPERLINK("https://www.nba.com/game/...-vs-...-0021500790/play-by-play?watchFullGame=true", "SAS vs ORL - Q4 07:17.00")</f>
        <v>SAS vs ORL - Q4 07:17.00</v>
      </c>
      <c r="L327">
        <v>15</v>
      </c>
      <c r="M327">
        <v>-153</v>
      </c>
      <c r="N327">
        <v>21</v>
      </c>
      <c r="O327">
        <v>-153</v>
      </c>
      <c r="P327">
        <v>21</v>
      </c>
    </row>
    <row r="328" spans="1:16" x14ac:dyDescent="0.25">
      <c r="A328">
        <v>21300181</v>
      </c>
      <c r="B328">
        <v>2013</v>
      </c>
      <c r="C328" t="s">
        <v>32</v>
      </c>
      <c r="D328" t="s">
        <v>19</v>
      </c>
      <c r="E328">
        <v>33</v>
      </c>
      <c r="F328">
        <v>47</v>
      </c>
      <c r="G328">
        <v>2</v>
      </c>
      <c r="H328" s="1">
        <v>2.1296296296296298E-3</v>
      </c>
      <c r="I328" t="s">
        <v>18</v>
      </c>
      <c r="J328" s="2" t="str">
        <f>HYPERLINK("https://www.nba.com/stats/events?CFID=&amp;CFPARAMS=&amp;GameEventID=176&amp;GameID=0021300181&amp;Season=2013-14&amp;flag=1&amp;title=Leonard%2015'%20Jump%20Shot%20(6%20PTS)", "Leonard 15' Jump Shot (6 PTS)")</f>
        <v>Leonard 15' Jump Shot (6 PTS)</v>
      </c>
      <c r="K328" s="2" t="str">
        <f>HYPERLINK("https://www.nba.com/game/...-vs-...-0021300181/play-by-play?watchFullGame=true", "SAS vs MEM - Q2 03:04.00")</f>
        <v>SAS vs MEM - Q2 03:04.00</v>
      </c>
      <c r="L328">
        <v>15</v>
      </c>
      <c r="M328">
        <v>-153</v>
      </c>
      <c r="N328">
        <v>22</v>
      </c>
      <c r="O328">
        <v>-153</v>
      </c>
      <c r="P328">
        <v>22</v>
      </c>
    </row>
    <row r="329" spans="1:16" x14ac:dyDescent="0.25">
      <c r="A329">
        <v>21501118</v>
      </c>
      <c r="B329">
        <v>2015</v>
      </c>
      <c r="C329" t="s">
        <v>32</v>
      </c>
      <c r="D329" t="s">
        <v>19</v>
      </c>
      <c r="E329">
        <v>11</v>
      </c>
      <c r="F329">
        <v>7</v>
      </c>
      <c r="G329">
        <v>1</v>
      </c>
      <c r="H329" s="1">
        <v>6.0069444444444441E-3</v>
      </c>
      <c r="I329" t="s">
        <v>18</v>
      </c>
      <c r="J329" s="2" t="str">
        <f>HYPERLINK("https://www.nba.com/stats/events?CFID=&amp;CFPARAMS=&amp;GameEventID=23&amp;GameID=0021501118&amp;Season=2015-16&amp;flag=1&amp;title=Leonard%2016'%20Jump%20Shot%20(7%20PTS)%20(Parker%203%20AST)", "Leonard 16' Jump Shot (7 PTS) (Parker 3 AST)")</f>
        <v>Leonard 16' Jump Shot (7 PTS) (Parker 3 AST)</v>
      </c>
      <c r="K329" s="2" t="str">
        <f>HYPERLINK("https://www.nba.com/game/...-vs-...-0021501118/play-by-play?watchFullGame=true", "SAS vs NOP - Q1 08:39.00")</f>
        <v>SAS vs NOP - Q1 08:39.00</v>
      </c>
      <c r="L329">
        <v>16</v>
      </c>
      <c r="M329">
        <v>-153</v>
      </c>
      <c r="N329">
        <v>51</v>
      </c>
      <c r="O329">
        <v>-153</v>
      </c>
      <c r="P329">
        <v>51</v>
      </c>
    </row>
    <row r="330" spans="1:16" x14ac:dyDescent="0.25">
      <c r="A330">
        <v>21600942</v>
      </c>
      <c r="B330">
        <v>2016</v>
      </c>
      <c r="C330" t="s">
        <v>32</v>
      </c>
      <c r="D330" t="s">
        <v>31</v>
      </c>
      <c r="E330">
        <v>49</v>
      </c>
      <c r="F330">
        <v>59</v>
      </c>
      <c r="G330">
        <v>3</v>
      </c>
      <c r="H330" s="1">
        <v>7.1759259259259259E-3</v>
      </c>
      <c r="I330" t="s">
        <v>18</v>
      </c>
      <c r="J330" s="2" t="str">
        <f>HYPERLINK("https://www.nba.com/stats/events?CFID=&amp;CFPARAMS=&amp;GameEventID=233&amp;GameID=0021600942&amp;Season=2016-17&amp;flag=1&amp;title=Leonard%2017'%20Step%20Back%20Jump%20Shot%20(16%20PTS)%20(Aldridge%203%20AST)", "Leonard 17' Step Back Jump Shot (16 PTS) (Aldridge 3 AST)")</f>
        <v>Leonard 17' Step Back Jump Shot (16 PTS) (Aldridge 3 AST)</v>
      </c>
      <c r="K330" s="2" t="str">
        <f>HYPERLINK("https://www.nba.com/game/...-vs-...-0021600942/play-by-play?watchFullGame=true", "SAS vs HOU - Q3 10:20.00")</f>
        <v>SAS vs HOU - Q3 10:20.00</v>
      </c>
      <c r="L330">
        <v>17</v>
      </c>
      <c r="M330">
        <v>-153</v>
      </c>
      <c r="N330">
        <v>80</v>
      </c>
      <c r="O330">
        <v>-153</v>
      </c>
      <c r="P330">
        <v>80</v>
      </c>
    </row>
    <row r="331" spans="1:16" x14ac:dyDescent="0.25">
      <c r="A331">
        <v>22000251</v>
      </c>
      <c r="B331">
        <v>2020</v>
      </c>
      <c r="C331" t="s">
        <v>16</v>
      </c>
      <c r="D331" t="s">
        <v>19</v>
      </c>
      <c r="E331">
        <v>12</v>
      </c>
      <c r="F331">
        <v>6</v>
      </c>
      <c r="G331">
        <v>1</v>
      </c>
      <c r="H331" s="1">
        <v>6.3541666666666668E-3</v>
      </c>
      <c r="I331" t="s">
        <v>23</v>
      </c>
      <c r="J331" s="2" t="str">
        <f>HYPERLINK("https://www.nba.com/stats/events?CFID=&amp;CFPARAMS=&amp;GameEventID=34&amp;GameID=0022000251&amp;Season=2020-21&amp;flag=1&amp;title=Leonard%2025'%203PT%20%20(6%20PTS)%20(P.%20Beverley%201%20AST)", "25' 3PT  (6 PTS) (P. Beverley 1 AST)")</f>
        <v>25' 3PT  (6 PTS) (P. Beverley 1 AST)</v>
      </c>
      <c r="K331" s="2" t="str">
        <f>HYPERLINK("https://www.nba.com/game/...-vs-...-0022000251/play-by-play?watchFullGame=true", "LAC vs OKC - Q1 09:09.00")</f>
        <v>LAC vs OKC - Q1 09:09.00</v>
      </c>
      <c r="L331">
        <v>25.56</v>
      </c>
      <c r="M331">
        <v>72.62</v>
      </c>
      <c r="N331">
        <v>19.43</v>
      </c>
      <c r="O331">
        <v>-153</v>
      </c>
      <c r="P331">
        <v>205</v>
      </c>
    </row>
    <row r="332" spans="1:16" x14ac:dyDescent="0.25">
      <c r="A332">
        <v>41200311</v>
      </c>
      <c r="B332" t="s">
        <v>27</v>
      </c>
      <c r="C332" t="s">
        <v>16</v>
      </c>
      <c r="D332" t="s">
        <v>19</v>
      </c>
      <c r="E332">
        <v>82</v>
      </c>
      <c r="F332">
        <v>63</v>
      </c>
      <c r="G332">
        <v>4</v>
      </c>
      <c r="H332" s="1">
        <v>6.3888888888888893E-3</v>
      </c>
      <c r="I332" t="s">
        <v>18</v>
      </c>
      <c r="J332" s="2" t="str">
        <f>HYPERLINK("https://www.nba.com/stats/events?CFID=&amp;CFPARAMS=&amp;GameEventID=365&amp;GameID=0041200311&amp;Season=2012-13&amp;flag=1&amp;title=Leonard%2024'%203PT%20Jump%20Shot%20(15%20PTS)%20(Parker%208%20AST)", "Leonard 24' 3PT Jump Shot (15 PTS) (Parker 8 AST)")</f>
        <v>Leonard 24' 3PT Jump Shot (15 PTS) (Parker 8 AST)</v>
      </c>
      <c r="K332" s="2" t="str">
        <f>HYPERLINK("https://www.nba.com/game/...-vs-...-0041200311/play-by-play?watchFullGame=true", "SAS vs MEM - Q4 09:12.00")</f>
        <v>SAS vs MEM - Q4 09:12.00</v>
      </c>
      <c r="L332">
        <v>24</v>
      </c>
      <c r="M332">
        <v>-152</v>
      </c>
      <c r="N332">
        <v>184</v>
      </c>
      <c r="O332">
        <v>-152</v>
      </c>
      <c r="P332">
        <v>184</v>
      </c>
    </row>
    <row r="333" spans="1:16" x14ac:dyDescent="0.25">
      <c r="A333">
        <v>22200745</v>
      </c>
      <c r="B333">
        <v>2022</v>
      </c>
      <c r="C333" t="s">
        <v>16</v>
      </c>
      <c r="D333" t="s">
        <v>19</v>
      </c>
      <c r="E333">
        <v>24</v>
      </c>
      <c r="F333">
        <v>22</v>
      </c>
      <c r="G333">
        <v>1</v>
      </c>
      <c r="H333" s="1">
        <v>1.2152777777777778E-3</v>
      </c>
      <c r="I333" t="s">
        <v>23</v>
      </c>
      <c r="J333" s="2" t="str">
        <f>HYPERLINK("https://www.nba.com/stats/events?CFID=&amp;CFPARAMS=&amp;GameEventID=119&amp;GameID=0022200745&amp;Season=2022-23&amp;flag=1&amp;title=Leonard%2025'%203PT%20%20(7%20PTS)", "25' 3PT  (7 PTS)")</f>
        <v>25' 3PT  (7 PTS)</v>
      </c>
      <c r="K333" s="2" t="str">
        <f>HYPERLINK("https://www.nba.com/game/...-vs-...-0022200745/play-by-play?watchFullGame=true", "LAC vs ATL - Q1 01:45.00")</f>
        <v>LAC vs ATL - Q1 01:45.00</v>
      </c>
      <c r="L333">
        <v>25.71</v>
      </c>
      <c r="M333">
        <v>72.36</v>
      </c>
      <c r="N333">
        <v>19.61</v>
      </c>
      <c r="O333">
        <v>-152</v>
      </c>
      <c r="P333">
        <v>207</v>
      </c>
    </row>
    <row r="334" spans="1:16" x14ac:dyDescent="0.25">
      <c r="A334">
        <v>22000009</v>
      </c>
      <c r="B334">
        <v>2020</v>
      </c>
      <c r="C334" t="s">
        <v>16</v>
      </c>
      <c r="D334" t="s">
        <v>19</v>
      </c>
      <c r="E334">
        <v>58</v>
      </c>
      <c r="F334">
        <v>79</v>
      </c>
      <c r="G334">
        <v>3</v>
      </c>
      <c r="H334" s="1">
        <v>6.6666666666666671E-3</v>
      </c>
      <c r="I334" t="s">
        <v>23</v>
      </c>
      <c r="J334" s="2" t="str">
        <f>HYPERLINK("https://www.nba.com/stats/events?CFID=&amp;CFPARAMS=&amp;GameEventID=437&amp;GameID=0022000009&amp;Season=2020-21&amp;flag=1&amp;title=Leonard%2026'%203PT%20%20(17%20PTS)%20(P.%20George%205%20AST)", "26' 3PT  (17 PTS) (P. George 5 AST)")</f>
        <v>26' 3PT  (17 PTS) (P. George 5 AST)</v>
      </c>
      <c r="K334" s="2" t="str">
        <f>HYPERLINK("https://www.nba.com/game/...-vs-...-0022000009/play-by-play?watchFullGame=true", "LAC vs DEN - Q3 09:36.00")</f>
        <v>LAC vs DEN - Q3 09:36.00</v>
      </c>
      <c r="L334">
        <v>26.09</v>
      </c>
      <c r="M334">
        <v>71.83</v>
      </c>
      <c r="N334">
        <v>19.68</v>
      </c>
      <c r="O334">
        <v>-152</v>
      </c>
      <c r="P334">
        <v>212</v>
      </c>
    </row>
    <row r="335" spans="1:16" x14ac:dyDescent="0.25">
      <c r="A335">
        <v>21600717</v>
      </c>
      <c r="B335">
        <v>2016</v>
      </c>
      <c r="C335" t="s">
        <v>32</v>
      </c>
      <c r="D335" t="s">
        <v>31</v>
      </c>
      <c r="E335">
        <v>92</v>
      </c>
      <c r="F335">
        <v>98</v>
      </c>
      <c r="G335">
        <v>4</v>
      </c>
      <c r="H335" s="1">
        <v>2.9398148148148148E-3</v>
      </c>
      <c r="I335" t="s">
        <v>18</v>
      </c>
      <c r="J335" s="2" t="str">
        <f>HYPERLINK("https://www.nba.com/stats/events?CFID=&amp;CFPARAMS=&amp;GameEventID=455&amp;GameID=0021600717&amp;Season=2016-17&amp;flag=1&amp;title=Leonard%2015'%20Step%20Back%20Jump%20Shot%20(22%20PTS)", "Leonard 15' Step Back Jump Shot (22 PTS)")</f>
        <v>Leonard 15' Step Back Jump Shot (22 PTS)</v>
      </c>
      <c r="K335" s="2" t="str">
        <f>HYPERLINK("https://www.nba.com/game/...-vs-...-0021600717/play-by-play?watchFullGame=true", "SAS vs DAL - Q4 04:14.00")</f>
        <v>SAS vs DAL - Q4 04:14.00</v>
      </c>
      <c r="L335">
        <v>15</v>
      </c>
      <c r="M335">
        <v>-151</v>
      </c>
      <c r="N335">
        <v>7</v>
      </c>
      <c r="O335">
        <v>-151</v>
      </c>
      <c r="P335">
        <v>7</v>
      </c>
    </row>
    <row r="336" spans="1:16" x14ac:dyDescent="0.25">
      <c r="A336">
        <v>21600353</v>
      </c>
      <c r="B336">
        <v>2016</v>
      </c>
      <c r="C336" t="s">
        <v>32</v>
      </c>
      <c r="D336" t="s">
        <v>19</v>
      </c>
      <c r="E336">
        <v>85</v>
      </c>
      <c r="F336">
        <v>63</v>
      </c>
      <c r="G336">
        <v>3</v>
      </c>
      <c r="H336" s="1">
        <v>3.9236111111111112E-3</v>
      </c>
      <c r="I336" t="s">
        <v>18</v>
      </c>
      <c r="J336" s="2" t="str">
        <f>HYPERLINK("https://www.nba.com/stats/events?CFID=&amp;CFPARAMS=&amp;GameEventID=318&amp;GameID=0021600353&amp;Season=2016-17&amp;flag=1&amp;title=Leonard%2015'%20Jump%20Shot%20(27%20PTS)", "Leonard 15' Jump Shot (27 PTS)")</f>
        <v>Leonard 15' Jump Shot (27 PTS)</v>
      </c>
      <c r="K336" s="2" t="str">
        <f>HYPERLINK("https://www.nba.com/game/...-vs-...-0021600353/play-by-play?watchFullGame=true", "SAS vs BKN - Q3 05:39.00")</f>
        <v>SAS vs BKN - Q3 05:39.00</v>
      </c>
      <c r="L336">
        <v>15</v>
      </c>
      <c r="M336">
        <v>-151</v>
      </c>
      <c r="N336">
        <v>31</v>
      </c>
      <c r="O336">
        <v>-151</v>
      </c>
      <c r="P336">
        <v>31</v>
      </c>
    </row>
    <row r="337" spans="1:16" x14ac:dyDescent="0.25">
      <c r="A337">
        <v>21500689</v>
      </c>
      <c r="B337">
        <v>2015</v>
      </c>
      <c r="C337" t="s">
        <v>32</v>
      </c>
      <c r="D337" t="s">
        <v>19</v>
      </c>
      <c r="E337">
        <v>86</v>
      </c>
      <c r="F337">
        <v>63</v>
      </c>
      <c r="G337">
        <v>3</v>
      </c>
      <c r="H337" s="1">
        <v>3.9583333333333337E-3</v>
      </c>
      <c r="I337" t="s">
        <v>18</v>
      </c>
      <c r="J337" s="2" t="str">
        <f>HYPERLINK("https://www.nba.com/stats/events?CFID=&amp;CFPARAMS=&amp;GameEventID=385&amp;GameID=0021500689&amp;Season=2015-16&amp;flag=1&amp;title=Leonard%2015'%20Jump%20Shot%20(18%20PTS)%20(Aldridge%204%20AST)", "Leonard 15' Jump Shot (18 PTS) (Aldridge 4 AST)")</f>
        <v>Leonard 15' Jump Shot (18 PTS) (Aldridge 4 AST)</v>
      </c>
      <c r="K337" s="2" t="str">
        <f>HYPERLINK("https://www.nba.com/game/...-vs-...-0021500689/play-by-play?watchFullGame=true", "SAS vs HOU - Q3 05:42.00")</f>
        <v>SAS vs HOU - Q3 05:42.00</v>
      </c>
      <c r="L337">
        <v>15</v>
      </c>
      <c r="M337">
        <v>-150</v>
      </c>
      <c r="N337">
        <v>-6</v>
      </c>
      <c r="O337">
        <v>-150</v>
      </c>
      <c r="P337">
        <v>-6</v>
      </c>
    </row>
    <row r="338" spans="1:16" x14ac:dyDescent="0.25">
      <c r="A338">
        <v>21600114</v>
      </c>
      <c r="B338">
        <v>2016</v>
      </c>
      <c r="C338" t="s">
        <v>32</v>
      </c>
      <c r="D338" t="s">
        <v>31</v>
      </c>
      <c r="E338">
        <v>99</v>
      </c>
      <c r="F338">
        <v>101</v>
      </c>
      <c r="G338">
        <v>4</v>
      </c>
      <c r="H338" s="1">
        <v>8.1018518518518516E-4</v>
      </c>
      <c r="I338" t="s">
        <v>18</v>
      </c>
      <c r="J338" s="2" t="str">
        <f>HYPERLINK("https://www.nba.com/stats/events?CFID=&amp;CFPARAMS=&amp;GameEventID=557&amp;GameID=0021600114&amp;Season=2016-17&amp;flag=1&amp;title=Leonard%2015'%20Step%20Back%20Jump%20Shot%20(34%20PTS)", "Leonard 15' Step Back Jump Shot (34 PTS)")</f>
        <v>Leonard 15' Step Back Jump Shot (34 PTS)</v>
      </c>
      <c r="K338" s="2" t="str">
        <f>HYPERLINK("https://www.nba.com/game/...-vs-...-0021600114/play-by-play?watchFullGame=true", "SAS vs HOU - Q4 01:10.00")</f>
        <v>SAS vs HOU - Q4 01:10.00</v>
      </c>
      <c r="L338">
        <v>15</v>
      </c>
      <c r="M338">
        <v>-150</v>
      </c>
      <c r="N338">
        <v>8</v>
      </c>
      <c r="O338">
        <v>-150</v>
      </c>
      <c r="P338">
        <v>8</v>
      </c>
    </row>
    <row r="339" spans="1:16" x14ac:dyDescent="0.25">
      <c r="A339">
        <v>21500364</v>
      </c>
      <c r="B339">
        <v>2015</v>
      </c>
      <c r="C339" t="s">
        <v>32</v>
      </c>
      <c r="D339" t="s">
        <v>29</v>
      </c>
      <c r="E339">
        <v>69</v>
      </c>
      <c r="F339">
        <v>43</v>
      </c>
      <c r="G339">
        <v>3</v>
      </c>
      <c r="H339" s="1">
        <v>5.9953703703703705E-3</v>
      </c>
      <c r="I339" t="s">
        <v>18</v>
      </c>
      <c r="J339" s="2" t="str">
        <f>HYPERLINK("https://www.nba.com/stats/events?CFID=&amp;CFPARAMS=&amp;GameEventID=288&amp;GameID=0021500364&amp;Season=2015-16&amp;flag=1&amp;title=Leonard%2015'%20Pullup%20Jump%20Shot%20(15%20PTS)", "Leonard 15' Pullup Jump Shot (15 PTS)")</f>
        <v>Leonard 15' Pullup Jump Shot (15 PTS)</v>
      </c>
      <c r="K339" s="2" t="str">
        <f>HYPERLINK("https://www.nba.com/game/...-vs-...-0021500364/play-by-play?watchFullGame=true", "SAS vs UTA - Q3 08:38.00")</f>
        <v>SAS vs UTA - Q3 08:38.00</v>
      </c>
      <c r="L339">
        <v>15</v>
      </c>
      <c r="M339">
        <v>-150</v>
      </c>
      <c r="N339">
        <v>11</v>
      </c>
      <c r="O339">
        <v>-150</v>
      </c>
      <c r="P339">
        <v>11</v>
      </c>
    </row>
    <row r="340" spans="1:16" x14ac:dyDescent="0.25">
      <c r="A340">
        <v>21300952</v>
      </c>
      <c r="B340">
        <v>2013</v>
      </c>
      <c r="C340" t="s">
        <v>32</v>
      </c>
      <c r="D340" t="s">
        <v>19</v>
      </c>
      <c r="E340">
        <v>6</v>
      </c>
      <c r="F340">
        <v>17</v>
      </c>
      <c r="G340">
        <v>1</v>
      </c>
      <c r="H340" s="1">
        <v>4.5023148148148149E-3</v>
      </c>
      <c r="I340" t="s">
        <v>18</v>
      </c>
      <c r="J340" s="2" t="str">
        <f>HYPERLINK("https://www.nba.com/stats/events?CFID=&amp;CFPARAMS=&amp;GameEventID=36&amp;GameID=0021300952&amp;Season=2013-14&amp;flag=1&amp;title=Leonard%2015'%20Jump%20Shot%20(7%20PTS)", "Leonard 15' Jump Shot (7 PTS)")</f>
        <v>Leonard 15' Jump Shot (7 PTS)</v>
      </c>
      <c r="K340" s="2" t="str">
        <f>HYPERLINK("https://www.nba.com/game/...-vs-...-0021300952/play-by-play?watchFullGame=true", "SAS vs CHI - Q1 06:29.00")</f>
        <v>SAS vs CHI - Q1 06:29.00</v>
      </c>
      <c r="L340">
        <v>15</v>
      </c>
      <c r="M340">
        <v>-150</v>
      </c>
      <c r="N340">
        <v>12</v>
      </c>
      <c r="O340">
        <v>-150</v>
      </c>
      <c r="P340">
        <v>12</v>
      </c>
    </row>
    <row r="341" spans="1:16" x14ac:dyDescent="0.25">
      <c r="A341">
        <v>21600289</v>
      </c>
      <c r="B341">
        <v>2016</v>
      </c>
      <c r="C341" t="s">
        <v>32</v>
      </c>
      <c r="D341" t="s">
        <v>29</v>
      </c>
      <c r="E341">
        <v>14</v>
      </c>
      <c r="F341">
        <v>20</v>
      </c>
      <c r="G341">
        <v>1</v>
      </c>
      <c r="H341" s="1">
        <v>2.627314814814815E-3</v>
      </c>
      <c r="I341" t="s">
        <v>18</v>
      </c>
      <c r="J341" s="2" t="str">
        <f>HYPERLINK("https://www.nba.com/stats/events?CFID=&amp;CFPARAMS=&amp;GameEventID=85&amp;GameID=0021600289&amp;Season=2016-17&amp;flag=1&amp;title=Leonard%2015'%20Pullup%20Jump%20Shot%20(7%20PTS)%20(Mills%203%20AST)", "Leonard 15' Pullup Jump Shot (7 PTS) (Mills 3 AST)")</f>
        <v>Leonard 15' Pullup Jump Shot (7 PTS) (Mills 3 AST)</v>
      </c>
      <c r="K341" s="2" t="str">
        <f>HYPERLINK("https://www.nba.com/game/...-vs-...-0021600289/play-by-play?watchFullGame=true", "SAS vs WAS - Q1 03:47.00")</f>
        <v>SAS vs WAS - Q1 03:47.00</v>
      </c>
      <c r="L341">
        <v>15</v>
      </c>
      <c r="M341">
        <v>-150</v>
      </c>
      <c r="N341">
        <v>28</v>
      </c>
      <c r="O341">
        <v>-150</v>
      </c>
      <c r="P341">
        <v>28</v>
      </c>
    </row>
    <row r="342" spans="1:16" x14ac:dyDescent="0.25">
      <c r="A342">
        <v>21500532</v>
      </c>
      <c r="B342">
        <v>2015</v>
      </c>
      <c r="C342" t="s">
        <v>32</v>
      </c>
      <c r="D342" t="s">
        <v>29</v>
      </c>
      <c r="E342">
        <v>13</v>
      </c>
      <c r="F342">
        <v>5</v>
      </c>
      <c r="G342">
        <v>1</v>
      </c>
      <c r="H342" s="1">
        <v>5.9606481481481481E-3</v>
      </c>
      <c r="I342" t="s">
        <v>18</v>
      </c>
      <c r="J342" s="2" t="str">
        <f>HYPERLINK("https://www.nba.com/stats/events?CFID=&amp;CFPARAMS=&amp;GameEventID=21&amp;GameID=0021500532&amp;Season=2015-16&amp;flag=1&amp;title=Leonard%2015'%20Pullup%20Jump%20Shot%20(4%20PTS)", "Leonard 15' Pullup Jump Shot (4 PTS)")</f>
        <v>Leonard 15' Pullup Jump Shot (4 PTS)</v>
      </c>
      <c r="K342" s="2" t="str">
        <f>HYPERLINK("https://www.nba.com/game/...-vs-...-0021500532/play-by-play?watchFullGame=true", "SAS vs UTA - Q1 08:35.00")</f>
        <v>SAS vs UTA - Q1 08:35.00</v>
      </c>
      <c r="L342">
        <v>15</v>
      </c>
      <c r="M342">
        <v>-150</v>
      </c>
      <c r="N342">
        <v>28</v>
      </c>
      <c r="O342">
        <v>-150</v>
      </c>
      <c r="P342">
        <v>28</v>
      </c>
    </row>
    <row r="343" spans="1:16" x14ac:dyDescent="0.25">
      <c r="A343">
        <v>21600543</v>
      </c>
      <c r="B343">
        <v>2016</v>
      </c>
      <c r="C343" t="s">
        <v>32</v>
      </c>
      <c r="D343" t="s">
        <v>19</v>
      </c>
      <c r="E343">
        <v>77</v>
      </c>
      <c r="F343">
        <v>92</v>
      </c>
      <c r="G343">
        <v>4</v>
      </c>
      <c r="H343" s="1">
        <v>8.0555555555555554E-3</v>
      </c>
      <c r="I343" t="s">
        <v>18</v>
      </c>
      <c r="J343" s="2" t="str">
        <f>HYPERLINK("https://www.nba.com/stats/events?CFID=&amp;CFPARAMS=&amp;GameEventID=379&amp;GameID=0021600543&amp;Season=2016-17&amp;flag=1&amp;title=Leonard%2015'%20Jump%20Shot%20(17%20PTS)", "Leonard 15' Jump Shot (17 PTS)")</f>
        <v>Leonard 15' Jump Shot (17 PTS)</v>
      </c>
      <c r="K343" s="2" t="str">
        <f>HYPERLINK("https://www.nba.com/game/...-vs-...-0021600543/play-by-play?watchFullGame=true", "SAS vs DEN - Q4 11:36.00")</f>
        <v>SAS vs DEN - Q4 11:36.00</v>
      </c>
      <c r="L343">
        <v>15</v>
      </c>
      <c r="M343">
        <v>-150</v>
      </c>
      <c r="N343">
        <v>38</v>
      </c>
      <c r="O343">
        <v>-150</v>
      </c>
      <c r="P343">
        <v>38</v>
      </c>
    </row>
    <row r="344" spans="1:16" x14ac:dyDescent="0.25">
      <c r="A344">
        <v>22200509</v>
      </c>
      <c r="B344">
        <v>2022</v>
      </c>
      <c r="C344" t="s">
        <v>32</v>
      </c>
      <c r="D344" t="s">
        <v>19</v>
      </c>
      <c r="E344">
        <v>65</v>
      </c>
      <c r="F344">
        <v>71</v>
      </c>
      <c r="G344">
        <v>3</v>
      </c>
      <c r="H344" s="1">
        <v>5.1967592592592595E-3</v>
      </c>
      <c r="I344" t="s">
        <v>23</v>
      </c>
      <c r="J344" s="2" t="str">
        <f>HYPERLINK("https://www.nba.com/stats/events?CFID=&amp;CFPARAMS=&amp;GameEventID=376&amp;GameID=0022200509&amp;Season=2022-23&amp;flag=1&amp;title=Leonard%2015'%20turnaround%20Jump%20Shot%20(8%20PTS)%20(R.%20Jackson%203%20AST)", "15' turnaround Jump Shot (8 PTS) (R. Jackson 3 AST)")</f>
        <v>15' turnaround Jump Shot (8 PTS) (R. Jackson 3 AST)</v>
      </c>
      <c r="K344" s="2" t="str">
        <f>HYPERLINK("https://www.nba.com/game/...-vs-...-0022200509/play-by-play?watchFullGame=true", "LAC vs TOR - Q3 07:29.00")</f>
        <v>LAC vs TOR - Q3 07:29.00</v>
      </c>
      <c r="L344">
        <v>15.79</v>
      </c>
      <c r="M344">
        <v>10.99</v>
      </c>
      <c r="N344">
        <v>79.900000000000006</v>
      </c>
      <c r="O344">
        <v>-150</v>
      </c>
      <c r="P344">
        <v>51</v>
      </c>
    </row>
    <row r="345" spans="1:16" x14ac:dyDescent="0.25">
      <c r="A345">
        <v>21401134</v>
      </c>
      <c r="B345">
        <v>2014</v>
      </c>
      <c r="C345" t="s">
        <v>32</v>
      </c>
      <c r="D345" t="s">
        <v>19</v>
      </c>
      <c r="E345">
        <v>28</v>
      </c>
      <c r="F345">
        <v>14</v>
      </c>
      <c r="G345">
        <v>1</v>
      </c>
      <c r="H345" s="1">
        <v>3.5763888888888889E-3</v>
      </c>
      <c r="I345" t="s">
        <v>18</v>
      </c>
      <c r="J345" s="2" t="str">
        <f>HYPERLINK("https://www.nba.com/stats/events?CFID=&amp;CFPARAMS=&amp;GameEventID=59&amp;GameID=0021401134&amp;Season=2014-15&amp;flag=1&amp;title=Leonard%2015'%20Jump%20Shot%20(15%20PTS)", "Leonard 15' Jump Shot (15 PTS)")</f>
        <v>Leonard 15' Jump Shot (15 PTS)</v>
      </c>
      <c r="K345" s="2" t="str">
        <f>HYPERLINK("https://www.nba.com/game/...-vs-...-0021401134/play-by-play?watchFullGame=true", "SAS vs DEN - Q1 05:09.00")</f>
        <v>SAS vs DEN - Q1 05:09.00</v>
      </c>
      <c r="L345">
        <v>15</v>
      </c>
      <c r="M345">
        <v>-149</v>
      </c>
      <c r="N345">
        <v>30</v>
      </c>
      <c r="O345">
        <v>-149</v>
      </c>
      <c r="P345">
        <v>30</v>
      </c>
    </row>
    <row r="346" spans="1:16" x14ac:dyDescent="0.25">
      <c r="A346">
        <v>22000605</v>
      </c>
      <c r="B346">
        <v>2020</v>
      </c>
      <c r="C346" t="s">
        <v>32</v>
      </c>
      <c r="D346" t="s">
        <v>19</v>
      </c>
      <c r="E346">
        <v>13</v>
      </c>
      <c r="F346">
        <v>24</v>
      </c>
      <c r="G346">
        <v>1</v>
      </c>
      <c r="H346" s="1">
        <v>1.8981481481481482E-3</v>
      </c>
      <c r="I346" t="s">
        <v>23</v>
      </c>
      <c r="J346" s="2" t="str">
        <f>HYPERLINK("https://www.nba.com/stats/events?CFID=&amp;CFPARAMS=&amp;GameEventID=95&amp;GameID=0022000605&amp;Season=2020-21&amp;flag=1&amp;title=Leonard%2015'%20turnaround%20fadeaway%20Jump%20Shot%20(6%20PTS)%20(N.%20Batum%201%20AST)", "15' turnaround fadeaway Jump Shot (6 PTS) (N. Batum 1 AST)")</f>
        <v>15' turnaround fadeaway Jump Shot (6 PTS) (N. Batum 1 AST)</v>
      </c>
      <c r="K346" s="2" t="str">
        <f>HYPERLINK("https://www.nba.com/game/...-vs-...-0022000605/play-by-play?watchFullGame=true", "LAC vs DAL - Q1 02:44.00")</f>
        <v>LAC vs DAL - Q1 02:44.00</v>
      </c>
      <c r="L346">
        <v>15.31</v>
      </c>
      <c r="M346">
        <v>90.75</v>
      </c>
      <c r="N346">
        <v>20.170000000000002</v>
      </c>
      <c r="O346">
        <v>-149</v>
      </c>
      <c r="P346">
        <v>34</v>
      </c>
    </row>
    <row r="347" spans="1:16" x14ac:dyDescent="0.25">
      <c r="A347">
        <v>22000091</v>
      </c>
      <c r="B347">
        <v>2020</v>
      </c>
      <c r="C347" t="s">
        <v>32</v>
      </c>
      <c r="D347" t="s">
        <v>19</v>
      </c>
      <c r="E347">
        <v>60</v>
      </c>
      <c r="F347">
        <v>77</v>
      </c>
      <c r="G347">
        <v>3</v>
      </c>
      <c r="H347" s="1">
        <v>4.1203703703703706E-3</v>
      </c>
      <c r="I347" t="s">
        <v>23</v>
      </c>
      <c r="J347" s="2" t="str">
        <f>HYPERLINK("https://www.nba.com/stats/events?CFID=&amp;CFPARAMS=&amp;GameEventID=366&amp;GameID=0022000091&amp;Season=2020-21&amp;flag=1&amp;title=Leonard%2015'%20turnaround%20Jump%20Shot%20(11%20PTS)", "15' turnaround Jump Shot (11 PTS)")</f>
        <v>15' turnaround Jump Shot (11 PTS)</v>
      </c>
      <c r="K347" s="2" t="str">
        <f>HYPERLINK("https://www.nba.com/game/...-vs-...-0022000091/play-by-play?watchFullGame=true", "LAC vs PHX - Q3 05:56.00")</f>
        <v>LAC vs PHX - Q3 05:56.00</v>
      </c>
      <c r="L347">
        <v>15.79</v>
      </c>
      <c r="M347">
        <v>88.91</v>
      </c>
      <c r="N347">
        <v>20.170000000000002</v>
      </c>
      <c r="O347">
        <v>-149</v>
      </c>
      <c r="P347">
        <v>52</v>
      </c>
    </row>
    <row r="348" spans="1:16" x14ac:dyDescent="0.25">
      <c r="A348">
        <v>22000605</v>
      </c>
      <c r="B348">
        <v>2020</v>
      </c>
      <c r="C348" t="s">
        <v>32</v>
      </c>
      <c r="D348" t="s">
        <v>19</v>
      </c>
      <c r="E348">
        <v>3</v>
      </c>
      <c r="F348">
        <v>8</v>
      </c>
      <c r="G348">
        <v>1</v>
      </c>
      <c r="H348" s="1">
        <v>6.5972222222222222E-3</v>
      </c>
      <c r="I348" t="s">
        <v>23</v>
      </c>
      <c r="J348" s="2" t="str">
        <f>HYPERLINK("https://www.nba.com/stats/events?CFID=&amp;CFPARAMS=&amp;GameEventID=22&amp;GameID=0022000605&amp;Season=2020-21&amp;flag=1&amp;title=Leonard%2022'%20Jump%20Shot%20(4%20PTS)", "22' Jump Shot (4 PTS)")</f>
        <v>22' Jump Shot (4 PTS)</v>
      </c>
      <c r="K348" s="2" t="str">
        <f>HYPERLINK("https://www.nba.com/game/...-vs-...-0022000605/play-by-play?watchFullGame=true", "LAC vs DAL - Q1 09:30.00")</f>
        <v>LAC vs DAL - Q1 09:30.00</v>
      </c>
      <c r="L348">
        <v>22.36</v>
      </c>
      <c r="M348">
        <v>76.69</v>
      </c>
      <c r="N348">
        <v>20.170000000000002</v>
      </c>
      <c r="O348">
        <v>-149</v>
      </c>
      <c r="P348">
        <v>167</v>
      </c>
    </row>
    <row r="349" spans="1:16" x14ac:dyDescent="0.25">
      <c r="A349">
        <v>21500040</v>
      </c>
      <c r="B349">
        <v>2015</v>
      </c>
      <c r="C349" t="s">
        <v>32</v>
      </c>
      <c r="D349" t="s">
        <v>19</v>
      </c>
      <c r="E349">
        <v>22</v>
      </c>
      <c r="F349">
        <v>31</v>
      </c>
      <c r="G349">
        <v>2</v>
      </c>
      <c r="H349" s="1">
        <v>4.9421296296296297E-3</v>
      </c>
      <c r="I349" t="s">
        <v>18</v>
      </c>
      <c r="J349" s="2" t="str">
        <f>HYPERLINK("https://www.nba.com/stats/events?CFID=&amp;CFPARAMS=&amp;GameEventID=174&amp;GameID=0021500040&amp;Season=2015-16&amp;flag=1&amp;title=Leonard%2015'%20Jump%20Shot%20(10%20PTS)%20(Aldridge%203%20AST)", "Leonard 15' Jump Shot (10 PTS) (Aldridge 3 AST)")</f>
        <v>Leonard 15' Jump Shot (10 PTS) (Aldridge 3 AST)</v>
      </c>
      <c r="K349" s="2" t="str">
        <f>HYPERLINK("https://www.nba.com/game/...-vs-...-0021500040/play-by-play?watchFullGame=true", "SAS vs BOS - Q2 07:07.00")</f>
        <v>SAS vs BOS - Q2 07:07.00</v>
      </c>
      <c r="L349">
        <v>15</v>
      </c>
      <c r="M349">
        <v>-148</v>
      </c>
      <c r="N349">
        <v>3</v>
      </c>
      <c r="O349">
        <v>-148</v>
      </c>
      <c r="P349">
        <v>3</v>
      </c>
    </row>
    <row r="350" spans="1:16" x14ac:dyDescent="0.25">
      <c r="A350">
        <v>21500790</v>
      </c>
      <c r="B350">
        <v>2015</v>
      </c>
      <c r="C350" t="s">
        <v>32</v>
      </c>
      <c r="D350" t="s">
        <v>19</v>
      </c>
      <c r="E350">
        <v>5</v>
      </c>
      <c r="F350">
        <v>4</v>
      </c>
      <c r="G350">
        <v>1</v>
      </c>
      <c r="H350" s="1">
        <v>6.2847222222222219E-3</v>
      </c>
      <c r="I350" t="s">
        <v>18</v>
      </c>
      <c r="J350" s="2" t="str">
        <f>HYPERLINK("https://www.nba.com/stats/events?CFID=&amp;CFPARAMS=&amp;GameEventID=33&amp;GameID=0021500790&amp;Season=2015-16&amp;flag=1&amp;title=Leonard%2015'%20Jump%20Shot%20(2%20PTS)%20(Duncan%201%20AST)", "Leonard 15' Jump Shot (2 PTS) (Duncan 1 AST)")</f>
        <v>Leonard 15' Jump Shot (2 PTS) (Duncan 1 AST)</v>
      </c>
      <c r="K350" s="2" t="str">
        <f>HYPERLINK("https://www.nba.com/game/...-vs-...-0021500790/play-by-play?watchFullGame=true", "SAS vs ORL - Q1 09:03.00")</f>
        <v>SAS vs ORL - Q1 09:03.00</v>
      </c>
      <c r="L350">
        <v>15</v>
      </c>
      <c r="M350">
        <v>-148</v>
      </c>
      <c r="N350">
        <v>23</v>
      </c>
      <c r="O350">
        <v>-148</v>
      </c>
      <c r="P350">
        <v>23</v>
      </c>
    </row>
    <row r="351" spans="1:16" x14ac:dyDescent="0.25">
      <c r="A351">
        <v>21900406</v>
      </c>
      <c r="B351">
        <v>2019</v>
      </c>
      <c r="C351" t="s">
        <v>32</v>
      </c>
      <c r="D351" t="s">
        <v>22</v>
      </c>
      <c r="E351">
        <v>12</v>
      </c>
      <c r="F351">
        <v>12</v>
      </c>
      <c r="G351">
        <v>1</v>
      </c>
      <c r="H351" s="1">
        <v>5.4050925925925924E-3</v>
      </c>
      <c r="I351" t="s">
        <v>23</v>
      </c>
      <c r="J351" s="2" t="str">
        <f>HYPERLINK("https://www.nba.com/stats/events?CFID=&amp;CFPARAMS=&amp;GameEventID=40&amp;GameID=0021900406&amp;Season=2019-20&amp;flag=1&amp;title=Leonard%2016'%20jumpshot%20(4%20PTS)", "16' jumpshot (4 PTS)")</f>
        <v>16' jumpshot (4 PTS)</v>
      </c>
      <c r="K351" s="2" t="str">
        <f>HYPERLINK("https://www.nba.com/game/...-vs-...-0021900406/play-by-play?watchFullGame=true", "LAC vs PHX - Q1 07:47.00")</f>
        <v>LAC vs PHX - Q1 07:47.00</v>
      </c>
      <c r="L351">
        <v>15.58</v>
      </c>
      <c r="M351">
        <v>10.25</v>
      </c>
      <c r="N351">
        <v>79.56</v>
      </c>
      <c r="O351">
        <v>-148</v>
      </c>
      <c r="P351">
        <v>44</v>
      </c>
    </row>
    <row r="352" spans="1:16" x14ac:dyDescent="0.25">
      <c r="A352">
        <v>21600289</v>
      </c>
      <c r="B352">
        <v>2016</v>
      </c>
      <c r="C352" t="s">
        <v>32</v>
      </c>
      <c r="D352" t="s">
        <v>24</v>
      </c>
      <c r="E352">
        <v>100</v>
      </c>
      <c r="F352">
        <v>95</v>
      </c>
      <c r="G352">
        <v>4</v>
      </c>
      <c r="H352" s="1">
        <v>1.9444444444444444E-3</v>
      </c>
      <c r="I352" t="s">
        <v>18</v>
      </c>
      <c r="J352" s="2" t="str">
        <f>HYPERLINK("https://www.nba.com/stats/events?CFID=&amp;CFPARAMS=&amp;GameEventID=514&amp;GameID=0021600289&amp;Season=2016-17&amp;flag=1&amp;title=Leonard%2015'%20Turnaround%20Jump%20Shot%20(21%20PTS)", "Leonard 15' Turnaround Jump Shot (21 PTS)")</f>
        <v>Leonard 15' Turnaround Jump Shot (21 PTS)</v>
      </c>
      <c r="K352" s="2" t="str">
        <f>HYPERLINK("https://www.nba.com/game/...-vs-...-0021600289/play-by-play?watchFullGame=true", "SAS vs WAS - Q4 02:48.00")</f>
        <v>SAS vs WAS - Q4 02:48.00</v>
      </c>
      <c r="L352">
        <v>15</v>
      </c>
      <c r="M352">
        <v>-148</v>
      </c>
      <c r="N352">
        <v>46</v>
      </c>
      <c r="O352">
        <v>-148</v>
      </c>
      <c r="P352">
        <v>46</v>
      </c>
    </row>
    <row r="353" spans="1:16" x14ac:dyDescent="0.25">
      <c r="A353">
        <v>21500379</v>
      </c>
      <c r="B353">
        <v>2015</v>
      </c>
      <c r="C353" t="s">
        <v>32</v>
      </c>
      <c r="D353" t="s">
        <v>29</v>
      </c>
      <c r="E353">
        <v>55</v>
      </c>
      <c r="F353">
        <v>48</v>
      </c>
      <c r="G353">
        <v>2</v>
      </c>
      <c r="H353" s="1">
        <v>7.1759259259259259E-4</v>
      </c>
      <c r="I353" t="s">
        <v>18</v>
      </c>
      <c r="J353" s="2" t="str">
        <f>HYPERLINK("https://www.nba.com/stats/events?CFID=&amp;CFPARAMS=&amp;GameEventID=266&amp;GameID=0021500379&amp;Season=2015-16&amp;flag=1&amp;title=Leonard%2016'%20Pullup%20Jump%20Shot%20(13%20PTS)%20(Parker%204%20AST)", "Leonard 16' Pullup Jump Shot (13 PTS) (Parker 4 AST)")</f>
        <v>Leonard 16' Pullup Jump Shot (13 PTS) (Parker 4 AST)</v>
      </c>
      <c r="K353" s="2" t="str">
        <f>HYPERLINK("https://www.nba.com/game/...-vs-...-0021500379/play-by-play?watchFullGame=true", "SAS vs WAS - Q2 01:02.00")</f>
        <v>SAS vs WAS - Q2 01:02.00</v>
      </c>
      <c r="L353">
        <v>16</v>
      </c>
      <c r="M353">
        <v>-148</v>
      </c>
      <c r="N353">
        <v>65</v>
      </c>
      <c r="O353">
        <v>-148</v>
      </c>
      <c r="P353">
        <v>65</v>
      </c>
    </row>
    <row r="354" spans="1:16" x14ac:dyDescent="0.25">
      <c r="A354">
        <v>21900339</v>
      </c>
      <c r="B354">
        <v>2019</v>
      </c>
      <c r="C354" t="s">
        <v>32</v>
      </c>
      <c r="D354" t="s">
        <v>22</v>
      </c>
      <c r="E354">
        <v>112</v>
      </c>
      <c r="F354">
        <v>125</v>
      </c>
      <c r="G354">
        <v>4</v>
      </c>
      <c r="H354" s="1">
        <v>2.7546296296296294E-3</v>
      </c>
      <c r="I354" t="s">
        <v>23</v>
      </c>
      <c r="J354" s="2" t="str">
        <f>HYPERLINK("https://www.nba.com/stats/events?CFID=&amp;CFPARAMS=&amp;GameEventID=666&amp;GameID=0021900339&amp;Season=2019-20&amp;flag=1&amp;title=Leonard%2018'%20jumpshot%20(34%20PTS)", "18' jumpshot (34 PTS)")</f>
        <v>18' jumpshot (34 PTS)</v>
      </c>
      <c r="K354" s="2" t="str">
        <f>HYPERLINK("https://www.nba.com/game/...-vs-...-0021900339/play-by-play?watchFullGame=true", "LAC vs WAS - Q4 03:58.00")</f>
        <v>LAC vs WAS - Q4 03:58.00</v>
      </c>
      <c r="L354">
        <v>17.809999999999999</v>
      </c>
      <c r="M354">
        <v>15.56</v>
      </c>
      <c r="N354">
        <v>79.59</v>
      </c>
      <c r="O354">
        <v>-148</v>
      </c>
      <c r="P354">
        <v>94</v>
      </c>
    </row>
    <row r="355" spans="1:16" x14ac:dyDescent="0.25">
      <c r="A355">
        <v>22400859</v>
      </c>
      <c r="B355">
        <v>2024</v>
      </c>
      <c r="C355" t="s">
        <v>16</v>
      </c>
      <c r="D355" t="s">
        <v>19</v>
      </c>
      <c r="E355">
        <v>69</v>
      </c>
      <c r="F355">
        <v>72</v>
      </c>
      <c r="G355">
        <v>3</v>
      </c>
      <c r="H355" s="1">
        <v>2.8356481481481483E-3</v>
      </c>
      <c r="I355" t="s">
        <v>23</v>
      </c>
      <c r="J355" s="2" t="str">
        <f>HYPERLINK("https://www.nba.com/stats/events?CFID=&amp;CFPARAMS=&amp;GameEventID=390&amp;GameID=0022400859&amp;Season=2024-25&amp;flag=1&amp;title=Leonard%2026'%203PT%20%20(16%20PTS)%20(A.%20Coffey%202%20AST)", "26' 3PT  (16 PTS) (A. Coffey 2 AST)")</f>
        <v>26' 3PT  (16 PTS) (A. Coffey 2 AST)</v>
      </c>
      <c r="K355" s="2" t="str">
        <f>HYPERLINK("https://www.nba.com/game/...-vs-...-0022400859/play-by-play?watchFullGame=true", "LAC vs LAL - Q3 04:05.00")</f>
        <v>LAC vs LAL - Q3 04:05.00</v>
      </c>
      <c r="L355">
        <v>26.46</v>
      </c>
      <c r="M355">
        <v>28.91</v>
      </c>
      <c r="N355">
        <v>79.63</v>
      </c>
      <c r="O355">
        <v>-148</v>
      </c>
      <c r="P355">
        <v>219</v>
      </c>
    </row>
    <row r="356" spans="1:16" x14ac:dyDescent="0.25">
      <c r="A356">
        <v>21401134</v>
      </c>
      <c r="B356">
        <v>2014</v>
      </c>
      <c r="C356" t="s">
        <v>32</v>
      </c>
      <c r="D356" t="s">
        <v>19</v>
      </c>
      <c r="E356">
        <v>9</v>
      </c>
      <c r="F356">
        <v>6</v>
      </c>
      <c r="G356">
        <v>1</v>
      </c>
      <c r="H356" s="1">
        <v>6.875E-3</v>
      </c>
      <c r="I356" t="s">
        <v>18</v>
      </c>
      <c r="J356" s="2" t="str">
        <f>HYPERLINK("https://www.nba.com/stats/events?CFID=&amp;CFPARAMS=&amp;GameEventID=18&amp;GameID=0021401134&amp;Season=2014-15&amp;flag=1&amp;title=Leonard%2015'%20Jump%20Shot%20(6%20PTS)%20(Green%201%20AST)", "Leonard 15' Jump Shot (6 PTS) (Green 1 AST)")</f>
        <v>Leonard 15' Jump Shot (6 PTS) (Green 1 AST)</v>
      </c>
      <c r="K356" s="2" t="str">
        <f>HYPERLINK("https://www.nba.com/game/...-vs-...-0021401134/play-by-play?watchFullGame=true", "SAS vs DEN - Q1 09:54.00")</f>
        <v>SAS vs DEN - Q1 09:54.00</v>
      </c>
      <c r="L356">
        <v>15</v>
      </c>
      <c r="M356">
        <v>-147</v>
      </c>
      <c r="N356">
        <v>-6</v>
      </c>
      <c r="O356">
        <v>-147</v>
      </c>
      <c r="P356">
        <v>-6</v>
      </c>
    </row>
    <row r="357" spans="1:16" x14ac:dyDescent="0.25">
      <c r="A357">
        <v>21500860</v>
      </c>
      <c r="B357">
        <v>2015</v>
      </c>
      <c r="C357" t="s">
        <v>32</v>
      </c>
      <c r="D357" t="s">
        <v>29</v>
      </c>
      <c r="E357">
        <v>72</v>
      </c>
      <c r="F357">
        <v>88</v>
      </c>
      <c r="G357">
        <v>4</v>
      </c>
      <c r="H357" s="1">
        <v>2.7199074074074074E-3</v>
      </c>
      <c r="I357" t="s">
        <v>18</v>
      </c>
      <c r="J357" s="2" t="str">
        <f>HYPERLINK("https://www.nba.com/stats/events?CFID=&amp;CFPARAMS=&amp;GameEventID=399&amp;GameID=0021500860&amp;Season=2015-16&amp;flag=1&amp;title=Leonard%2015'%20Pullup%20Jump%20Shot%20(29%20PTS)", "Leonard 15' Pullup Jump Shot (29 PTS)")</f>
        <v>Leonard 15' Pullup Jump Shot (29 PTS)</v>
      </c>
      <c r="K357" s="2" t="str">
        <f>HYPERLINK("https://www.nba.com/game/...-vs-...-0021500860/play-by-play?watchFullGame=true", "SAS vs UTA - Q4 03:55.00")</f>
        <v>SAS vs UTA - Q4 03:55.00</v>
      </c>
      <c r="L357">
        <v>15</v>
      </c>
      <c r="M357">
        <v>-147</v>
      </c>
      <c r="N357">
        <v>2</v>
      </c>
      <c r="O357">
        <v>-147</v>
      </c>
      <c r="P357">
        <v>2</v>
      </c>
    </row>
    <row r="358" spans="1:16" x14ac:dyDescent="0.25">
      <c r="A358">
        <v>21500909</v>
      </c>
      <c r="B358">
        <v>2015</v>
      </c>
      <c r="C358" t="s">
        <v>32</v>
      </c>
      <c r="D358" t="s">
        <v>33</v>
      </c>
      <c r="E358">
        <v>4</v>
      </c>
      <c r="F358">
        <v>2</v>
      </c>
      <c r="G358">
        <v>1</v>
      </c>
      <c r="H358" s="1">
        <v>7.3263888888888892E-3</v>
      </c>
      <c r="I358" t="s">
        <v>18</v>
      </c>
      <c r="J358" s="2" t="str">
        <f>HYPERLINK("https://www.nba.com/stats/events?CFID=&amp;CFPARAMS=&amp;GameEventID=12&amp;GameID=0021500909&amp;Season=2015-16&amp;flag=1&amp;title=Leonard%2015'%20Fadeaway%20Jumper%20(2%20PTS)%20(Green%201%20AST)", "Leonard 15' Fadeaway Jumper (2 PTS) (Green 1 AST)")</f>
        <v>Leonard 15' Fadeaway Jumper (2 PTS) (Green 1 AST)</v>
      </c>
      <c r="K358" s="2" t="str">
        <f>HYPERLINK("https://www.nba.com/game/...-vs-...-0021500909/play-by-play?watchFullGame=true", "SAS vs NOP - Q1 10:33.00")</f>
        <v>SAS vs NOP - Q1 10:33.00</v>
      </c>
      <c r="L358">
        <v>15</v>
      </c>
      <c r="M358">
        <v>-147</v>
      </c>
      <c r="N358">
        <v>3</v>
      </c>
      <c r="O358">
        <v>-147</v>
      </c>
      <c r="P358">
        <v>3</v>
      </c>
    </row>
    <row r="359" spans="1:16" x14ac:dyDescent="0.25">
      <c r="A359">
        <v>21500090</v>
      </c>
      <c r="B359">
        <v>2015</v>
      </c>
      <c r="C359" t="s">
        <v>32</v>
      </c>
      <c r="D359" t="s">
        <v>31</v>
      </c>
      <c r="E359">
        <v>103</v>
      </c>
      <c r="F359">
        <v>82</v>
      </c>
      <c r="G359">
        <v>4</v>
      </c>
      <c r="H359" s="1">
        <v>3.8310185185185183E-3</v>
      </c>
      <c r="I359" t="s">
        <v>18</v>
      </c>
      <c r="J359" s="2" t="str">
        <f>HYPERLINK("https://www.nba.com/stats/events?CFID=&amp;CFPARAMS=&amp;GameEventID=450&amp;GameID=0021500090&amp;Season=2015-16&amp;flag=1&amp;title=Leonard%2015'%20Step%20Back%20Jump%20Shot%20(21%20PTS)%20(Anderson%201%20AST)", "Leonard 15' Step Back Jump Shot (21 PTS) (Anderson 1 AST)")</f>
        <v>Leonard 15' Step Back Jump Shot (21 PTS) (Anderson 1 AST)</v>
      </c>
      <c r="K359" s="2" t="str">
        <f>HYPERLINK("https://www.nba.com/game/...-vs-...-0021500090/play-by-play?watchFullGame=true", "SAS vs CHA - Q4 05:31.00")</f>
        <v>SAS vs CHA - Q4 05:31.00</v>
      </c>
      <c r="L359">
        <v>15</v>
      </c>
      <c r="M359">
        <v>-147</v>
      </c>
      <c r="N359">
        <v>11</v>
      </c>
      <c r="O359">
        <v>-147</v>
      </c>
      <c r="P359">
        <v>11</v>
      </c>
    </row>
    <row r="360" spans="1:16" x14ac:dyDescent="0.25">
      <c r="A360">
        <v>21601209</v>
      </c>
      <c r="B360">
        <v>2016</v>
      </c>
      <c r="C360" t="s">
        <v>32</v>
      </c>
      <c r="D360" t="s">
        <v>33</v>
      </c>
      <c r="E360">
        <v>60</v>
      </c>
      <c r="F360">
        <v>59</v>
      </c>
      <c r="G360">
        <v>3</v>
      </c>
      <c r="H360" s="1">
        <v>4.9537037037037041E-3</v>
      </c>
      <c r="I360" t="s">
        <v>18</v>
      </c>
      <c r="J360" s="2" t="str">
        <f>HYPERLINK("https://www.nba.com/stats/events?CFID=&amp;CFPARAMS=&amp;GameEventID=294&amp;GameID=0021601209&amp;Season=2016-17&amp;flag=1&amp;title=Leonard%2015'%20Fadeaway%20Jumper%20(14%20PTS)", "Leonard 15' Fadeaway Jumper (14 PTS)")</f>
        <v>Leonard 15' Fadeaway Jumper (14 PTS)</v>
      </c>
      <c r="K360" s="2" t="str">
        <f>HYPERLINK("https://www.nba.com/game/...-vs-...-0021601209/play-by-play?watchFullGame=true", "SAS vs POR - Q3 07:08.00")</f>
        <v>SAS vs POR - Q3 07:08.00</v>
      </c>
      <c r="L360">
        <v>15</v>
      </c>
      <c r="M360">
        <v>-147</v>
      </c>
      <c r="N360">
        <v>18</v>
      </c>
      <c r="O360">
        <v>-147</v>
      </c>
      <c r="P360">
        <v>18</v>
      </c>
    </row>
    <row r="361" spans="1:16" x14ac:dyDescent="0.25">
      <c r="A361">
        <v>21600902</v>
      </c>
      <c r="B361">
        <v>2016</v>
      </c>
      <c r="C361" t="s">
        <v>32</v>
      </c>
      <c r="D361" t="s">
        <v>34</v>
      </c>
      <c r="E361">
        <v>100</v>
      </c>
      <c r="F361">
        <v>99</v>
      </c>
      <c r="G361">
        <v>4</v>
      </c>
      <c r="H361" s="1">
        <v>2.7777777777777776E-5</v>
      </c>
      <c r="I361" t="s">
        <v>18</v>
      </c>
      <c r="J361" s="2" t="str">
        <f>HYPERLINK("https://www.nba.com/stats/events?CFID=&amp;CFPARAMS=&amp;GameEventID=542&amp;GameID=0021600902&amp;Season=2016-17&amp;flag=1&amp;title=Leonard%2016'%20Turnaround%20Fadeaway%20(31%20PTS)", "Leonard 16' Turnaround Fadeaway (31 PTS)")</f>
        <v>Leonard 16' Turnaround Fadeaway (31 PTS)</v>
      </c>
      <c r="K361" s="2" t="str">
        <f>HYPERLINK("https://www.nba.com/game/...-vs-...-0021600902/play-by-play?watchFullGame=true", "SAS vs IND - Q4 00:02.40")</f>
        <v>SAS vs IND - Q4 00:02.40</v>
      </c>
      <c r="L361">
        <v>16</v>
      </c>
      <c r="M361">
        <v>-147</v>
      </c>
      <c r="N361">
        <v>51</v>
      </c>
      <c r="O361">
        <v>-147</v>
      </c>
      <c r="P361">
        <v>51</v>
      </c>
    </row>
    <row r="362" spans="1:16" x14ac:dyDescent="0.25">
      <c r="A362">
        <v>21301154</v>
      </c>
      <c r="B362">
        <v>2013</v>
      </c>
      <c r="C362" t="s">
        <v>32</v>
      </c>
      <c r="D362" t="s">
        <v>19</v>
      </c>
      <c r="E362">
        <v>95</v>
      </c>
      <c r="F362">
        <v>80</v>
      </c>
      <c r="G362">
        <v>4</v>
      </c>
      <c r="H362" s="1">
        <v>4.6643518518518518E-3</v>
      </c>
      <c r="I362" t="s">
        <v>18</v>
      </c>
      <c r="J362" s="2" t="str">
        <f>HYPERLINK("https://www.nba.com/stats/events?CFID=&amp;CFPARAMS=&amp;GameEventID=414&amp;GameID=0021301154&amp;Season=2013-14&amp;flag=1&amp;title=Leonard%2016'%20Jump%20Shot%20(23%20PTS)%20(Mills%203%20AST)", "Leonard 16' Jump Shot (23 PTS) (Mills 3 AST)")</f>
        <v>Leonard 16' Jump Shot (23 PTS) (Mills 3 AST)</v>
      </c>
      <c r="K362" s="2" t="str">
        <f>HYPERLINK("https://www.nba.com/game/...-vs-...-0021301154/play-by-play?watchFullGame=true", "SAS vs MEM - Q4 06:43.00")</f>
        <v>SAS vs MEM - Q4 06:43.00</v>
      </c>
      <c r="L362">
        <v>16</v>
      </c>
      <c r="M362">
        <v>-147</v>
      </c>
      <c r="N362">
        <v>71</v>
      </c>
      <c r="O362">
        <v>-147</v>
      </c>
      <c r="P362">
        <v>71</v>
      </c>
    </row>
    <row r="363" spans="1:16" x14ac:dyDescent="0.25">
      <c r="A363">
        <v>21600225</v>
      </c>
      <c r="B363">
        <v>2016</v>
      </c>
      <c r="C363" t="s">
        <v>16</v>
      </c>
      <c r="D363" t="s">
        <v>19</v>
      </c>
      <c r="E363">
        <v>38</v>
      </c>
      <c r="F363">
        <v>33</v>
      </c>
      <c r="G363">
        <v>2</v>
      </c>
      <c r="H363" s="1">
        <v>4.4560185185185189E-3</v>
      </c>
      <c r="I363" t="s">
        <v>18</v>
      </c>
      <c r="J363" s="2" t="str">
        <f>HYPERLINK("https://www.nba.com/stats/events?CFID=&amp;CFPARAMS=&amp;GameEventID=166&amp;GameID=0021600225&amp;Season=2016-17&amp;flag=1&amp;title=Leonard%2025'%203PT%20Jump%20Shot%20(8%20PTS)%20(Parker%203%20AST)", "Leonard 25' 3PT Jump Shot (8 PTS) (Parker 3 AST)")</f>
        <v>Leonard 25' 3PT Jump Shot (8 PTS) (Parker 3 AST)</v>
      </c>
      <c r="K363" s="2" t="str">
        <f>HYPERLINK("https://www.nba.com/game/...-vs-...-0021600225/play-by-play?watchFullGame=true", "SAS vs BOS - Q2 06:25.00")</f>
        <v>SAS vs BOS - Q2 06:25.00</v>
      </c>
      <c r="L363">
        <v>25</v>
      </c>
      <c r="M363">
        <v>-147</v>
      </c>
      <c r="N363">
        <v>205</v>
      </c>
      <c r="O363">
        <v>-147</v>
      </c>
      <c r="P363">
        <v>205</v>
      </c>
    </row>
    <row r="364" spans="1:16" x14ac:dyDescent="0.25">
      <c r="A364">
        <v>22200871</v>
      </c>
      <c r="B364">
        <v>2022</v>
      </c>
      <c r="C364" t="s">
        <v>16</v>
      </c>
      <c r="D364" t="s">
        <v>19</v>
      </c>
      <c r="E364">
        <v>69</v>
      </c>
      <c r="F364">
        <v>69</v>
      </c>
      <c r="G364">
        <v>3</v>
      </c>
      <c r="H364" s="1">
        <v>7.3148148148148148E-3</v>
      </c>
      <c r="I364" t="s">
        <v>23</v>
      </c>
      <c r="J364" s="2" t="str">
        <f>HYPERLINK("https://www.nba.com/stats/events?CFID=&amp;CFPARAMS=&amp;GameEventID=350&amp;GameID=0022200871&amp;Season=2022-23&amp;flag=1&amp;title=Leonard%2025'%203PT%20pullup%20(19%20PTS)%20(T.%20Mann%205%20AST)", "25' 3PT pullup (19 PTS) (T. Mann 5 AST)")</f>
        <v>25' 3PT pullup (19 PTS) (T. Mann 5 AST)</v>
      </c>
      <c r="K364" s="2" t="str">
        <f>HYPERLINK("https://www.nba.com/game/...-vs-...-0022200871/play-by-play?watchFullGame=true", "LAC vs GSW - Q3 10:32.00")</f>
        <v>LAC vs GSW - Q3 10:32.00</v>
      </c>
      <c r="L364">
        <v>25.73</v>
      </c>
      <c r="M364">
        <v>28.04</v>
      </c>
      <c r="N364">
        <v>79.41</v>
      </c>
      <c r="O364">
        <v>-147</v>
      </c>
      <c r="P364">
        <v>211</v>
      </c>
    </row>
    <row r="365" spans="1:16" x14ac:dyDescent="0.25">
      <c r="A365">
        <v>22000202</v>
      </c>
      <c r="B365">
        <v>2020</v>
      </c>
      <c r="C365" t="s">
        <v>16</v>
      </c>
      <c r="D365" t="s">
        <v>19</v>
      </c>
      <c r="E365">
        <v>83</v>
      </c>
      <c r="F365">
        <v>70</v>
      </c>
      <c r="G365">
        <v>3</v>
      </c>
      <c r="H365" s="1">
        <v>3.5648148148148149E-3</v>
      </c>
      <c r="I365" t="s">
        <v>23</v>
      </c>
      <c r="J365" s="2" t="str">
        <f>HYPERLINK("https://www.nba.com/stats/events?CFID=&amp;CFPARAMS=&amp;GameEventID=379&amp;GameID=0022000202&amp;Season=2020-21&amp;flag=1&amp;title=Leonard%2027'%203PT%20%20(15%20PTS)%20(P.%20George%204%20AST)", "27' 3PT  (15 PTS) (P. George 4 AST)")</f>
        <v>27' 3PT  (15 PTS) (P. George 4 AST)</v>
      </c>
      <c r="K365" s="2" t="str">
        <f>HYPERLINK("https://www.nba.com/game/...-vs-...-0022000202/play-by-play?watchFullGame=true", "LAC vs IND - Q3 05:08.00")</f>
        <v>LAC vs IND - Q3 05:08.00</v>
      </c>
      <c r="L365">
        <v>27</v>
      </c>
      <c r="M365">
        <v>29.65</v>
      </c>
      <c r="N365">
        <v>79.48</v>
      </c>
      <c r="O365">
        <v>-147</v>
      </c>
      <c r="P365">
        <v>226</v>
      </c>
    </row>
    <row r="366" spans="1:16" x14ac:dyDescent="0.25">
      <c r="A366">
        <v>21300181</v>
      </c>
      <c r="B366">
        <v>2013</v>
      </c>
      <c r="C366" t="s">
        <v>32</v>
      </c>
      <c r="D366" t="s">
        <v>29</v>
      </c>
      <c r="E366">
        <v>74</v>
      </c>
      <c r="F366">
        <v>79</v>
      </c>
      <c r="G366">
        <v>4</v>
      </c>
      <c r="H366" s="1">
        <v>5.8449074074074072E-3</v>
      </c>
      <c r="I366" t="s">
        <v>18</v>
      </c>
      <c r="J366" s="2" t="str">
        <f>HYPERLINK("https://www.nba.com/stats/events?CFID=&amp;CFPARAMS=&amp;GameEventID=382&amp;GameID=0021300181&amp;Season=2013-14&amp;flag=1&amp;title=Leonard%2019'%20Pullup%20Jump%20Shot%20(12%20PTS)", "Leonard 19' Pullup Jump Shot (12 PTS)")</f>
        <v>Leonard 19' Pullup Jump Shot (12 PTS)</v>
      </c>
      <c r="K366" s="2" t="str">
        <f>HYPERLINK("https://www.nba.com/game/...-vs-...-0021300181/play-by-play?watchFullGame=true", "SAS vs MEM - Q4 08:25.00")</f>
        <v>SAS vs MEM - Q4 08:25.00</v>
      </c>
      <c r="L366">
        <v>19</v>
      </c>
      <c r="M366">
        <v>-146</v>
      </c>
      <c r="N366">
        <v>118</v>
      </c>
      <c r="O366">
        <v>-146</v>
      </c>
      <c r="P366">
        <v>118</v>
      </c>
    </row>
    <row r="367" spans="1:16" x14ac:dyDescent="0.25">
      <c r="A367">
        <v>22201041</v>
      </c>
      <c r="B367">
        <v>2022</v>
      </c>
      <c r="C367" t="s">
        <v>16</v>
      </c>
      <c r="D367" t="s">
        <v>19</v>
      </c>
      <c r="E367">
        <v>118</v>
      </c>
      <c r="F367">
        <v>106</v>
      </c>
      <c r="G367">
        <v>4</v>
      </c>
      <c r="H367" s="1">
        <v>4.6412037037037038E-3</v>
      </c>
      <c r="I367" t="s">
        <v>23</v>
      </c>
      <c r="J367" s="2" t="str">
        <f>HYPERLINK("https://www.nba.com/stats/events?CFID=&amp;CFPARAMS=&amp;GameEventID=572&amp;GameID=0022201041&amp;Season=2022-23&amp;flag=1&amp;title=Leonard%2026'%203PT%20%20(30%20PTS)%20(T.%20Mann%201%20AST)", "26' 3PT  (30 PTS) (T. Mann 1 AST)")</f>
        <v>26' 3PT  (30 PTS) (T. Mann 1 AST)</v>
      </c>
      <c r="K367" s="2" t="str">
        <f>HYPERLINK("https://www.nba.com/game/...-vs-...-0022201041/play-by-play?watchFullGame=true", "LAC vs GSW - Q4 06:41.00")</f>
        <v>LAC vs GSW - Q4 06:41.00</v>
      </c>
      <c r="L367">
        <v>26.18</v>
      </c>
      <c r="M367">
        <v>71.27</v>
      </c>
      <c r="N367">
        <v>20.83</v>
      </c>
      <c r="O367">
        <v>-146</v>
      </c>
      <c r="P367">
        <v>218</v>
      </c>
    </row>
    <row r="368" spans="1:16" x14ac:dyDescent="0.25">
      <c r="A368">
        <v>22000554</v>
      </c>
      <c r="B368">
        <v>2020</v>
      </c>
      <c r="C368" t="s">
        <v>16</v>
      </c>
      <c r="D368" t="s">
        <v>19</v>
      </c>
      <c r="E368">
        <v>25</v>
      </c>
      <c r="F368">
        <v>25</v>
      </c>
      <c r="G368">
        <v>2</v>
      </c>
      <c r="H368" s="1">
        <v>8.1250000000000003E-3</v>
      </c>
      <c r="I368" t="s">
        <v>23</v>
      </c>
      <c r="J368" s="2" t="str">
        <f>HYPERLINK("https://www.nba.com/stats/events?CFID=&amp;CFPARAMS=&amp;GameEventID=172&amp;GameID=0022000554&amp;Season=2020-21&amp;flag=1&amp;title=Leonard%2028'%203PT%20%20(5%20PTS)%20(L.%20Williams%201%20AST)", "28' 3PT  (5 PTS) (L. Williams 1 AST)")</f>
        <v>28' 3PT  (5 PTS) (L. Williams 1 AST)</v>
      </c>
      <c r="K368" s="2" t="str">
        <f>HYPERLINK("https://www.nba.com/game/...-vs-...-0022000554/play-by-play?watchFullGame=true", "LAC vs WAS - Q2 11:42.00")</f>
        <v>LAC vs WAS - Q2 11:42.00</v>
      </c>
      <c r="L368">
        <v>28.4</v>
      </c>
      <c r="M368">
        <v>31.49</v>
      </c>
      <c r="N368">
        <v>79.239999999999995</v>
      </c>
      <c r="O368">
        <v>-146</v>
      </c>
      <c r="P368">
        <v>243</v>
      </c>
    </row>
    <row r="369" spans="1:16" x14ac:dyDescent="0.25">
      <c r="A369">
        <v>21500235</v>
      </c>
      <c r="B369">
        <v>2015</v>
      </c>
      <c r="C369" t="s">
        <v>32</v>
      </c>
      <c r="D369" t="s">
        <v>19</v>
      </c>
      <c r="E369">
        <v>51</v>
      </c>
      <c r="F369">
        <v>54</v>
      </c>
      <c r="G369">
        <v>3</v>
      </c>
      <c r="H369" s="1">
        <v>4.7106481481481478E-3</v>
      </c>
      <c r="I369" t="s">
        <v>18</v>
      </c>
      <c r="J369" s="2" t="str">
        <f>HYPERLINK("https://www.nba.com/stats/events?CFID=&amp;CFPARAMS=&amp;GameEventID=302&amp;GameID=0021500235&amp;Season=2015-16&amp;flag=1&amp;title=Leonard%2017'%20Jump%20Shot%20(18%20PTS)%20(McCallum%201%20AST)", "Leonard 17' Jump Shot (18 PTS) (McCallum 1 AST)")</f>
        <v>Leonard 17' Jump Shot (18 PTS) (McCallum 1 AST)</v>
      </c>
      <c r="K369" s="2" t="str">
        <f>HYPERLINK("https://www.nba.com/game/...-vs-...-0021500235/play-by-play?watchFullGame=true", "SAS vs DEN - Q3 06:47.00")</f>
        <v>SAS vs DEN - Q3 06:47.00</v>
      </c>
      <c r="L369">
        <v>17</v>
      </c>
      <c r="M369">
        <v>-145</v>
      </c>
      <c r="N369">
        <v>92</v>
      </c>
      <c r="O369">
        <v>-145</v>
      </c>
      <c r="P369">
        <v>92</v>
      </c>
    </row>
    <row r="370" spans="1:16" x14ac:dyDescent="0.25">
      <c r="A370">
        <v>22200902</v>
      </c>
      <c r="B370">
        <v>2022</v>
      </c>
      <c r="C370" t="s">
        <v>32</v>
      </c>
      <c r="D370" t="s">
        <v>19</v>
      </c>
      <c r="E370">
        <v>25</v>
      </c>
      <c r="F370">
        <v>27</v>
      </c>
      <c r="G370">
        <v>1</v>
      </c>
      <c r="H370" s="1">
        <v>3.5416666666666665E-3</v>
      </c>
      <c r="I370" t="s">
        <v>23</v>
      </c>
      <c r="J370" s="2" t="str">
        <f>HYPERLINK("https://www.nba.com/stats/events?CFID=&amp;CFPARAMS=&amp;GameEventID=84&amp;GameID=0022200902&amp;Season=2022-23&amp;flag=1&amp;title=Leonard%2018'%20Jump%20Shot%20(7%20PTS)", "18' Jump Shot (7 PTS)")</f>
        <v>18' Jump Shot (7 PTS)</v>
      </c>
      <c r="K370" s="2" t="str">
        <f>HYPERLINK("https://www.nba.com/game/...-vs-...-0022200902/play-by-play?watchFullGame=true", "LAC vs SAC - Q1 05:06.00")</f>
        <v>LAC vs SAC - Q1 05:06.00</v>
      </c>
      <c r="L370">
        <v>18.25</v>
      </c>
      <c r="M370">
        <v>82.57</v>
      </c>
      <c r="N370">
        <v>21.08</v>
      </c>
      <c r="O370">
        <v>-145</v>
      </c>
      <c r="P370">
        <v>111</v>
      </c>
    </row>
    <row r="371" spans="1:16" x14ac:dyDescent="0.25">
      <c r="A371">
        <v>21600454</v>
      </c>
      <c r="B371">
        <v>2016</v>
      </c>
      <c r="C371" t="s">
        <v>16</v>
      </c>
      <c r="D371" t="s">
        <v>19</v>
      </c>
      <c r="E371">
        <v>29</v>
      </c>
      <c r="F371">
        <v>30</v>
      </c>
      <c r="G371">
        <v>2</v>
      </c>
      <c r="H371" s="1">
        <v>7.5115740740740742E-3</v>
      </c>
      <c r="I371" t="s">
        <v>18</v>
      </c>
      <c r="J371" s="2" t="str">
        <f>HYPERLINK("https://www.nba.com/stats/events?CFID=&amp;CFPARAMS=&amp;GameEventID=138&amp;GameID=0021600454&amp;Season=2016-17&amp;flag=1&amp;title=Leonard%2025'%203PT%20Jump%20Shot%20(9%20PTS)%20(Simmons%202%20AST)", "Leonard 25' 3PT Jump Shot (9 PTS) (Simmons 2 AST)")</f>
        <v>Leonard 25' 3PT Jump Shot (9 PTS) (Simmons 2 AST)</v>
      </c>
      <c r="K371" s="2" t="str">
        <f>HYPERLINK("https://www.nba.com/game/...-vs-...-0021600454/play-by-play?watchFullGame=true", "SAS vs POR - Q2 10:49.00")</f>
        <v>SAS vs POR - Q2 10:49.00</v>
      </c>
      <c r="L371">
        <v>25</v>
      </c>
      <c r="M371">
        <v>-145</v>
      </c>
      <c r="N371">
        <v>200</v>
      </c>
      <c r="O371">
        <v>-145</v>
      </c>
      <c r="P371">
        <v>200</v>
      </c>
    </row>
    <row r="372" spans="1:16" x14ac:dyDescent="0.25">
      <c r="A372">
        <v>21301221</v>
      </c>
      <c r="B372">
        <v>2013</v>
      </c>
      <c r="C372" t="s">
        <v>32</v>
      </c>
      <c r="D372" t="s">
        <v>29</v>
      </c>
      <c r="E372">
        <v>28</v>
      </c>
      <c r="F372">
        <v>35</v>
      </c>
      <c r="G372">
        <v>2</v>
      </c>
      <c r="H372" s="1">
        <v>7.3958333333333333E-3</v>
      </c>
      <c r="I372" t="s">
        <v>18</v>
      </c>
      <c r="J372" s="2" t="str">
        <f>HYPERLINK("https://www.nba.com/stats/events?CFID=&amp;CFPARAMS=&amp;GameEventID=139&amp;GameID=0021301221&amp;Season=2013-14&amp;flag=1&amp;title=Leonard%2014'%20Pullup%20Jump%20Shot%20(7%20PTS)", "Leonard 14' Pullup Jump Shot (7 PTS)")</f>
        <v>Leonard 14' Pullup Jump Shot (7 PTS)</v>
      </c>
      <c r="K372" s="2" t="str">
        <f>HYPERLINK("https://www.nba.com/game/...-vs-...-0021301221/play-by-play?watchFullGame=true", "SAS vs LAL - Q2 10:39.00")</f>
        <v>SAS vs LAL - Q2 10:39.00</v>
      </c>
      <c r="L372">
        <v>14</v>
      </c>
      <c r="M372">
        <v>-144</v>
      </c>
      <c r="N372">
        <v>-13</v>
      </c>
      <c r="O372">
        <v>-144</v>
      </c>
      <c r="P372">
        <v>-13</v>
      </c>
    </row>
    <row r="373" spans="1:16" x14ac:dyDescent="0.25">
      <c r="A373">
        <v>21600182</v>
      </c>
      <c r="B373">
        <v>2016</v>
      </c>
      <c r="C373" t="s">
        <v>32</v>
      </c>
      <c r="D373" t="s">
        <v>24</v>
      </c>
      <c r="E373">
        <v>0</v>
      </c>
      <c r="F373">
        <v>2</v>
      </c>
      <c r="G373">
        <v>1</v>
      </c>
      <c r="H373" s="1">
        <v>7.6736111111111111E-3</v>
      </c>
      <c r="I373" t="s">
        <v>18</v>
      </c>
      <c r="J373" s="2" t="str">
        <f>HYPERLINK("https://www.nba.com/stats/events?CFID=&amp;CFPARAMS=&amp;GameEventID=11&amp;GameID=0021600182&amp;Season=2016-17&amp;flag=1&amp;title=Leonard%2014'%20Turnaround%20Jump%20Shot%20(2%20PTS)%20(Green%201%20AST)", "Leonard 14' Turnaround Jump Shot (2 PTS) (Green 1 AST)")</f>
        <v>Leonard 14' Turnaround Jump Shot (2 PTS) (Green 1 AST)</v>
      </c>
      <c r="K373" s="2" t="str">
        <f>HYPERLINK("https://www.nba.com/game/...-vs-...-0021600182/play-by-play?watchFullGame=true", "SAS vs LAL - Q1 11:03.00")</f>
        <v>SAS vs LAL - Q1 11:03.00</v>
      </c>
      <c r="L373">
        <v>14</v>
      </c>
      <c r="M373">
        <v>-144</v>
      </c>
      <c r="N373">
        <v>-11</v>
      </c>
      <c r="O373">
        <v>-144</v>
      </c>
      <c r="P373">
        <v>-11</v>
      </c>
    </row>
    <row r="374" spans="1:16" x14ac:dyDescent="0.25">
      <c r="A374">
        <v>21401200</v>
      </c>
      <c r="B374">
        <v>2014</v>
      </c>
      <c r="C374" t="s">
        <v>32</v>
      </c>
      <c r="D374" t="s">
        <v>19</v>
      </c>
      <c r="E374">
        <v>53</v>
      </c>
      <c r="F374">
        <v>39</v>
      </c>
      <c r="G374">
        <v>3</v>
      </c>
      <c r="H374" s="1">
        <v>7.6157407407407406E-3</v>
      </c>
      <c r="I374" t="s">
        <v>18</v>
      </c>
      <c r="J374" s="2" t="str">
        <f>HYPERLINK("https://www.nba.com/stats/events?CFID=&amp;CFPARAMS=&amp;GameEventID=285&amp;GameID=0021401200&amp;Season=2014-15&amp;flag=1&amp;title=Leonard%2014'%20Jump%20Shot%20(9%20PTS)%20(Green%202%20AST)", "Leonard 14' Jump Shot (9 PTS) (Green 2 AST)")</f>
        <v>Leonard 14' Jump Shot (9 PTS) (Green 2 AST)</v>
      </c>
      <c r="K374" s="2" t="str">
        <f>HYPERLINK("https://www.nba.com/game/...-vs-...-0021401200/play-by-play?watchFullGame=true", "SAS vs PHX - Q3 10:58.00")</f>
        <v>SAS vs PHX - Q3 10:58.00</v>
      </c>
      <c r="L374">
        <v>14</v>
      </c>
      <c r="M374">
        <v>-144</v>
      </c>
      <c r="N374">
        <v>-5</v>
      </c>
      <c r="O374">
        <v>-144</v>
      </c>
      <c r="P374">
        <v>-5</v>
      </c>
    </row>
    <row r="375" spans="1:16" x14ac:dyDescent="0.25">
      <c r="A375">
        <v>21401181</v>
      </c>
      <c r="B375">
        <v>2014</v>
      </c>
      <c r="C375" t="s">
        <v>32</v>
      </c>
      <c r="D375" t="s">
        <v>33</v>
      </c>
      <c r="E375">
        <v>61</v>
      </c>
      <c r="F375">
        <v>59</v>
      </c>
      <c r="G375">
        <v>3</v>
      </c>
      <c r="H375" s="1">
        <v>4.7106481481481478E-3</v>
      </c>
      <c r="I375" t="s">
        <v>18</v>
      </c>
      <c r="J375" s="2" t="str">
        <f>HYPERLINK("https://www.nba.com/stats/events?CFID=&amp;CFPARAMS=&amp;GameEventID=316&amp;GameID=0021401181&amp;Season=2014-15&amp;flag=1&amp;title=Leonard%2014'%20Fadeaway%20Jumper%20(10%20PTS)", "Leonard 14' Fadeaway Jumper (10 PTS)")</f>
        <v>Leonard 14' Fadeaway Jumper (10 PTS)</v>
      </c>
      <c r="K375" s="2" t="str">
        <f>HYPERLINK("https://www.nba.com/game/...-vs-...-0021401181/play-by-play?watchFullGame=true", "SAS vs HOU - Q3 06:47.00")</f>
        <v>SAS vs HOU - Q3 06:47.00</v>
      </c>
      <c r="L375">
        <v>14</v>
      </c>
      <c r="M375">
        <v>-144</v>
      </c>
      <c r="N375">
        <v>0</v>
      </c>
      <c r="O375">
        <v>-144</v>
      </c>
      <c r="P375">
        <v>0</v>
      </c>
    </row>
    <row r="376" spans="1:16" x14ac:dyDescent="0.25">
      <c r="A376">
        <v>22000289</v>
      </c>
      <c r="B376">
        <v>2020</v>
      </c>
      <c r="C376" t="s">
        <v>32</v>
      </c>
      <c r="D376" t="s">
        <v>19</v>
      </c>
      <c r="E376">
        <v>38</v>
      </c>
      <c r="F376">
        <v>47</v>
      </c>
      <c r="G376">
        <v>2</v>
      </c>
      <c r="H376" s="1">
        <v>3.7268518518518519E-3</v>
      </c>
      <c r="I376" t="s">
        <v>23</v>
      </c>
      <c r="J376" s="2" t="str">
        <f>HYPERLINK("https://www.nba.com/stats/events?CFID=&amp;CFPARAMS=&amp;GameEventID=251&amp;GameID=0022000289&amp;Season=2020-21&amp;flag=1&amp;title=Leonard%2014'%20step%20back%20Jump%20Shot%20(11%20PTS)", "14' step back Jump Shot (11 PTS)")</f>
        <v>14' step back Jump Shot (11 PTS)</v>
      </c>
      <c r="K376" s="2" t="str">
        <f>HYPERLINK("https://www.nba.com/game/...-vs-...-0022000289/play-by-play?watchFullGame=true", "LAC vs ORL - Q2 05:22.00")</f>
        <v>LAC vs ORL - Q2 05:22.00</v>
      </c>
      <c r="L376">
        <v>14.46</v>
      </c>
      <c r="M376">
        <v>93.51</v>
      </c>
      <c r="N376">
        <v>21.15</v>
      </c>
      <c r="O376">
        <v>-144</v>
      </c>
      <c r="P376">
        <v>8</v>
      </c>
    </row>
    <row r="377" spans="1:16" x14ac:dyDescent="0.25">
      <c r="A377">
        <v>41800304</v>
      </c>
      <c r="B377" t="s">
        <v>20</v>
      </c>
      <c r="C377" t="s">
        <v>32</v>
      </c>
      <c r="D377" t="s">
        <v>19</v>
      </c>
      <c r="E377">
        <v>19</v>
      </c>
      <c r="F377">
        <v>21</v>
      </c>
      <c r="G377">
        <v>1</v>
      </c>
      <c r="H377" s="1">
        <v>4.2824074074074075E-3</v>
      </c>
      <c r="I377" t="s">
        <v>21</v>
      </c>
      <c r="J377" s="2" t="str">
        <f>HYPERLINK("https://www.nba.com/stats/events?CFID=&amp;CFPARAMS=&amp;GameEventID=62&amp;GameID=0041800304&amp;Season=2018-19&amp;flag=1&amp;title=Leonard%2015'%20Jump%20Shot%20(2%20PTS)", "Leonard 15' Jump Shot (2 PTS)")</f>
        <v>Leonard 15' Jump Shot (2 PTS)</v>
      </c>
      <c r="K377" s="2" t="str">
        <f>HYPERLINK("https://www.nba.com/game/...-vs-...-0041800304/play-by-play?watchFullGame=true", "TOR vs MIL - Q1 06:10.00")</f>
        <v>TOR vs MIL - Q1 06:10.00</v>
      </c>
      <c r="L377">
        <v>15</v>
      </c>
      <c r="M377">
        <v>-144</v>
      </c>
      <c r="N377">
        <v>35</v>
      </c>
      <c r="O377">
        <v>-144</v>
      </c>
      <c r="P377">
        <v>35</v>
      </c>
    </row>
    <row r="378" spans="1:16" x14ac:dyDescent="0.25">
      <c r="A378">
        <v>21301186</v>
      </c>
      <c r="B378">
        <v>2013</v>
      </c>
      <c r="C378" t="s">
        <v>32</v>
      </c>
      <c r="D378" t="s">
        <v>19</v>
      </c>
      <c r="E378">
        <v>9</v>
      </c>
      <c r="F378">
        <v>7</v>
      </c>
      <c r="G378">
        <v>1</v>
      </c>
      <c r="H378" s="1">
        <v>6.2037037037037035E-3</v>
      </c>
      <c r="I378" t="s">
        <v>18</v>
      </c>
      <c r="J378" s="2" t="str">
        <f>HYPERLINK("https://www.nba.com/stats/events?CFID=&amp;CFPARAMS=&amp;GameEventID=24&amp;GameID=0021301186&amp;Season=2013-14&amp;flag=1&amp;title=Leonard%2015'%20Jump%20Shot%20(5%20PTS)", "Leonard 15' Jump Shot (5 PTS)")</f>
        <v>Leonard 15' Jump Shot (5 PTS)</v>
      </c>
      <c r="K378" s="2" t="str">
        <f>HYPERLINK("https://www.nba.com/game/...-vs-...-0021301186/play-by-play?watchFullGame=true", "SAS vs PHX - Q1 08:56.00")</f>
        <v>SAS vs PHX - Q1 08:56.00</v>
      </c>
      <c r="L378">
        <v>15</v>
      </c>
      <c r="M378">
        <v>-144</v>
      </c>
      <c r="N378">
        <v>37</v>
      </c>
      <c r="O378">
        <v>-144</v>
      </c>
      <c r="P378">
        <v>37</v>
      </c>
    </row>
    <row r="379" spans="1:16" x14ac:dyDescent="0.25">
      <c r="A379">
        <v>21500713</v>
      </c>
      <c r="B379">
        <v>2015</v>
      </c>
      <c r="C379" t="s">
        <v>32</v>
      </c>
      <c r="D379" t="s">
        <v>34</v>
      </c>
      <c r="E379">
        <v>90</v>
      </c>
      <c r="F379">
        <v>76</v>
      </c>
      <c r="G379">
        <v>3</v>
      </c>
      <c r="H379" s="1">
        <v>3.1944444444444446E-4</v>
      </c>
      <c r="I379" t="s">
        <v>18</v>
      </c>
      <c r="J379" s="2" t="str">
        <f>HYPERLINK("https://www.nba.com/stats/events?CFID=&amp;CFPARAMS=&amp;GameEventID=395&amp;GameID=0021500713&amp;Season=2015-16&amp;flag=1&amp;title=Leonard%2014'%20Turnaround%20Fadeaway%20(21%20PTS)", "Leonard 14' Turnaround Fadeaway (21 PTS)")</f>
        <v>Leonard 14' Turnaround Fadeaway (21 PTS)</v>
      </c>
      <c r="K379" s="2" t="str">
        <f>HYPERLINK("https://www.nba.com/game/...-vs-...-0021500713/play-by-play?watchFullGame=true", "SAS vs CLE - Q3 00:27.60")</f>
        <v>SAS vs CLE - Q3 00:27.60</v>
      </c>
      <c r="L379">
        <v>14</v>
      </c>
      <c r="M379">
        <v>-143</v>
      </c>
      <c r="N379">
        <v>11</v>
      </c>
      <c r="O379">
        <v>-143</v>
      </c>
      <c r="P379">
        <v>11</v>
      </c>
    </row>
    <row r="380" spans="1:16" x14ac:dyDescent="0.25">
      <c r="A380">
        <v>21500759</v>
      </c>
      <c r="B380">
        <v>2015</v>
      </c>
      <c r="C380" t="s">
        <v>32</v>
      </c>
      <c r="D380" t="s">
        <v>19</v>
      </c>
      <c r="E380">
        <v>12</v>
      </c>
      <c r="F380">
        <v>27</v>
      </c>
      <c r="G380">
        <v>1</v>
      </c>
      <c r="H380" s="1">
        <v>7.1759259259259259E-4</v>
      </c>
      <c r="I380" t="s">
        <v>18</v>
      </c>
      <c r="J380" s="2" t="str">
        <f>HYPERLINK("https://www.nba.com/stats/events?CFID=&amp;CFPARAMS=&amp;GameEventID=105&amp;GameID=0021500759&amp;Season=2015-16&amp;flag=1&amp;title=Leonard%2015'%20Jump%20Shot%20(11%20PTS)", "Leonard 15' Jump Shot (11 PTS)")</f>
        <v>Leonard 15' Jump Shot (11 PTS)</v>
      </c>
      <c r="K380" s="2" t="str">
        <f>HYPERLINK("https://www.nba.com/game/...-vs-...-0021500759/play-by-play?watchFullGame=true", "SAS vs DAL - Q1 01:02.00")</f>
        <v>SAS vs DAL - Q1 01:02.00</v>
      </c>
      <c r="L380">
        <v>15</v>
      </c>
      <c r="M380">
        <v>-143</v>
      </c>
      <c r="N380">
        <v>38</v>
      </c>
      <c r="O380">
        <v>-143</v>
      </c>
      <c r="P380">
        <v>38</v>
      </c>
    </row>
    <row r="381" spans="1:16" x14ac:dyDescent="0.25">
      <c r="A381">
        <v>21601151</v>
      </c>
      <c r="B381">
        <v>2016</v>
      </c>
      <c r="C381" t="s">
        <v>32</v>
      </c>
      <c r="D381" t="s">
        <v>31</v>
      </c>
      <c r="E381">
        <v>4</v>
      </c>
      <c r="F381">
        <v>4</v>
      </c>
      <c r="G381">
        <v>1</v>
      </c>
      <c r="H381" s="1">
        <v>7.5578703703703702E-3</v>
      </c>
      <c r="I381" t="s">
        <v>18</v>
      </c>
      <c r="J381" s="2" t="str">
        <f>HYPERLINK("https://www.nba.com/stats/events?CFID=&amp;CFPARAMS=&amp;GameEventID=5&amp;GameID=0021601151&amp;Season=2016-17&amp;flag=1&amp;title=Leonard%2017'%20Step%20Back%20Jump%20Shot%20(2%20PTS)", "Leonard 17' Step Back Jump Shot (2 PTS)")</f>
        <v>Leonard 17' Step Back Jump Shot (2 PTS)</v>
      </c>
      <c r="K381" s="2" t="str">
        <f>HYPERLINK("https://www.nba.com/game/...-vs-...-0021601151/play-by-play?watchFullGame=true", "SAS vs UTA - Q1 10:53.00")</f>
        <v>SAS vs UTA - Q1 10:53.00</v>
      </c>
      <c r="L381">
        <v>17</v>
      </c>
      <c r="M381">
        <v>-143</v>
      </c>
      <c r="N381">
        <v>95</v>
      </c>
      <c r="O381">
        <v>-143</v>
      </c>
      <c r="P381">
        <v>95</v>
      </c>
    </row>
    <row r="382" spans="1:16" x14ac:dyDescent="0.25">
      <c r="A382">
        <v>21601193</v>
      </c>
      <c r="B382">
        <v>2016</v>
      </c>
      <c r="C382" t="s">
        <v>32</v>
      </c>
      <c r="D382" t="s">
        <v>31</v>
      </c>
      <c r="E382">
        <v>30</v>
      </c>
      <c r="F382">
        <v>31</v>
      </c>
      <c r="G382">
        <v>2</v>
      </c>
      <c r="H382" s="1">
        <v>5.7870370370370367E-3</v>
      </c>
      <c r="I382" t="s">
        <v>18</v>
      </c>
      <c r="J382" s="2" t="str">
        <f>HYPERLINK("https://www.nba.com/stats/events?CFID=&amp;CFPARAMS=&amp;GameEventID=148&amp;GameID=0021601193&amp;Season=2016-17&amp;flag=1&amp;title=Leonard%2017'%20Step%20Back%20Jump%20Shot%20(7%20PTS)", "Leonard 17' Step Back Jump Shot (7 PTS)")</f>
        <v>Leonard 17' Step Back Jump Shot (7 PTS)</v>
      </c>
      <c r="K382" s="2" t="str">
        <f>HYPERLINK("https://www.nba.com/game/...-vs-...-0021601193/play-by-play?watchFullGame=true", "SAS vs LAC - Q2 08:20.00")</f>
        <v>SAS vs LAC - Q2 08:20.00</v>
      </c>
      <c r="L382">
        <v>17</v>
      </c>
      <c r="M382">
        <v>-143</v>
      </c>
      <c r="N382">
        <v>100</v>
      </c>
      <c r="O382">
        <v>-143</v>
      </c>
      <c r="P382">
        <v>100</v>
      </c>
    </row>
    <row r="383" spans="1:16" x14ac:dyDescent="0.25">
      <c r="A383">
        <v>22300223</v>
      </c>
      <c r="B383">
        <v>2023</v>
      </c>
      <c r="C383" t="s">
        <v>16</v>
      </c>
      <c r="D383" t="s">
        <v>19</v>
      </c>
      <c r="E383">
        <v>21</v>
      </c>
      <c r="F383">
        <v>26</v>
      </c>
      <c r="G383">
        <v>1</v>
      </c>
      <c r="H383" s="1">
        <v>1.0995370370370371E-3</v>
      </c>
      <c r="I383" t="s">
        <v>23</v>
      </c>
      <c r="J383" s="2" t="str">
        <f>HYPERLINK("https://www.nba.com/stats/events?CFID=&amp;CFPARAMS=&amp;GameEventID=124&amp;GameID=0022300223&amp;Season=2023-24&amp;flag=1&amp;title=Leonard%2027'%203PT%20%20(8%20PTS)%20(J.%20Harden%204%20AST)", "27' 3PT  (8 PTS) (J. Harden 4 AST)")</f>
        <v>27' 3PT  (8 PTS) (J. Harden 4 AST)</v>
      </c>
      <c r="K383" s="2" t="str">
        <f>HYPERLINK("https://www.nba.com/game/...-vs-...-0022300223/play-by-play?watchFullGame=true", "LAC vs SAS - Q1 01:35.00")</f>
        <v>LAC vs SAS - Q1 01:35.00</v>
      </c>
      <c r="L383">
        <v>27.49</v>
      </c>
      <c r="M383">
        <v>69.459999999999994</v>
      </c>
      <c r="N383">
        <v>21.32</v>
      </c>
      <c r="O383">
        <v>-143</v>
      </c>
      <c r="P383">
        <v>235</v>
      </c>
    </row>
    <row r="384" spans="1:16" x14ac:dyDescent="0.25">
      <c r="A384">
        <v>22300688</v>
      </c>
      <c r="B384">
        <v>2023</v>
      </c>
      <c r="C384" t="s">
        <v>16</v>
      </c>
      <c r="D384" t="s">
        <v>19</v>
      </c>
      <c r="E384">
        <v>59</v>
      </c>
      <c r="F384">
        <v>63</v>
      </c>
      <c r="G384">
        <v>2</v>
      </c>
      <c r="H384" s="1">
        <v>6.018518518518519E-4</v>
      </c>
      <c r="I384" t="s">
        <v>23</v>
      </c>
      <c r="J384" s="2" t="str">
        <f>HYPERLINK("https://www.nba.com/stats/events?CFID=&amp;CFPARAMS=&amp;GameEventID=303&amp;GameID=0022300688&amp;Season=2023-24&amp;flag=1&amp;title=Leonard%2027'%203PT%20step%20back%20(21%20PTS)", "27' 3PT step back (21 PTS)")</f>
        <v>27' 3PT step back (21 PTS)</v>
      </c>
      <c r="K384" s="2" t="str">
        <f>HYPERLINK("https://www.nba.com/game/...-vs-...-0022300688/play-by-play?watchFullGame=true", "LAC vs DET - Q2 00:52.00")</f>
        <v>LAC vs DET - Q2 00:52.00</v>
      </c>
      <c r="L384">
        <v>27.6</v>
      </c>
      <c r="M384">
        <v>69.33</v>
      </c>
      <c r="N384">
        <v>21.32</v>
      </c>
      <c r="O384">
        <v>-143</v>
      </c>
      <c r="P384">
        <v>236</v>
      </c>
    </row>
    <row r="385" spans="1:16" x14ac:dyDescent="0.25">
      <c r="A385">
        <v>21300559</v>
      </c>
      <c r="B385">
        <v>2013</v>
      </c>
      <c r="C385" t="s">
        <v>32</v>
      </c>
      <c r="D385" t="s">
        <v>34</v>
      </c>
      <c r="E385">
        <v>45</v>
      </c>
      <c r="F385">
        <v>37</v>
      </c>
      <c r="G385">
        <v>2</v>
      </c>
      <c r="H385" s="1">
        <v>3.8888888888888888E-3</v>
      </c>
      <c r="I385" t="s">
        <v>18</v>
      </c>
      <c r="J385" s="2" t="str">
        <f>HYPERLINK("https://www.nba.com/stats/events?CFID=&amp;CFPARAMS=&amp;GameEventID=221&amp;GameID=0021300559&amp;Season=2013-14&amp;flag=1&amp;title=Leonard%2014'%20Turnaround%20Fadeaway%20(6%20PTS)", "Leonard 14' Turnaround Fadeaway (6 PTS)")</f>
        <v>Leonard 14' Turnaround Fadeaway (6 PTS)</v>
      </c>
      <c r="K385" s="2" t="str">
        <f>HYPERLINK("https://www.nba.com/game/...-vs-...-0021300559/play-by-play?watchFullGame=true", "SAS vs NOP - Q2 05:36.00")</f>
        <v>SAS vs NOP - Q2 05:36.00</v>
      </c>
      <c r="L385">
        <v>14</v>
      </c>
      <c r="M385">
        <v>-142</v>
      </c>
      <c r="N385">
        <v>-2</v>
      </c>
      <c r="O385">
        <v>-142</v>
      </c>
      <c r="P385">
        <v>-2</v>
      </c>
    </row>
    <row r="386" spans="1:16" x14ac:dyDescent="0.25">
      <c r="A386">
        <v>41600152</v>
      </c>
      <c r="B386" t="s">
        <v>30</v>
      </c>
      <c r="C386" t="s">
        <v>32</v>
      </c>
      <c r="D386" t="s">
        <v>29</v>
      </c>
      <c r="E386">
        <v>66</v>
      </c>
      <c r="F386">
        <v>53</v>
      </c>
      <c r="G386">
        <v>3</v>
      </c>
      <c r="H386" s="1">
        <v>3.1712962962962962E-3</v>
      </c>
      <c r="I386" t="s">
        <v>18</v>
      </c>
      <c r="J386" s="2" t="str">
        <f>HYPERLINK("https://www.nba.com/stats/events?CFID=&amp;CFPARAMS=&amp;GameEventID=343&amp;GameID=0041600152&amp;Season=2016-17&amp;flag=1&amp;title=Leonard%2015'%20Pullup%20Jump%20Shot%20(20%20PTS)%20(Mills%202%20AST)", "Leonard 15' Pullup Jump Shot (20 PTS) (Mills 2 AST)")</f>
        <v>Leonard 15' Pullup Jump Shot (20 PTS) (Mills 2 AST)</v>
      </c>
      <c r="K386" s="2" t="str">
        <f>HYPERLINK("https://www.nba.com/game/...-vs-...-0041600152/play-by-play?watchFullGame=true", "SAS vs MEM - Q3 04:34.00")</f>
        <v>SAS vs MEM - Q3 04:34.00</v>
      </c>
      <c r="L386">
        <v>15</v>
      </c>
      <c r="M386">
        <v>-142</v>
      </c>
      <c r="N386">
        <v>41</v>
      </c>
      <c r="O386">
        <v>-142</v>
      </c>
      <c r="P386">
        <v>41</v>
      </c>
    </row>
    <row r="387" spans="1:16" x14ac:dyDescent="0.25">
      <c r="A387">
        <v>41300222</v>
      </c>
      <c r="B387" t="s">
        <v>26</v>
      </c>
      <c r="C387" t="s">
        <v>32</v>
      </c>
      <c r="D387" t="s">
        <v>29</v>
      </c>
      <c r="E387">
        <v>27</v>
      </c>
      <c r="F387">
        <v>24</v>
      </c>
      <c r="G387">
        <v>1</v>
      </c>
      <c r="H387" s="1">
        <v>5.7870370370370367E-4</v>
      </c>
      <c r="I387" t="s">
        <v>18</v>
      </c>
      <c r="J387" s="2" t="str">
        <f>HYPERLINK("https://www.nba.com/stats/events?CFID=&amp;CFPARAMS=&amp;GameEventID=115&amp;GameID=0041300222&amp;Season=2013-14&amp;flag=1&amp;title=Leonard%2016'%20Pullup%20Jump%20Shot%20(12%20PTS)", "Leonard 16' Pullup Jump Shot (12 PTS)")</f>
        <v>Leonard 16' Pullup Jump Shot (12 PTS)</v>
      </c>
      <c r="K387" s="2" t="str">
        <f>HYPERLINK("https://www.nba.com/game/...-vs-...-0041300222/play-by-play?watchFullGame=true", "SAS vs POR - Q1 00:50.00")</f>
        <v>SAS vs POR - Q1 00:50.00</v>
      </c>
      <c r="L387">
        <v>16</v>
      </c>
      <c r="M387">
        <v>-142</v>
      </c>
      <c r="N387">
        <v>63</v>
      </c>
      <c r="O387">
        <v>-142</v>
      </c>
      <c r="P387">
        <v>63</v>
      </c>
    </row>
    <row r="388" spans="1:16" x14ac:dyDescent="0.25">
      <c r="A388">
        <v>22200579</v>
      </c>
      <c r="B388">
        <v>2022</v>
      </c>
      <c r="C388" t="s">
        <v>32</v>
      </c>
      <c r="D388" t="s">
        <v>19</v>
      </c>
      <c r="E388">
        <v>61</v>
      </c>
      <c r="F388">
        <v>25</v>
      </c>
      <c r="G388">
        <v>2</v>
      </c>
      <c r="H388" s="1">
        <v>2.4421296296296296E-3</v>
      </c>
      <c r="I388" t="s">
        <v>23</v>
      </c>
      <c r="J388" s="2" t="str">
        <f>HYPERLINK("https://www.nba.com/stats/events?CFID=&amp;CFPARAMS=&amp;GameEventID=251&amp;GameID=0022200579&amp;Season=2022-23&amp;flag=1&amp;title=Leonard%2016'%20turnaround%20fadeaway%20Jump%20Shot%20(4%20PTS)%20(P.%20George%201%20AST)", "16' turnaround fadeaway Jump Shot (4 PTS) (P. George 1 AST)")</f>
        <v>16' turnaround fadeaway Jump Shot (4 PTS) (P. George 1 AST)</v>
      </c>
      <c r="K388" s="2" t="str">
        <f>HYPERLINK("https://www.nba.com/game/...-vs-...-0022200579/play-by-play?watchFullGame=true", "LAC vs DEN - Q2 03:31.00")</f>
        <v>LAC vs DEN - Q2 03:31.00</v>
      </c>
      <c r="L388">
        <v>16.09</v>
      </c>
      <c r="M388">
        <v>86.42</v>
      </c>
      <c r="N388">
        <v>21.57</v>
      </c>
      <c r="O388">
        <v>-142</v>
      </c>
      <c r="P388">
        <v>75</v>
      </c>
    </row>
    <row r="389" spans="1:16" x14ac:dyDescent="0.25">
      <c r="A389">
        <v>41800303</v>
      </c>
      <c r="B389" t="s">
        <v>20</v>
      </c>
      <c r="C389" t="s">
        <v>32</v>
      </c>
      <c r="D389" t="s">
        <v>19</v>
      </c>
      <c r="E389">
        <v>93</v>
      </c>
      <c r="F389">
        <v>91</v>
      </c>
      <c r="G389">
        <v>4</v>
      </c>
      <c r="H389" s="1">
        <v>1.5856481481481481E-3</v>
      </c>
      <c r="I389" t="s">
        <v>21</v>
      </c>
      <c r="J389" s="2" t="str">
        <f>HYPERLINK("https://www.nba.com/stats/events?CFID=&amp;CFPARAMS=&amp;GameEventID=669&amp;GameID=0041800303&amp;Season=2018-19&amp;flag=1&amp;title=Leonard%2016'%20Jump%20Shot%20(24%20PTS)", "Leonard 16' Jump Shot (24 PTS)")</f>
        <v>Leonard 16' Jump Shot (24 PTS)</v>
      </c>
      <c r="K389" s="2" t="str">
        <f>HYPERLINK("https://www.nba.com/game/...-vs-...-0041800303/play-by-play?watchFullGame=true", "TOR vs MIL - Q4 02:17.00")</f>
        <v>TOR vs MIL - Q4 02:17.00</v>
      </c>
      <c r="L389">
        <v>16</v>
      </c>
      <c r="M389">
        <v>-142</v>
      </c>
      <c r="N389">
        <v>76</v>
      </c>
      <c r="O389">
        <v>-142</v>
      </c>
      <c r="P389">
        <v>76</v>
      </c>
    </row>
    <row r="390" spans="1:16" x14ac:dyDescent="0.25">
      <c r="A390">
        <v>21601011</v>
      </c>
      <c r="B390">
        <v>2016</v>
      </c>
      <c r="C390" t="s">
        <v>32</v>
      </c>
      <c r="D390" t="s">
        <v>29</v>
      </c>
      <c r="E390">
        <v>97</v>
      </c>
      <c r="F390">
        <v>100</v>
      </c>
      <c r="G390">
        <v>4</v>
      </c>
      <c r="H390" s="1">
        <v>2.6157407407407405E-3</v>
      </c>
      <c r="I390" t="s">
        <v>18</v>
      </c>
      <c r="J390" s="2" t="str">
        <f>HYPERLINK("https://www.nba.com/stats/events?CFID=&amp;CFPARAMS=&amp;GameEventID=430&amp;GameID=0021601011&amp;Season=2016-17&amp;flag=1&amp;title=Leonard%2020'%20Pullup%20Jump%20Shot%20(34%20PTS)", "Leonard 20' Pullup Jump Shot (34 PTS)")</f>
        <v>Leonard 20' Pullup Jump Shot (34 PTS)</v>
      </c>
      <c r="K390" s="2" t="str">
        <f>HYPERLINK("https://www.nba.com/game/...-vs-...-0021601011/play-by-play?watchFullGame=true", "SAS vs POR - Q4 03:46.00")</f>
        <v>SAS vs POR - Q4 03:46.00</v>
      </c>
      <c r="L390">
        <v>20</v>
      </c>
      <c r="M390">
        <v>-142</v>
      </c>
      <c r="N390">
        <v>146</v>
      </c>
      <c r="O390">
        <v>-142</v>
      </c>
      <c r="P390">
        <v>146</v>
      </c>
    </row>
    <row r="391" spans="1:16" x14ac:dyDescent="0.25">
      <c r="A391">
        <v>21500090</v>
      </c>
      <c r="B391">
        <v>2015</v>
      </c>
      <c r="C391" t="s">
        <v>32</v>
      </c>
      <c r="D391" t="s">
        <v>29</v>
      </c>
      <c r="E391">
        <v>73</v>
      </c>
      <c r="F391">
        <v>73</v>
      </c>
      <c r="G391">
        <v>3</v>
      </c>
      <c r="H391" s="1">
        <v>2.662037037037037E-3</v>
      </c>
      <c r="I391" t="s">
        <v>18</v>
      </c>
      <c r="J391" s="2" t="str">
        <f>HYPERLINK("https://www.nba.com/stats/events?CFID=&amp;CFPARAMS=&amp;GameEventID=329&amp;GameID=0021500090&amp;Season=2015-16&amp;flag=1&amp;title=Leonard%2020'%20Pullup%20Jump%20Shot%20(16%20PTS)", "Leonard 20' Pullup Jump Shot (16 PTS)")</f>
        <v>Leonard 20' Pullup Jump Shot (16 PTS)</v>
      </c>
      <c r="K391" s="2" t="str">
        <f>HYPERLINK("https://www.nba.com/game/...-vs-...-0021500090/play-by-play?watchFullGame=true", "SAS vs CHA - Q3 03:50.00")</f>
        <v>SAS vs CHA - Q3 03:50.00</v>
      </c>
      <c r="L391">
        <v>20</v>
      </c>
      <c r="M391">
        <v>-142</v>
      </c>
      <c r="N391">
        <v>146</v>
      </c>
      <c r="O391">
        <v>-142</v>
      </c>
      <c r="P391">
        <v>146</v>
      </c>
    </row>
    <row r="392" spans="1:16" x14ac:dyDescent="0.25">
      <c r="A392">
        <v>21500439</v>
      </c>
      <c r="B392">
        <v>2015</v>
      </c>
      <c r="C392" t="s">
        <v>16</v>
      </c>
      <c r="D392" t="s">
        <v>19</v>
      </c>
      <c r="E392">
        <v>88</v>
      </c>
      <c r="F392">
        <v>84</v>
      </c>
      <c r="G392">
        <v>4</v>
      </c>
      <c r="H392" s="1">
        <v>9.4907407407407408E-4</v>
      </c>
      <c r="I392" t="s">
        <v>18</v>
      </c>
      <c r="J392" s="2" t="str">
        <f>HYPERLINK("https://www.nba.com/stats/events?CFID=&amp;CFPARAMS=&amp;GameEventID=529&amp;GameID=0021500439&amp;Season=2015-16&amp;flag=1&amp;title=Leonard%2025'%203PT%20Jump%20Shot%20(20%20PTS)%20(Duncan%203%20AST)", "Leonard 25' 3PT Jump Shot (20 PTS) (Duncan 3 AST)")</f>
        <v>Leonard 25' 3PT Jump Shot (20 PTS) (Duncan 3 AST)</v>
      </c>
      <c r="K392" s="2" t="str">
        <f>HYPERLINK("https://www.nba.com/game/...-vs-...-0021500439/play-by-play?watchFullGame=true", "SAS vs HOU - Q4 01:22.00")</f>
        <v>SAS vs HOU - Q4 01:22.00</v>
      </c>
      <c r="L392">
        <v>25</v>
      </c>
      <c r="M392">
        <v>-142</v>
      </c>
      <c r="N392">
        <v>203</v>
      </c>
      <c r="O392">
        <v>-142</v>
      </c>
      <c r="P392">
        <v>203</v>
      </c>
    </row>
    <row r="393" spans="1:16" x14ac:dyDescent="0.25">
      <c r="A393">
        <v>21500909</v>
      </c>
      <c r="B393">
        <v>2015</v>
      </c>
      <c r="C393" t="s">
        <v>16</v>
      </c>
      <c r="D393" t="s">
        <v>19</v>
      </c>
      <c r="E393">
        <v>62</v>
      </c>
      <c r="F393">
        <v>61</v>
      </c>
      <c r="G393">
        <v>3</v>
      </c>
      <c r="H393" s="1">
        <v>2.2800925925925927E-3</v>
      </c>
      <c r="I393" t="s">
        <v>18</v>
      </c>
      <c r="J393" s="2" t="str">
        <f>HYPERLINK("https://www.nba.com/stats/events?CFID=&amp;CFPARAMS=&amp;GameEventID=311&amp;GameID=0021500909&amp;Season=2015-16&amp;flag=1&amp;title=Leonard%2026'%203PT%20Jump%20Shot%20(18%20PTS)%20(Parker%205%20AST)", "Leonard 26' 3PT Jump Shot (18 PTS) (Parker 5 AST)")</f>
        <v>Leonard 26' 3PT Jump Shot (18 PTS) (Parker 5 AST)</v>
      </c>
      <c r="K393" s="2" t="str">
        <f>HYPERLINK("https://www.nba.com/game/...-vs-...-0021500909/play-by-play?watchFullGame=true", "SAS vs NOP - Q3 03:17.00")</f>
        <v>SAS vs NOP - Q3 03:17.00</v>
      </c>
      <c r="L393">
        <v>26</v>
      </c>
      <c r="M393">
        <v>-142</v>
      </c>
      <c r="N393">
        <v>213</v>
      </c>
      <c r="O393">
        <v>-142</v>
      </c>
      <c r="P393">
        <v>213</v>
      </c>
    </row>
    <row r="394" spans="1:16" x14ac:dyDescent="0.25">
      <c r="A394">
        <v>22300982</v>
      </c>
      <c r="B394">
        <v>2023</v>
      </c>
      <c r="C394" t="s">
        <v>16</v>
      </c>
      <c r="D394" t="s">
        <v>19</v>
      </c>
      <c r="E394">
        <v>5</v>
      </c>
      <c r="F394">
        <v>2</v>
      </c>
      <c r="G394">
        <v>1</v>
      </c>
      <c r="H394" s="1">
        <v>7.2222222222222219E-3</v>
      </c>
      <c r="I394" t="s">
        <v>23</v>
      </c>
      <c r="J394" s="2" t="str">
        <f>HYPERLINK("https://www.nba.com/stats/events?CFID=&amp;CFPARAMS=&amp;GameEventID=22&amp;GameID=0022300982&amp;Season=2023-24&amp;flag=1&amp;title=Leonard%2025'%203PT%20%20(5%20PTS)%20(I.%20Zubac%201%20AST)", "25' 3PT  (5 PTS) (I. Zubac 1 AST)")</f>
        <v>25' 3PT  (5 PTS) (I. Zubac 1 AST)</v>
      </c>
      <c r="K394" s="2" t="str">
        <f>HYPERLINK("https://www.nba.com/game/...-vs-...-0022300982/play-by-play?watchFullGame=true", "LAC vs ATL - Q1 10:24.00")</f>
        <v>LAC vs ATL - Q1 10:24.00</v>
      </c>
      <c r="L394">
        <v>25.79</v>
      </c>
      <c r="M394">
        <v>71.53</v>
      </c>
      <c r="N394">
        <v>21.57</v>
      </c>
      <c r="O394">
        <v>-142</v>
      </c>
      <c r="P394">
        <v>215</v>
      </c>
    </row>
    <row r="395" spans="1:16" x14ac:dyDescent="0.25">
      <c r="A395">
        <v>21600917</v>
      </c>
      <c r="B395">
        <v>2016</v>
      </c>
      <c r="C395" t="s">
        <v>16</v>
      </c>
      <c r="D395" t="s">
        <v>19</v>
      </c>
      <c r="E395">
        <v>6</v>
      </c>
      <c r="F395">
        <v>7</v>
      </c>
      <c r="G395">
        <v>1</v>
      </c>
      <c r="H395" s="1">
        <v>7.2222222222222219E-3</v>
      </c>
      <c r="I395" t="s">
        <v>18</v>
      </c>
      <c r="J395" s="2" t="str">
        <f>HYPERLINK("https://www.nba.com/stats/events?CFID=&amp;CFPARAMS=&amp;GameEventID=14&amp;GameID=0021600917&amp;Season=2016-17&amp;flag=1&amp;title=Leonard%2026'%203PT%20Jump%20Shot%20(3%20PTS)", "Leonard 26' 3PT Jump Shot (3 PTS)")</f>
        <v>Leonard 26' 3PT Jump Shot (3 PTS)</v>
      </c>
      <c r="K395" s="2" t="str">
        <f>HYPERLINK("https://www.nba.com/game/...-vs-...-0021600917/play-by-play?watchFullGame=true", "SAS vs NOP - Q1 10:24.00")</f>
        <v>SAS vs NOP - Q1 10:24.00</v>
      </c>
      <c r="L395">
        <v>26</v>
      </c>
      <c r="M395">
        <v>-142</v>
      </c>
      <c r="N395">
        <v>223</v>
      </c>
      <c r="O395">
        <v>-142</v>
      </c>
      <c r="P395">
        <v>223</v>
      </c>
    </row>
    <row r="396" spans="1:16" x14ac:dyDescent="0.25">
      <c r="A396">
        <v>22400859</v>
      </c>
      <c r="B396">
        <v>2024</v>
      </c>
      <c r="C396" t="s">
        <v>16</v>
      </c>
      <c r="D396" t="s">
        <v>19</v>
      </c>
      <c r="E396">
        <v>0</v>
      </c>
      <c r="F396">
        <v>3</v>
      </c>
      <c r="G396">
        <v>1</v>
      </c>
      <c r="H396" s="1">
        <v>7.9745370370370369E-3</v>
      </c>
      <c r="I396" t="s">
        <v>23</v>
      </c>
      <c r="J396" s="2" t="str">
        <f>HYPERLINK("https://www.nba.com/stats/events?CFID=&amp;CFPARAMS=&amp;GameEventID=10&amp;GameID=0022400859&amp;Season=2024-25&amp;flag=1&amp;title=Leonard%2026'%203PT%20%20(3%20PTS)", "26' 3PT  (3 PTS)")</f>
        <v>26' 3PT  (3 PTS)</v>
      </c>
      <c r="K396" s="2" t="str">
        <f>HYPERLINK("https://www.nba.com/game/...-vs-...-0022400859/play-by-play?watchFullGame=true", "LAC vs LAL - Q1 11:29.00")</f>
        <v>LAC vs LAL - Q1 11:29.00</v>
      </c>
      <c r="L396">
        <v>26.51</v>
      </c>
      <c r="M396">
        <v>70.61</v>
      </c>
      <c r="N396">
        <v>21.57</v>
      </c>
      <c r="O396">
        <v>-142</v>
      </c>
      <c r="P396">
        <v>224</v>
      </c>
    </row>
    <row r="397" spans="1:16" x14ac:dyDescent="0.25">
      <c r="A397">
        <v>22300807</v>
      </c>
      <c r="B397">
        <v>2023</v>
      </c>
      <c r="C397" t="s">
        <v>16</v>
      </c>
      <c r="D397" t="s">
        <v>19</v>
      </c>
      <c r="E397">
        <v>64</v>
      </c>
      <c r="F397">
        <v>63</v>
      </c>
      <c r="G397">
        <v>3</v>
      </c>
      <c r="H397" s="1">
        <v>5.6828703703703702E-3</v>
      </c>
      <c r="I397" t="s">
        <v>23</v>
      </c>
      <c r="J397" s="2" t="str">
        <f>HYPERLINK("https://www.nba.com/stats/events?CFID=&amp;CFPARAMS=&amp;GameEventID=371&amp;GameID=0022300807&amp;Season=2023-24&amp;flag=1&amp;title=Leonard%2026'%203PT%20%20(13%20PTS)", "26' 3PT  (13 PTS)")</f>
        <v>26' 3PT  (13 PTS)</v>
      </c>
      <c r="K397" s="2" t="str">
        <f>HYPERLINK("https://www.nba.com/game/...-vs-...-0022300807/play-by-play?watchFullGame=true", "LAC vs MEM - Q3 08:11.00")</f>
        <v>LAC vs MEM - Q3 08:11.00</v>
      </c>
      <c r="L397">
        <v>26.59</v>
      </c>
      <c r="M397">
        <v>70.52</v>
      </c>
      <c r="N397">
        <v>21.57</v>
      </c>
      <c r="O397">
        <v>-142</v>
      </c>
      <c r="P397">
        <v>225</v>
      </c>
    </row>
    <row r="398" spans="1:16" x14ac:dyDescent="0.25">
      <c r="A398">
        <v>22300127</v>
      </c>
      <c r="B398">
        <v>2023</v>
      </c>
      <c r="C398" t="s">
        <v>16</v>
      </c>
      <c r="D398" t="s">
        <v>19</v>
      </c>
      <c r="E398">
        <v>9</v>
      </c>
      <c r="F398">
        <v>16</v>
      </c>
      <c r="G398">
        <v>1</v>
      </c>
      <c r="H398" s="1">
        <v>5.2314814814814811E-3</v>
      </c>
      <c r="I398" t="s">
        <v>23</v>
      </c>
      <c r="J398" s="2" t="str">
        <f>HYPERLINK("https://www.nba.com/stats/events?CFID=&amp;CFPARAMS=&amp;GameEventID=46&amp;GameID=0022300127&amp;Season=2023-24&amp;flag=1&amp;title=Leonard%2027'%203PT%20running%20(10%20PTS)%20(B.%20Hyland%201%20AST)", "27' 3PT running (10 PTS) (B. Hyland 1 AST)")</f>
        <v>27' 3PT running (10 PTS) (B. Hyland 1 AST)</v>
      </c>
      <c r="K398" s="2" t="str">
        <f>HYPERLINK("https://www.nba.com/game/...-vs-...-0022300127/play-by-play?watchFullGame=true", "LAC vs LAL - Q1 07:32.00")</f>
        <v>LAC vs LAL - Q1 07:32.00</v>
      </c>
      <c r="L398">
        <v>27.35</v>
      </c>
      <c r="M398">
        <v>69.56</v>
      </c>
      <c r="N398">
        <v>21.57</v>
      </c>
      <c r="O398">
        <v>-142</v>
      </c>
      <c r="P398">
        <v>234</v>
      </c>
    </row>
    <row r="399" spans="1:16" x14ac:dyDescent="0.25">
      <c r="A399">
        <v>22000576</v>
      </c>
      <c r="B399">
        <v>2020</v>
      </c>
      <c r="C399" t="s">
        <v>16</v>
      </c>
      <c r="D399" t="s">
        <v>19</v>
      </c>
      <c r="E399">
        <v>51</v>
      </c>
      <c r="F399">
        <v>35</v>
      </c>
      <c r="G399">
        <v>2</v>
      </c>
      <c r="H399" s="1">
        <v>2.3958333333333331E-3</v>
      </c>
      <c r="I399" t="s">
        <v>23</v>
      </c>
      <c r="J399" s="2" t="str">
        <f>HYPERLINK("https://www.nba.com/stats/events?CFID=&amp;CFPARAMS=&amp;GameEventID=292&amp;GameID=0022000576&amp;Season=2020-21&amp;flag=1&amp;title=Leonard%2028'%203PT%20%20(20%20PTS)%20(N.%20Batum%201%20AST)", "28' 3PT  (20 PTS) (N. Batum 1 AST)")</f>
        <v>28' 3PT  (20 PTS) (N. Batum 1 AST)</v>
      </c>
      <c r="K399" s="2" t="str">
        <f>HYPERLINK("https://www.nba.com/game/...-vs-...-0022000576/play-by-play?watchFullGame=true", "LAC vs GSW - Q2 03:27.00")</f>
        <v>LAC vs GSW - Q2 03:27.00</v>
      </c>
      <c r="L399">
        <v>28.15</v>
      </c>
      <c r="M399">
        <v>68.540000000000006</v>
      </c>
      <c r="N399">
        <v>21.64</v>
      </c>
      <c r="O399">
        <v>-142</v>
      </c>
      <c r="P399">
        <v>243</v>
      </c>
    </row>
    <row r="400" spans="1:16" x14ac:dyDescent="0.25">
      <c r="A400">
        <v>21400064</v>
      </c>
      <c r="B400">
        <v>2014</v>
      </c>
      <c r="C400" t="s">
        <v>32</v>
      </c>
      <c r="D400" t="s">
        <v>19</v>
      </c>
      <c r="E400">
        <v>56</v>
      </c>
      <c r="F400">
        <v>45</v>
      </c>
      <c r="G400">
        <v>3</v>
      </c>
      <c r="H400" s="1">
        <v>5.6944444444444447E-3</v>
      </c>
      <c r="I400" t="s">
        <v>18</v>
      </c>
      <c r="J400" s="2" t="str">
        <f>HYPERLINK("https://www.nba.com/stats/events?CFID=&amp;CFPARAMS=&amp;GameEventID=282&amp;GameID=0021400064&amp;Season=2014-15&amp;flag=1&amp;title=Leonard%2014'%20Jump%20Shot%20(9%20PTS)%20(Diaw%203%20AST)", "Leonard 14' Jump Shot (9 PTS) (Diaw 3 AST)")</f>
        <v>Leonard 14' Jump Shot (9 PTS) (Diaw 3 AST)</v>
      </c>
      <c r="K400" s="2" t="str">
        <f>HYPERLINK("https://www.nba.com/game/...-vs-...-0021400064/play-by-play?watchFullGame=true", "SAS vs ATL - Q3 08:12.00")</f>
        <v>SAS vs ATL - Q3 08:12.00</v>
      </c>
      <c r="L400">
        <v>14</v>
      </c>
      <c r="M400">
        <v>-141</v>
      </c>
      <c r="N400">
        <v>-3</v>
      </c>
      <c r="O400">
        <v>-141</v>
      </c>
      <c r="P400">
        <v>-3</v>
      </c>
    </row>
    <row r="401" spans="1:16" x14ac:dyDescent="0.25">
      <c r="A401">
        <v>21300494</v>
      </c>
      <c r="B401">
        <v>2013</v>
      </c>
      <c r="C401" t="s">
        <v>32</v>
      </c>
      <c r="D401" t="s">
        <v>29</v>
      </c>
      <c r="E401">
        <v>76</v>
      </c>
      <c r="F401">
        <v>49</v>
      </c>
      <c r="G401">
        <v>3</v>
      </c>
      <c r="H401" s="1">
        <v>4.4907407407407405E-3</v>
      </c>
      <c r="I401" t="s">
        <v>18</v>
      </c>
      <c r="J401" s="2" t="str">
        <f>HYPERLINK("https://www.nba.com/stats/events?CFID=&amp;CFPARAMS=&amp;GameEventID=296&amp;GameID=0021300494&amp;Season=2013-14&amp;flag=1&amp;title=Leonard%2014'%20Pullup%20Jump%20Shot%20(8%20PTS)%20(Parker%207%20AST)", "Leonard 14' Pullup Jump Shot (8 PTS) (Parker 7 AST)")</f>
        <v>Leonard 14' Pullup Jump Shot (8 PTS) (Parker 7 AST)</v>
      </c>
      <c r="K401" s="2" t="str">
        <f>HYPERLINK("https://www.nba.com/game/...-vs-...-0021300494/play-by-play?watchFullGame=true", "SAS vs LAC - Q3 06:28.00")</f>
        <v>SAS vs LAC - Q3 06:28.00</v>
      </c>
      <c r="L401">
        <v>14</v>
      </c>
      <c r="M401">
        <v>-141</v>
      </c>
      <c r="N401">
        <v>15</v>
      </c>
      <c r="O401">
        <v>-141</v>
      </c>
      <c r="P401">
        <v>15</v>
      </c>
    </row>
    <row r="402" spans="1:16" x14ac:dyDescent="0.25">
      <c r="A402">
        <v>21400291</v>
      </c>
      <c r="B402">
        <v>2014</v>
      </c>
      <c r="C402" t="s">
        <v>32</v>
      </c>
      <c r="D402" t="s">
        <v>19</v>
      </c>
      <c r="E402">
        <v>37</v>
      </c>
      <c r="F402">
        <v>26</v>
      </c>
      <c r="G402">
        <v>2</v>
      </c>
      <c r="H402" s="1">
        <v>7.1064814814814819E-3</v>
      </c>
      <c r="I402" t="s">
        <v>18</v>
      </c>
      <c r="J402" s="2" t="str">
        <f>HYPERLINK("https://www.nba.com/stats/events?CFID=&amp;CFPARAMS=&amp;GameEventID=143&amp;GameID=0021400291&amp;Season=2014-15&amp;flag=1&amp;title=Leonard%2015'%20Jump%20Shot%20(2%20PTS)%20(Duncan%202%20AST)", "Leonard 15' Jump Shot (2 PTS) (Duncan 2 AST)")</f>
        <v>Leonard 15' Jump Shot (2 PTS) (Duncan 2 AST)</v>
      </c>
      <c r="K402" s="2" t="str">
        <f>HYPERLINK("https://www.nba.com/game/...-vs-...-0021400291/play-by-play?watchFullGame=true", "SAS vs MIN - Q2 10:14.00")</f>
        <v>SAS vs MIN - Q2 10:14.00</v>
      </c>
      <c r="L402">
        <v>15</v>
      </c>
      <c r="M402">
        <v>-141</v>
      </c>
      <c r="N402">
        <v>61</v>
      </c>
      <c r="O402">
        <v>-141</v>
      </c>
      <c r="P402">
        <v>61</v>
      </c>
    </row>
    <row r="403" spans="1:16" x14ac:dyDescent="0.25">
      <c r="A403">
        <v>21300494</v>
      </c>
      <c r="B403">
        <v>2013</v>
      </c>
      <c r="C403" t="s">
        <v>32</v>
      </c>
      <c r="D403" t="s">
        <v>19</v>
      </c>
      <c r="E403">
        <v>74</v>
      </c>
      <c r="F403">
        <v>37</v>
      </c>
      <c r="G403">
        <v>3</v>
      </c>
      <c r="H403" s="1">
        <v>7.0486111111111114E-3</v>
      </c>
      <c r="I403" t="s">
        <v>18</v>
      </c>
      <c r="J403" s="2" t="str">
        <f>HYPERLINK("https://www.nba.com/stats/events?CFID=&amp;CFPARAMS=&amp;GameEventID=272&amp;GameID=0021300494&amp;Season=2013-14&amp;flag=1&amp;title=Leonard%2016'%20Jump%20Shot%20(6%20PTS)%20(Belinelli%206%20AST)", "Leonard 16' Jump Shot (6 PTS) (Belinelli 6 AST)")</f>
        <v>Leonard 16' Jump Shot (6 PTS) (Belinelli 6 AST)</v>
      </c>
      <c r="K403" s="2" t="str">
        <f>HYPERLINK("https://www.nba.com/game/...-vs-...-0021300494/play-by-play?watchFullGame=true", "SAS vs LAC - Q3 10:09.00")</f>
        <v>SAS vs LAC - Q3 10:09.00</v>
      </c>
      <c r="L403">
        <v>16</v>
      </c>
      <c r="M403">
        <v>-141</v>
      </c>
      <c r="N403">
        <v>82</v>
      </c>
      <c r="O403">
        <v>-141</v>
      </c>
      <c r="P403">
        <v>82</v>
      </c>
    </row>
    <row r="404" spans="1:16" x14ac:dyDescent="0.25">
      <c r="A404">
        <v>41300316</v>
      </c>
      <c r="B404" t="s">
        <v>26</v>
      </c>
      <c r="C404" t="s">
        <v>32</v>
      </c>
      <c r="D404" t="s">
        <v>31</v>
      </c>
      <c r="E404">
        <v>56</v>
      </c>
      <c r="F404">
        <v>58</v>
      </c>
      <c r="G404">
        <v>3</v>
      </c>
      <c r="H404" s="1">
        <v>5.0000000000000001E-3</v>
      </c>
      <c r="I404" t="s">
        <v>18</v>
      </c>
      <c r="J404" s="2" t="str">
        <f>HYPERLINK("https://www.nba.com/stats/events?CFID=&amp;CFPARAMS=&amp;GameEventID=285&amp;GameID=0041300316&amp;Season=2013-14&amp;flag=1&amp;title=Leonard%2020'%20Step%20Back%20Jump%20Shot%20(15%20PTS)", "Leonard 20' Step Back Jump Shot (15 PTS)")</f>
        <v>Leonard 20' Step Back Jump Shot (15 PTS)</v>
      </c>
      <c r="K404" s="2" t="str">
        <f>HYPERLINK("https://www.nba.com/game/...-vs-...-0041300316/play-by-play?watchFullGame=true", "SAS vs OKC - Q3 07:12.00")</f>
        <v>SAS vs OKC - Q3 07:12.00</v>
      </c>
      <c r="L404">
        <v>20</v>
      </c>
      <c r="M404">
        <v>-141</v>
      </c>
      <c r="N404">
        <v>142</v>
      </c>
      <c r="O404">
        <v>-141</v>
      </c>
      <c r="P404">
        <v>142</v>
      </c>
    </row>
    <row r="405" spans="1:16" x14ac:dyDescent="0.25">
      <c r="A405">
        <v>21900523</v>
      </c>
      <c r="B405">
        <v>2019</v>
      </c>
      <c r="C405" t="s">
        <v>16</v>
      </c>
      <c r="D405" t="s">
        <v>22</v>
      </c>
      <c r="E405">
        <v>49</v>
      </c>
      <c r="F405">
        <v>60</v>
      </c>
      <c r="G405">
        <v>2</v>
      </c>
      <c r="H405" s="1">
        <v>2.3148148148148147E-3</v>
      </c>
      <c r="I405" t="s">
        <v>23</v>
      </c>
      <c r="J405" s="2" t="str">
        <f>HYPERLINK("https://www.nba.com/stats/events?CFID=&amp;CFPARAMS=&amp;GameEventID=299&amp;GameID=0021900523&amp;Season=2019-20&amp;flag=1&amp;title=Leonard%2028'%203PT%20%20(13%20PTS)", "28' 3PT  (13 PTS)")</f>
        <v>28' 3PT  (13 PTS)</v>
      </c>
      <c r="K405" s="2" t="str">
        <f>HYPERLINK("https://www.nba.com/game/...-vs-...-0021900523/play-by-play?watchFullGame=true", "LAC vs MEM - Q2 03:20.00")</f>
        <v>LAC vs MEM - Q2 03:20.00</v>
      </c>
      <c r="L405">
        <v>27.61</v>
      </c>
      <c r="M405">
        <v>30.27</v>
      </c>
      <c r="N405">
        <v>78.12</v>
      </c>
      <c r="O405">
        <v>-141</v>
      </c>
      <c r="P405">
        <v>232</v>
      </c>
    </row>
    <row r="406" spans="1:16" x14ac:dyDescent="0.25">
      <c r="A406">
        <v>21500323</v>
      </c>
      <c r="B406">
        <v>2015</v>
      </c>
      <c r="C406" t="s">
        <v>32</v>
      </c>
      <c r="D406" t="s">
        <v>17</v>
      </c>
      <c r="E406">
        <v>85</v>
      </c>
      <c r="F406">
        <v>76</v>
      </c>
      <c r="G406">
        <v>4</v>
      </c>
      <c r="H406" s="1">
        <v>5.0000000000000001E-3</v>
      </c>
      <c r="I406" t="s">
        <v>18</v>
      </c>
      <c r="J406" s="2" t="str">
        <f>HYPERLINK("https://www.nba.com/stats/events?CFID=&amp;CFPARAMS=&amp;GameEventID=430&amp;GameID=0021500323&amp;Season=2015-16&amp;flag=1&amp;title=Leonard%2014'%20Running%20Jump%20Shot%20(2%20PTS)%20(Mills%205%20AST)", "Leonard 14' Running Jump Shot (2 PTS) (Mills 5 AST)")</f>
        <v>Leonard 14' Running Jump Shot (2 PTS) (Mills 5 AST)</v>
      </c>
      <c r="K406" s="2" t="str">
        <f>HYPERLINK("https://www.nba.com/game/...-vs-...-0021500323/play-by-play?watchFullGame=true", "SAS vs TOR - Q4 07:12.00")</f>
        <v>SAS vs TOR - Q4 07:12.00</v>
      </c>
      <c r="L406">
        <v>14</v>
      </c>
      <c r="M406">
        <v>-140</v>
      </c>
      <c r="N406">
        <v>8</v>
      </c>
      <c r="O406">
        <v>-140</v>
      </c>
      <c r="P406">
        <v>8</v>
      </c>
    </row>
    <row r="407" spans="1:16" x14ac:dyDescent="0.25">
      <c r="A407">
        <v>21500379</v>
      </c>
      <c r="B407">
        <v>2015</v>
      </c>
      <c r="C407" t="s">
        <v>32</v>
      </c>
      <c r="D407" t="s">
        <v>29</v>
      </c>
      <c r="E407">
        <v>70</v>
      </c>
      <c r="F407">
        <v>60</v>
      </c>
      <c r="G407">
        <v>3</v>
      </c>
      <c r="H407" s="1">
        <v>4.9421296296296297E-3</v>
      </c>
      <c r="I407" t="s">
        <v>18</v>
      </c>
      <c r="J407" s="2" t="str">
        <f>HYPERLINK("https://www.nba.com/stats/events?CFID=&amp;CFPARAMS=&amp;GameEventID=317&amp;GameID=0021500379&amp;Season=2015-16&amp;flag=1&amp;title=Leonard%2014'%20Pullup%20Jump%20Shot%20(22%20PTS)%20(West%201%20AST)", "Leonard 14' Pullup Jump Shot (22 PTS) (West 1 AST)")</f>
        <v>Leonard 14' Pullup Jump Shot (22 PTS) (West 1 AST)</v>
      </c>
      <c r="K407" s="2" t="str">
        <f>HYPERLINK("https://www.nba.com/game/...-vs-...-0021500379/play-by-play?watchFullGame=true", "SAS vs WAS - Q3 07:07.00")</f>
        <v>SAS vs WAS - Q3 07:07.00</v>
      </c>
      <c r="L407">
        <v>14</v>
      </c>
      <c r="M407">
        <v>-140</v>
      </c>
      <c r="N407">
        <v>8</v>
      </c>
      <c r="O407">
        <v>-140</v>
      </c>
      <c r="P407">
        <v>8</v>
      </c>
    </row>
    <row r="408" spans="1:16" x14ac:dyDescent="0.25">
      <c r="A408">
        <v>22000387</v>
      </c>
      <c r="B408">
        <v>2020</v>
      </c>
      <c r="C408" t="s">
        <v>32</v>
      </c>
      <c r="D408" t="s">
        <v>19</v>
      </c>
      <c r="E408">
        <v>92</v>
      </c>
      <c r="F408">
        <v>102</v>
      </c>
      <c r="G408">
        <v>4</v>
      </c>
      <c r="H408" s="1">
        <v>3.5879629629629629E-3</v>
      </c>
      <c r="I408" t="s">
        <v>23</v>
      </c>
      <c r="J408" s="2" t="str">
        <f>HYPERLINK("https://www.nba.com/stats/events?CFID=&amp;CFPARAMS=&amp;GameEventID=591&amp;GameID=0022000387&amp;Season=2020-21&amp;flag=1&amp;title=Leonard%2014'%20Jump%20Shot%20(30%20PTS)%20(R.%20Jackson%204%20AST)", "14' Jump Shot (30 PTS) (R. Jackson 4 AST)")</f>
        <v>14' Jump Shot (30 PTS) (R. Jackson 4 AST)</v>
      </c>
      <c r="K408" s="2" t="str">
        <f>HYPERLINK("https://www.nba.com/game/...-vs-...-0022000387/play-by-play?watchFullGame=true", "LAC vs MIN - Q4 05:10.00")</f>
        <v>LAC vs MIN - Q4 05:10.00</v>
      </c>
      <c r="L408">
        <v>14.07</v>
      </c>
      <c r="M408">
        <v>6.92</v>
      </c>
      <c r="N408">
        <v>78.010000000000005</v>
      </c>
      <c r="O408">
        <v>-140</v>
      </c>
      <c r="P408">
        <v>13</v>
      </c>
    </row>
    <row r="409" spans="1:16" x14ac:dyDescent="0.25">
      <c r="A409">
        <v>22200871</v>
      </c>
      <c r="B409">
        <v>2022</v>
      </c>
      <c r="C409" t="s">
        <v>32</v>
      </c>
      <c r="D409" t="s">
        <v>19</v>
      </c>
      <c r="E409">
        <v>116</v>
      </c>
      <c r="F409">
        <v>101</v>
      </c>
      <c r="G409">
        <v>4</v>
      </c>
      <c r="H409" s="1">
        <v>5.9027777777777776E-3</v>
      </c>
      <c r="I409" t="s">
        <v>23</v>
      </c>
      <c r="J409" s="2" t="str">
        <f>HYPERLINK("https://www.nba.com/stats/events?CFID=&amp;CFPARAMS=&amp;GameEventID=555&amp;GameID=0022200871&amp;Season=2022-23&amp;flag=1&amp;title=Leonard%2014'%20turnaround%20fadeaway%20Jump%20Shot%20(28%20PTS)%20(N.%20Powell%201%20AST)", "14' turnaround fadeaway Jump Shot (28 PTS) (N. Powell 1 AST)")</f>
        <v>14' turnaround fadeaway Jump Shot (28 PTS) (N. Powell 1 AST)</v>
      </c>
      <c r="K409" s="2" t="str">
        <f>HYPERLINK("https://www.nba.com/game/...-vs-...-0022200871/play-by-play?watchFullGame=true", "LAC vs GSW - Q4 08:30.00")</f>
        <v>LAC vs GSW - Q4 08:30.00</v>
      </c>
      <c r="L409">
        <v>14.25</v>
      </c>
      <c r="M409">
        <v>8.59</v>
      </c>
      <c r="N409">
        <v>77.94</v>
      </c>
      <c r="O409">
        <v>-140</v>
      </c>
      <c r="P409">
        <v>28</v>
      </c>
    </row>
    <row r="410" spans="1:16" x14ac:dyDescent="0.25">
      <c r="A410">
        <v>21600962</v>
      </c>
      <c r="B410">
        <v>2016</v>
      </c>
      <c r="C410" t="s">
        <v>32</v>
      </c>
      <c r="D410" t="s">
        <v>34</v>
      </c>
      <c r="E410">
        <v>6</v>
      </c>
      <c r="F410">
        <v>10</v>
      </c>
      <c r="G410">
        <v>1</v>
      </c>
      <c r="H410" s="1">
        <v>6.2152777777777779E-3</v>
      </c>
      <c r="I410" t="s">
        <v>18</v>
      </c>
      <c r="J410" s="2" t="str">
        <f>HYPERLINK("https://www.nba.com/stats/events?CFID=&amp;CFPARAMS=&amp;GameEventID=26&amp;GameID=0021600962&amp;Season=2016-17&amp;flag=1&amp;title=Leonard%2015'%20Turnaround%20Fadeaway%20(6%20PTS)", "Leonard 15' Turnaround Fadeaway (6 PTS)")</f>
        <v>Leonard 15' Turnaround Fadeaway (6 PTS)</v>
      </c>
      <c r="K410" s="2" t="str">
        <f>HYPERLINK("https://www.nba.com/game/...-vs-...-0021600962/play-by-play?watchFullGame=true", "SAS vs OKC - Q1 08:57.00")</f>
        <v>SAS vs OKC - Q1 08:57.00</v>
      </c>
      <c r="L410">
        <v>15</v>
      </c>
      <c r="M410">
        <v>-140</v>
      </c>
      <c r="N410">
        <v>38</v>
      </c>
      <c r="O410">
        <v>-140</v>
      </c>
      <c r="P410">
        <v>38</v>
      </c>
    </row>
    <row r="411" spans="1:16" x14ac:dyDescent="0.25">
      <c r="A411">
        <v>41500232</v>
      </c>
      <c r="B411" t="s">
        <v>25</v>
      </c>
      <c r="C411" t="s">
        <v>32</v>
      </c>
      <c r="D411" t="s">
        <v>31</v>
      </c>
      <c r="E411">
        <v>33</v>
      </c>
      <c r="F411">
        <v>33</v>
      </c>
      <c r="G411">
        <v>2</v>
      </c>
      <c r="H411" s="1">
        <v>5.7060185185185183E-3</v>
      </c>
      <c r="I411" t="s">
        <v>18</v>
      </c>
      <c r="J411" s="2" t="str">
        <f>HYPERLINK("https://www.nba.com/stats/events?CFID=&amp;CFPARAMS=&amp;GameEventID=176&amp;GameID=0041500232&amp;Season=2015-16&amp;flag=1&amp;title=Leonard%2015'%20Step%20Back%20Jump%20Shot%20(2%20PTS)", "Leonard 15' Step Back Jump Shot (2 PTS)")</f>
        <v>Leonard 15' Step Back Jump Shot (2 PTS)</v>
      </c>
      <c r="K411" s="2" t="str">
        <f>HYPERLINK("https://www.nba.com/game/...-vs-...-0041500232/play-by-play?watchFullGame=true", "SAS vs OKC - Q2 08:13.00")</f>
        <v>SAS vs OKC - Q2 08:13.00</v>
      </c>
      <c r="L411">
        <v>15</v>
      </c>
      <c r="M411">
        <v>-140</v>
      </c>
      <c r="N411">
        <v>41</v>
      </c>
      <c r="O411">
        <v>-140</v>
      </c>
      <c r="P411">
        <v>41</v>
      </c>
    </row>
    <row r="412" spans="1:16" x14ac:dyDescent="0.25">
      <c r="A412">
        <v>21300363</v>
      </c>
      <c r="B412">
        <v>2013</v>
      </c>
      <c r="C412" t="s">
        <v>32</v>
      </c>
      <c r="D412" t="s">
        <v>24</v>
      </c>
      <c r="E412">
        <v>92</v>
      </c>
      <c r="F412">
        <v>84</v>
      </c>
      <c r="G412">
        <v>4</v>
      </c>
      <c r="H412" s="1">
        <v>3.1597222222222222E-3</v>
      </c>
      <c r="I412" t="s">
        <v>18</v>
      </c>
      <c r="J412" s="2" t="str">
        <f>HYPERLINK("https://www.nba.com/stats/events?CFID=&amp;CFPARAMS=&amp;GameEventID=478&amp;GameID=0021300363&amp;Season=2013-14&amp;flag=1&amp;title=Leonard%2014'%20Turnaround%20Jump%20Shot%20(12%20PTS)", "Leonard 14' Turnaround Jump Shot (12 PTS)")</f>
        <v>Leonard 14' Turnaround Jump Shot (12 PTS)</v>
      </c>
      <c r="K412" s="2" t="str">
        <f>HYPERLINK("https://www.nba.com/game/...-vs-...-0021300363/play-by-play?watchFullGame=true", "SAS vs LAC - Q4 04:33.00")</f>
        <v>SAS vs LAC - Q4 04:33.00</v>
      </c>
      <c r="L412">
        <v>14</v>
      </c>
      <c r="M412">
        <v>-139</v>
      </c>
      <c r="N412">
        <v>-2</v>
      </c>
      <c r="O412">
        <v>-139</v>
      </c>
      <c r="P412">
        <v>-2</v>
      </c>
    </row>
    <row r="413" spans="1:16" x14ac:dyDescent="0.25">
      <c r="A413">
        <v>21900499</v>
      </c>
      <c r="B413">
        <v>2019</v>
      </c>
      <c r="C413" t="s">
        <v>32</v>
      </c>
      <c r="D413" t="s">
        <v>22</v>
      </c>
      <c r="E413">
        <v>59</v>
      </c>
      <c r="F413">
        <v>74</v>
      </c>
      <c r="G413">
        <v>3</v>
      </c>
      <c r="H413" s="1">
        <v>3.9467592592592592E-3</v>
      </c>
      <c r="I413" t="s">
        <v>23</v>
      </c>
      <c r="J413" s="2" t="str">
        <f>HYPERLINK("https://www.nba.com/stats/events?CFID=&amp;CFPARAMS=&amp;GameEventID=417&amp;GameID=0021900499&amp;Season=2019-20&amp;flag=1&amp;title=Leonard%2017'%20jumpshot%20(18%20PTS)%20(P.%20George%208%20AST)", "17' jumpshot (18 PTS) (P. George 8 AST)")</f>
        <v>17' jumpshot (18 PTS) (P. George 8 AST)</v>
      </c>
      <c r="K413" s="2" t="str">
        <f>HYPERLINK("https://www.nba.com/game/...-vs-...-0021900499/play-by-play?watchFullGame=true", "LAC vs SAC - Q3 05:41.00")</f>
        <v>LAC vs SAC - Q3 05:41.00</v>
      </c>
      <c r="L413">
        <v>17.3</v>
      </c>
      <c r="M413">
        <v>15.98</v>
      </c>
      <c r="N413">
        <v>77.77</v>
      </c>
      <c r="O413">
        <v>-139</v>
      </c>
      <c r="P413">
        <v>98</v>
      </c>
    </row>
    <row r="414" spans="1:16" x14ac:dyDescent="0.25">
      <c r="A414">
        <v>41800402</v>
      </c>
      <c r="B414" t="s">
        <v>20</v>
      </c>
      <c r="C414" t="s">
        <v>32</v>
      </c>
      <c r="D414" t="s">
        <v>19</v>
      </c>
      <c r="E414">
        <v>2</v>
      </c>
      <c r="F414">
        <v>0</v>
      </c>
      <c r="G414">
        <v>1</v>
      </c>
      <c r="H414" s="1">
        <v>7.5115740740740742E-3</v>
      </c>
      <c r="I414" t="s">
        <v>21</v>
      </c>
      <c r="J414" s="2" t="str">
        <f>HYPERLINK("https://www.nba.com/stats/events?CFID=&amp;CFPARAMS=&amp;GameEventID=19&amp;GameID=0041800402&amp;Season=2018-19&amp;flag=1&amp;title=Leonard%2019'%20Jump%20Shot%20(2%20PTS)", "Leonard 19' Jump Shot (2 PTS)")</f>
        <v>Leonard 19' Jump Shot (2 PTS)</v>
      </c>
      <c r="K414" s="2" t="str">
        <f>HYPERLINK("https://www.nba.com/game/...-vs-...-0041800402/play-by-play?watchFullGame=true", "TOR vs GSW - Q1 10:49.00")</f>
        <v>TOR vs GSW - Q1 10:49.00</v>
      </c>
      <c r="L414">
        <v>19</v>
      </c>
      <c r="M414">
        <v>-139</v>
      </c>
      <c r="N414">
        <v>134</v>
      </c>
      <c r="O414">
        <v>-139</v>
      </c>
      <c r="P414">
        <v>134</v>
      </c>
    </row>
    <row r="415" spans="1:16" x14ac:dyDescent="0.25">
      <c r="A415">
        <v>22000328</v>
      </c>
      <c r="B415">
        <v>2020</v>
      </c>
      <c r="C415" t="s">
        <v>16</v>
      </c>
      <c r="D415" t="s">
        <v>19</v>
      </c>
      <c r="E415">
        <v>4</v>
      </c>
      <c r="F415">
        <v>5</v>
      </c>
      <c r="G415">
        <v>1</v>
      </c>
      <c r="H415" s="1">
        <v>7.1064814814814819E-3</v>
      </c>
      <c r="I415" t="s">
        <v>23</v>
      </c>
      <c r="J415" s="2" t="str">
        <f>HYPERLINK("https://www.nba.com/stats/events?CFID=&amp;CFPARAMS=&amp;GameEventID=20&amp;GameID=0022000328&amp;Season=2020-21&amp;flag=1&amp;title=Leonard%2025'%203PT%20%20(3%20PTS)%20(Ibaka%201%20AST)", "25' 3PT  (3 PTS) (S. Ibaka 1 AST)")</f>
        <v>25' 3PT  (3 PTS) (S. Ibaka 1 AST)</v>
      </c>
      <c r="K415" s="2" t="str">
        <f>HYPERLINK("https://www.nba.com/game/...-vs-...-0022000328/play-by-play?watchFullGame=true", "LAC vs CLE - Q1 10:14.00")</f>
        <v>LAC vs CLE - Q1 10:14.00</v>
      </c>
      <c r="L415">
        <v>25.49</v>
      </c>
      <c r="M415">
        <v>28.33</v>
      </c>
      <c r="N415">
        <v>77.77</v>
      </c>
      <c r="O415">
        <v>-139</v>
      </c>
      <c r="P415">
        <v>214</v>
      </c>
    </row>
    <row r="416" spans="1:16" x14ac:dyDescent="0.25">
      <c r="A416">
        <v>21900458</v>
      </c>
      <c r="B416">
        <v>2019</v>
      </c>
      <c r="C416" t="s">
        <v>16</v>
      </c>
      <c r="D416" t="s">
        <v>22</v>
      </c>
      <c r="E416">
        <v>71</v>
      </c>
      <c r="F416">
        <v>62</v>
      </c>
      <c r="G416">
        <v>3</v>
      </c>
      <c r="H416" s="1">
        <v>5.6712962962962967E-3</v>
      </c>
      <c r="I416" t="s">
        <v>23</v>
      </c>
      <c r="J416" s="2" t="str">
        <f>HYPERLINK("https://www.nba.com/stats/events?CFID=&amp;CFPARAMS=&amp;GameEventID=429&amp;GameID=0021900458&amp;Season=2019-20&amp;flag=1&amp;title=Leonard%2027'%203PT%20%20(21%20PTS)%20(I.%20Zubac%201%20AST)", "27' 3PT  (21 PTS) (I. Zubac 1 AST)")</f>
        <v>27' 3PT  (21 PTS) (I. Zubac 1 AST)</v>
      </c>
      <c r="K416" s="2" t="str">
        <f>HYPERLINK("https://www.nba.com/game/...-vs-...-0021900458/play-by-play?watchFullGame=true", "LAC vs LAL - Q3 08:10.00")</f>
        <v>LAC vs LAL - Q3 08:10.00</v>
      </c>
      <c r="L416">
        <v>27.22</v>
      </c>
      <c r="M416">
        <v>70.09</v>
      </c>
      <c r="N416">
        <v>22.23</v>
      </c>
      <c r="O416">
        <v>-139</v>
      </c>
      <c r="P416">
        <v>229</v>
      </c>
    </row>
    <row r="417" spans="1:16" x14ac:dyDescent="0.25">
      <c r="A417">
        <v>21401098</v>
      </c>
      <c r="B417">
        <v>2014</v>
      </c>
      <c r="C417" t="s">
        <v>32</v>
      </c>
      <c r="D417" t="s">
        <v>24</v>
      </c>
      <c r="E417">
        <v>76</v>
      </c>
      <c r="F417">
        <v>69</v>
      </c>
      <c r="G417">
        <v>4</v>
      </c>
      <c r="H417" s="1">
        <v>7.1527777777777779E-3</v>
      </c>
      <c r="I417" t="s">
        <v>18</v>
      </c>
      <c r="J417" s="2" t="str">
        <f>HYPERLINK("https://www.nba.com/stats/events?CFID=&amp;CFPARAMS=&amp;GameEventID=361&amp;GameID=0021401098&amp;Season=2014-15&amp;flag=1&amp;title=Leonard%2014'%20Turnaround%20Jump%20Shot%20(16%20PTS)%20(Green%204%20AST)", "Leonard 14' Turnaround Jump Shot (16 PTS) (Green 4 AST)")</f>
        <v>Leonard 14' Turnaround Jump Shot (16 PTS) (Green 4 AST)</v>
      </c>
      <c r="K417" s="2" t="str">
        <f>HYPERLINK("https://www.nba.com/game/...-vs-...-0021401098/play-by-play?watchFullGame=true", "SAS vs MEM - Q4 10:18.00")</f>
        <v>SAS vs MEM - Q4 10:18.00</v>
      </c>
      <c r="L417">
        <v>14</v>
      </c>
      <c r="M417">
        <v>-138</v>
      </c>
      <c r="N417">
        <v>-5</v>
      </c>
      <c r="O417">
        <v>-138</v>
      </c>
      <c r="P417">
        <v>-5</v>
      </c>
    </row>
    <row r="418" spans="1:16" x14ac:dyDescent="0.25">
      <c r="A418">
        <v>21500465</v>
      </c>
      <c r="B418">
        <v>2015</v>
      </c>
      <c r="C418" t="s">
        <v>32</v>
      </c>
      <c r="D418" t="s">
        <v>31</v>
      </c>
      <c r="E418">
        <v>58</v>
      </c>
      <c r="F418">
        <v>58</v>
      </c>
      <c r="G418">
        <v>3</v>
      </c>
      <c r="H418" s="1">
        <v>5.8101851851851856E-3</v>
      </c>
      <c r="I418" t="s">
        <v>18</v>
      </c>
      <c r="J418" s="2" t="str">
        <f>HYPERLINK("https://www.nba.com/stats/events?CFID=&amp;CFPARAMS=&amp;GameEventID=274&amp;GameID=0021500465&amp;Season=2015-16&amp;flag=1&amp;title=Leonard%2014'%20Step%20Back%20Jump%20Shot%20(13%20PTS)", "Leonard 14' Step Back Jump Shot (13 PTS)")</f>
        <v>Leonard 14' Step Back Jump Shot (13 PTS)</v>
      </c>
      <c r="K418" s="2" t="str">
        <f>HYPERLINK("https://www.nba.com/game/...-vs-...-0021500465/play-by-play?watchFullGame=true", "SAS vs MIN - Q3 08:22.00")</f>
        <v>SAS vs MIN - Q3 08:22.00</v>
      </c>
      <c r="L418">
        <v>14</v>
      </c>
      <c r="M418">
        <v>-138</v>
      </c>
      <c r="N418">
        <v>13</v>
      </c>
      <c r="O418">
        <v>-138</v>
      </c>
      <c r="P418">
        <v>13</v>
      </c>
    </row>
    <row r="419" spans="1:16" x14ac:dyDescent="0.25">
      <c r="A419">
        <v>21600962</v>
      </c>
      <c r="B419">
        <v>2016</v>
      </c>
      <c r="C419" t="s">
        <v>32</v>
      </c>
      <c r="D419" t="s">
        <v>19</v>
      </c>
      <c r="E419">
        <v>6</v>
      </c>
      <c r="F419">
        <v>8</v>
      </c>
      <c r="G419">
        <v>1</v>
      </c>
      <c r="H419" s="1">
        <v>6.828703703703704E-3</v>
      </c>
      <c r="I419" t="s">
        <v>18</v>
      </c>
      <c r="J419" s="2" t="str">
        <f>HYPERLINK("https://www.nba.com/stats/events?CFID=&amp;CFPARAMS=&amp;GameEventID=20&amp;GameID=0021600962&amp;Season=2016-17&amp;flag=1&amp;title=Leonard%2014'%20Jump%20Shot%20(4%20PTS)%20(Murray%202%20AST)", "Leonard 14' Jump Shot (4 PTS) (Murray 2 AST)")</f>
        <v>Leonard 14' Jump Shot (4 PTS) (Murray 2 AST)</v>
      </c>
      <c r="K419" s="2" t="str">
        <f>HYPERLINK("https://www.nba.com/game/...-vs-...-0021600962/play-by-play?watchFullGame=true", "SAS vs OKC - Q1 09:50.00")</f>
        <v>SAS vs OKC - Q1 09:50.00</v>
      </c>
      <c r="L419">
        <v>14</v>
      </c>
      <c r="M419">
        <v>-138</v>
      </c>
      <c r="N419">
        <v>13</v>
      </c>
      <c r="O419">
        <v>-138</v>
      </c>
      <c r="P419">
        <v>13</v>
      </c>
    </row>
    <row r="420" spans="1:16" x14ac:dyDescent="0.25">
      <c r="A420">
        <v>21400739</v>
      </c>
      <c r="B420">
        <v>2014</v>
      </c>
      <c r="C420" t="s">
        <v>32</v>
      </c>
      <c r="D420" t="s">
        <v>19</v>
      </c>
      <c r="E420">
        <v>35</v>
      </c>
      <c r="F420">
        <v>30</v>
      </c>
      <c r="G420">
        <v>2</v>
      </c>
      <c r="H420" s="1">
        <v>5.1736111111111115E-3</v>
      </c>
      <c r="I420" t="s">
        <v>18</v>
      </c>
      <c r="J420" s="2" t="str">
        <f>HYPERLINK("https://www.nba.com/stats/events?CFID=&amp;CFPARAMS=&amp;GameEventID=145&amp;GameID=0021400739&amp;Season=2014-15&amp;flag=1&amp;title=Leonard%2014'%20Jump%20Shot%20(8%20PTS)%20(Joseph%201%20AST)", "Leonard 14' Jump Shot (8 PTS) (Joseph 1 AST)")</f>
        <v>Leonard 14' Jump Shot (8 PTS) (Joseph 1 AST)</v>
      </c>
      <c r="K420" s="2" t="str">
        <f>HYPERLINK("https://www.nba.com/game/...-vs-...-0021400739/play-by-play?watchFullGame=true", "SAS vs ORL - Q2 07:27.00")</f>
        <v>SAS vs ORL - Q2 07:27.00</v>
      </c>
      <c r="L420">
        <v>14</v>
      </c>
      <c r="M420">
        <v>-138</v>
      </c>
      <c r="N420">
        <v>20</v>
      </c>
      <c r="O420">
        <v>-138</v>
      </c>
      <c r="P420">
        <v>20</v>
      </c>
    </row>
    <row r="421" spans="1:16" x14ac:dyDescent="0.25">
      <c r="A421">
        <v>22000625</v>
      </c>
      <c r="B421">
        <v>2020</v>
      </c>
      <c r="C421" t="s">
        <v>32</v>
      </c>
      <c r="D421" t="s">
        <v>19</v>
      </c>
      <c r="E421">
        <v>77</v>
      </c>
      <c r="F421">
        <v>65</v>
      </c>
      <c r="G421">
        <v>3</v>
      </c>
      <c r="H421" s="1">
        <v>1.1921296296296296E-3</v>
      </c>
      <c r="I421" t="s">
        <v>23</v>
      </c>
      <c r="J421" s="2" t="str">
        <f>HYPERLINK("https://www.nba.com/stats/events?CFID=&amp;CFPARAMS=&amp;GameEventID=454&amp;GameID=0022000625&amp;Season=2020-21&amp;flag=1&amp;title=Leonard%2014'%20Jump%20Shot%20(14%20PTS)%20(L.%20Williams%202%20AST)", "14' Jump Shot (14 PTS) (L. Williams 2 AST)")</f>
        <v>14' Jump Shot (14 PTS) (L. Williams 2 AST)</v>
      </c>
      <c r="K421" s="2" t="str">
        <f>HYPERLINK("https://www.nba.com/game/...-vs-...-0022000625/play-by-play?watchFullGame=true", "LAC vs DAL - Q3 01:43.00")</f>
        <v>LAC vs DAL - Q3 01:43.00</v>
      </c>
      <c r="L421">
        <v>14.03</v>
      </c>
      <c r="M421">
        <v>8.49</v>
      </c>
      <c r="N421">
        <v>77.52</v>
      </c>
      <c r="O421">
        <v>-138</v>
      </c>
      <c r="P421">
        <v>27</v>
      </c>
    </row>
    <row r="422" spans="1:16" x14ac:dyDescent="0.25">
      <c r="A422">
        <v>41800214</v>
      </c>
      <c r="B422" t="s">
        <v>20</v>
      </c>
      <c r="C422" t="s">
        <v>32</v>
      </c>
      <c r="D422" t="s">
        <v>29</v>
      </c>
      <c r="E422">
        <v>68</v>
      </c>
      <c r="F422">
        <v>68</v>
      </c>
      <c r="G422">
        <v>3</v>
      </c>
      <c r="H422" s="1">
        <v>2.5000000000000001E-3</v>
      </c>
      <c r="I422" t="s">
        <v>21</v>
      </c>
      <c r="J422" s="2" t="str">
        <f>HYPERLINK("https://www.nba.com/stats/events?CFID=&amp;CFPARAMS=&amp;GameEventID=432&amp;GameID=0041800214&amp;Season=2018-19&amp;flag=1&amp;title=Leonard%2014'%20Pullup%20Jump%20Shot%20(28%20PTS)", "Leonard 14' Pullup Jump Shot (28 PTS)")</f>
        <v>Leonard 14' Pullup Jump Shot (28 PTS)</v>
      </c>
      <c r="K422" s="2" t="str">
        <f>HYPERLINK("https://www.nba.com/game/...-vs-...-0041800214/play-by-play?watchFullGame=true", "TOR vs PHI - Q3 03:36.00")</f>
        <v>TOR vs PHI - Q3 03:36.00</v>
      </c>
      <c r="L422">
        <v>14</v>
      </c>
      <c r="M422">
        <v>-138</v>
      </c>
      <c r="N422">
        <v>29</v>
      </c>
      <c r="O422">
        <v>-138</v>
      </c>
      <c r="P422">
        <v>29</v>
      </c>
    </row>
    <row r="423" spans="1:16" x14ac:dyDescent="0.25">
      <c r="A423">
        <v>21900359</v>
      </c>
      <c r="B423">
        <v>2019</v>
      </c>
      <c r="C423" t="s">
        <v>32</v>
      </c>
      <c r="D423" t="s">
        <v>22</v>
      </c>
      <c r="E423">
        <v>20</v>
      </c>
      <c r="F423">
        <v>20</v>
      </c>
      <c r="G423">
        <v>1</v>
      </c>
      <c r="H423" s="1">
        <v>2.7546296296296294E-3</v>
      </c>
      <c r="I423" t="s">
        <v>23</v>
      </c>
      <c r="J423" s="2" t="str">
        <f>HYPERLINK("https://www.nba.com/stats/events?CFID=&amp;CFPARAMS=&amp;GameEventID=93&amp;GameID=0021900359&amp;Season=2019-20&amp;flag=1&amp;title=Leonard%2015'%20jumpshot%20(5%20PTS)%20(L.%20Williams%201%20AST)", "15' jumpshot (5 PTS) (L. Williams 1 AST)")</f>
        <v>15' jumpshot (5 PTS) (L. Williams 1 AST)</v>
      </c>
      <c r="K423" s="2" t="str">
        <f>HYPERLINK("https://www.nba.com/game/...-vs-...-0021900359/play-by-play?watchFullGame=true", "LAC vs TOR - Q1 03:58.00")</f>
        <v>LAC vs TOR - Q1 03:58.00</v>
      </c>
      <c r="L423">
        <v>14.56</v>
      </c>
      <c r="M423">
        <v>10.07</v>
      </c>
      <c r="N423">
        <v>77.52</v>
      </c>
      <c r="O423">
        <v>-138</v>
      </c>
      <c r="P423">
        <v>42</v>
      </c>
    </row>
    <row r="424" spans="1:16" x14ac:dyDescent="0.25">
      <c r="A424">
        <v>41600231</v>
      </c>
      <c r="B424" t="s">
        <v>30</v>
      </c>
      <c r="C424" t="s">
        <v>32</v>
      </c>
      <c r="D424" t="s">
        <v>29</v>
      </c>
      <c r="E424">
        <v>2</v>
      </c>
      <c r="F424">
        <v>0</v>
      </c>
      <c r="G424">
        <v>1</v>
      </c>
      <c r="H424" s="1">
        <v>8.0787037037037043E-3</v>
      </c>
      <c r="I424" t="s">
        <v>18</v>
      </c>
      <c r="J424" s="2" t="str">
        <f>HYPERLINK("https://www.nba.com/stats/events?CFID=&amp;CFPARAMS=&amp;GameEventID=2&amp;GameID=0041600231&amp;Season=2016-17&amp;flag=1&amp;title=Leonard%2015'%20Pullup%20Jump%20Shot%20(2%20PTS)%20(Green%201%20AST)", "Leonard 15' Pullup Jump Shot (2 PTS) (Green 1 AST)")</f>
        <v>Leonard 15' Pullup Jump Shot (2 PTS) (Green 1 AST)</v>
      </c>
      <c r="K424" s="2" t="str">
        <f>HYPERLINK("https://www.nba.com/game/...-vs-...-0041600231/play-by-play?watchFullGame=true", "SAS vs HOU - Q1 11:38.00")</f>
        <v>SAS vs HOU - Q1 11:38.00</v>
      </c>
      <c r="L424">
        <v>15</v>
      </c>
      <c r="M424">
        <v>-138</v>
      </c>
      <c r="N424">
        <v>61</v>
      </c>
      <c r="O424">
        <v>-138</v>
      </c>
      <c r="P424">
        <v>61</v>
      </c>
    </row>
    <row r="425" spans="1:16" x14ac:dyDescent="0.25">
      <c r="A425">
        <v>21900068</v>
      </c>
      <c r="B425">
        <v>2019</v>
      </c>
      <c r="C425" t="s">
        <v>32</v>
      </c>
      <c r="D425" t="s">
        <v>22</v>
      </c>
      <c r="E425">
        <v>2</v>
      </c>
      <c r="F425">
        <v>0</v>
      </c>
      <c r="G425">
        <v>1</v>
      </c>
      <c r="H425" s="1">
        <v>7.037037037037037E-3</v>
      </c>
      <c r="I425" t="s">
        <v>23</v>
      </c>
      <c r="J425" s="2" t="str">
        <f>HYPERLINK("https://www.nba.com/stats/events?CFID=&amp;CFPARAMS=&amp;GameEventID=22&amp;GameID=0021900068&amp;Season=2019-20&amp;flag=1&amp;title=[LAC]%20Leonard%20jumpshot:%20Made%20(2%20PTS)", "[LAC] Leonard jumpshot: Made (2 PTS)")</f>
        <v>[LAC] Leonard jumpshot: Made (2 PTS)</v>
      </c>
      <c r="K425" s="2" t="str">
        <f>HYPERLINK("https://www.nba.com/game/...-vs-...-0021900068/play-by-play?watchFullGame=true", "LAC vs SAS - Q1 10:08.00")</f>
        <v>LAC vs SAS - Q1 10:08.00</v>
      </c>
      <c r="L425">
        <v>17.760000000000002</v>
      </c>
      <c r="M425">
        <v>16.87</v>
      </c>
      <c r="N425">
        <v>77.63</v>
      </c>
      <c r="O425">
        <v>-138</v>
      </c>
      <c r="P425">
        <v>106</v>
      </c>
    </row>
    <row r="426" spans="1:16" x14ac:dyDescent="0.25">
      <c r="A426">
        <v>41300403</v>
      </c>
      <c r="B426" t="s">
        <v>26</v>
      </c>
      <c r="C426" t="s">
        <v>32</v>
      </c>
      <c r="D426" t="s">
        <v>19</v>
      </c>
      <c r="E426">
        <v>30</v>
      </c>
      <c r="F426">
        <v>55</v>
      </c>
      <c r="G426">
        <v>2</v>
      </c>
      <c r="H426" s="1">
        <v>5.6597222222222222E-3</v>
      </c>
      <c r="I426" t="s">
        <v>18</v>
      </c>
      <c r="J426" s="2" t="str">
        <f>HYPERLINK("https://www.nba.com/stats/events?CFID=&amp;CFPARAMS=&amp;GameEventID=155&amp;GameID=0041300403&amp;Season=2013-14&amp;flag=1&amp;title=Leonard%2021'%20Jump%20Shot%20(18%20PTS)", "Leonard 21' Jump Shot (18 PTS)")</f>
        <v>Leonard 21' Jump Shot (18 PTS)</v>
      </c>
      <c r="K426" s="2" t="str">
        <f>HYPERLINK("https://www.nba.com/game/...-vs-...-0041300403/play-by-play?watchFullGame=true", "SAS vs MIA - Q2 08:09.00")</f>
        <v>SAS vs MIA - Q2 08:09.00</v>
      </c>
      <c r="L426">
        <v>21</v>
      </c>
      <c r="M426">
        <v>-138</v>
      </c>
      <c r="N426">
        <v>159</v>
      </c>
      <c r="O426">
        <v>-138</v>
      </c>
      <c r="P426">
        <v>159</v>
      </c>
    </row>
    <row r="427" spans="1:16" x14ac:dyDescent="0.25">
      <c r="A427">
        <v>21500481</v>
      </c>
      <c r="B427">
        <v>2015</v>
      </c>
      <c r="C427" t="s">
        <v>16</v>
      </c>
      <c r="D427" t="s">
        <v>19</v>
      </c>
      <c r="E427">
        <v>71</v>
      </c>
      <c r="F427">
        <v>42</v>
      </c>
      <c r="G427">
        <v>3</v>
      </c>
      <c r="H427" s="1">
        <v>4.9421296296296297E-3</v>
      </c>
      <c r="I427" t="s">
        <v>18</v>
      </c>
      <c r="J427" s="2" t="str">
        <f>HYPERLINK("https://www.nba.com/stats/events?CFID=&amp;CFPARAMS=&amp;GameEventID=292&amp;GameID=0021500481&amp;Season=2015-16&amp;flag=1&amp;title=Leonard%2025'%203PT%20Jump%20Shot%20(15%20PTS)%20(Aldridge%202%20AST)", "Leonard 25' 3PT Jump Shot (15 PTS) (Aldridge 2 AST)")</f>
        <v>Leonard 25' 3PT Jump Shot (15 PTS) (Aldridge 2 AST)</v>
      </c>
      <c r="K427" s="2" t="str">
        <f>HYPERLINK("https://www.nba.com/game/...-vs-...-0021500481/play-by-play?watchFullGame=true", "SAS vs PHX - Q3 07:07.00")</f>
        <v>SAS vs PHX - Q3 07:07.00</v>
      </c>
      <c r="L427">
        <v>25</v>
      </c>
      <c r="M427">
        <v>-138</v>
      </c>
      <c r="N427">
        <v>210</v>
      </c>
      <c r="O427">
        <v>-138</v>
      </c>
      <c r="P427">
        <v>210</v>
      </c>
    </row>
    <row r="428" spans="1:16" x14ac:dyDescent="0.25">
      <c r="A428">
        <v>21601085</v>
      </c>
      <c r="B428">
        <v>2016</v>
      </c>
      <c r="C428" t="s">
        <v>16</v>
      </c>
      <c r="D428" t="s">
        <v>19</v>
      </c>
      <c r="E428">
        <v>96</v>
      </c>
      <c r="F428">
        <v>84</v>
      </c>
      <c r="G428">
        <v>4</v>
      </c>
      <c r="H428" s="1">
        <v>4.1087962962962962E-3</v>
      </c>
      <c r="I428" t="s">
        <v>18</v>
      </c>
      <c r="J428" s="2" t="str">
        <f>HYPERLINK("https://www.nba.com/stats/events?CFID=&amp;CFPARAMS=&amp;GameEventID=448&amp;GameID=0021601085&amp;Season=2016-17&amp;flag=1&amp;title=Leonard%2025'%203PT%20Jump%20Shot%20(24%20PTS)%20(Mills%207%20AST)", "Leonard 25' 3PT Jump Shot (24 PTS) (Mills 7 AST)")</f>
        <v>Leonard 25' 3PT Jump Shot (24 PTS) (Mills 7 AST)</v>
      </c>
      <c r="K428" s="2" t="str">
        <f>HYPERLINK("https://www.nba.com/game/...-vs-...-0021601085/play-by-play?watchFullGame=true", "SAS vs NYK - Q4 05:55.00")</f>
        <v>SAS vs NYK - Q4 05:55.00</v>
      </c>
      <c r="L428">
        <v>25</v>
      </c>
      <c r="M428">
        <v>-138</v>
      </c>
      <c r="N428">
        <v>213</v>
      </c>
      <c r="O428">
        <v>-138</v>
      </c>
      <c r="P428">
        <v>213</v>
      </c>
    </row>
    <row r="429" spans="1:16" x14ac:dyDescent="0.25">
      <c r="A429">
        <v>22000509</v>
      </c>
      <c r="B429">
        <v>2020</v>
      </c>
      <c r="C429" t="s">
        <v>16</v>
      </c>
      <c r="D429" t="s">
        <v>19</v>
      </c>
      <c r="E429">
        <v>64</v>
      </c>
      <c r="F429">
        <v>83</v>
      </c>
      <c r="G429">
        <v>3</v>
      </c>
      <c r="H429" s="1">
        <v>2.3032407407407407E-3</v>
      </c>
      <c r="I429" t="s">
        <v>23</v>
      </c>
      <c r="J429" s="2" t="str">
        <f>HYPERLINK("https://www.nba.com/stats/events?CFID=&amp;CFPARAMS=&amp;GameEventID=442&amp;GameID=0022000509&amp;Season=2020-21&amp;flag=1&amp;title=Leonard%2026'%203PT%20pullup%20(25%20PTS)%20(L.%20Williams%203%20AST)", "26' 3PT pullup (25 PTS) (L. Williams 3 AST)")</f>
        <v>26' 3PT pullup (25 PTS) (L. Williams 3 AST)</v>
      </c>
      <c r="K429" s="2" t="str">
        <f>HYPERLINK("https://www.nba.com/game/...-vs-...-0022000509/play-by-play?watchFullGame=true", "LAC vs MEM - Q3 03:19.00")</f>
        <v>LAC vs MEM - Q3 03:19.00</v>
      </c>
      <c r="L429">
        <v>26.26</v>
      </c>
      <c r="M429">
        <v>29.39</v>
      </c>
      <c r="N429">
        <v>77.52</v>
      </c>
      <c r="O429">
        <v>-138</v>
      </c>
      <c r="P429">
        <v>224</v>
      </c>
    </row>
    <row r="430" spans="1:16" x14ac:dyDescent="0.25">
      <c r="A430">
        <v>22300085</v>
      </c>
      <c r="B430">
        <v>2023</v>
      </c>
      <c r="C430" t="s">
        <v>16</v>
      </c>
      <c r="D430" t="s">
        <v>19</v>
      </c>
      <c r="E430">
        <v>97</v>
      </c>
      <c r="F430">
        <v>93</v>
      </c>
      <c r="G430">
        <v>4</v>
      </c>
      <c r="H430" s="1">
        <v>6.1342592592592594E-3</v>
      </c>
      <c r="I430" t="s">
        <v>23</v>
      </c>
      <c r="J430" s="2" t="str">
        <f>HYPERLINK("https://www.nba.com/stats/events?CFID=&amp;CFPARAMS=&amp;GameEventID=540&amp;GameID=0022300085&amp;Season=2023-24&amp;flag=1&amp;title=Leonard%2026'%203PT%20%20(19%20PTS)", "26' 3PT  (19 PTS)")</f>
        <v>26' 3PT  (19 PTS)</v>
      </c>
      <c r="K430" s="2" t="str">
        <f>HYPERLINK("https://www.nba.com/game/...-vs-...-0022300085/play-by-play?watchFullGame=true", "LAC vs UTA - Q4 08:50.00")</f>
        <v>LAC vs UTA - Q4 08:50.00</v>
      </c>
      <c r="L430">
        <v>26.42</v>
      </c>
      <c r="M430">
        <v>29.52</v>
      </c>
      <c r="N430">
        <v>77.7</v>
      </c>
      <c r="O430">
        <v>-138</v>
      </c>
      <c r="P430">
        <v>225</v>
      </c>
    </row>
    <row r="431" spans="1:16" x14ac:dyDescent="0.25">
      <c r="A431">
        <v>41800114</v>
      </c>
      <c r="B431" t="s">
        <v>20</v>
      </c>
      <c r="C431" t="s">
        <v>16</v>
      </c>
      <c r="D431" t="s">
        <v>19</v>
      </c>
      <c r="E431">
        <v>52</v>
      </c>
      <c r="F431">
        <v>68</v>
      </c>
      <c r="G431">
        <v>3</v>
      </c>
      <c r="H431" s="1">
        <v>4.340277777777778E-3</v>
      </c>
      <c r="I431" t="s">
        <v>21</v>
      </c>
      <c r="J431" s="2" t="str">
        <f>HYPERLINK("https://www.nba.com/stats/events?CFID=&amp;CFPARAMS=&amp;GameEventID=362&amp;GameID=0041800114&amp;Season=2018-19&amp;flag=1&amp;title=Leonard%2026'%203PT%20Jump%20Shot%20(25%20PTS)%20(Green%202%20AST)", "Leonard 26' 3PT Jump Shot (25 PTS) (Green 2 AST)")</f>
        <v>Leonard 26' 3PT Jump Shot (25 PTS) (Green 2 AST)</v>
      </c>
      <c r="K431" s="2" t="str">
        <f>HYPERLINK("https://www.nba.com/game/...-vs-...-0041800114/play-by-play?watchFullGame=true", "TOR vs ORL - Q3 06:15.00")</f>
        <v>TOR vs ORL - Q3 06:15.00</v>
      </c>
      <c r="L431">
        <v>26</v>
      </c>
      <c r="M431">
        <v>-138</v>
      </c>
      <c r="N431">
        <v>225</v>
      </c>
      <c r="O431">
        <v>-138</v>
      </c>
      <c r="P431">
        <v>225</v>
      </c>
    </row>
    <row r="432" spans="1:16" x14ac:dyDescent="0.25">
      <c r="A432">
        <v>22200945</v>
      </c>
      <c r="B432">
        <v>2022</v>
      </c>
      <c r="C432" t="s">
        <v>16</v>
      </c>
      <c r="D432" t="s">
        <v>19</v>
      </c>
      <c r="E432">
        <v>45</v>
      </c>
      <c r="F432">
        <v>56</v>
      </c>
      <c r="G432">
        <v>2</v>
      </c>
      <c r="H432" s="1">
        <v>1.5046296296296297E-5</v>
      </c>
      <c r="I432" t="s">
        <v>23</v>
      </c>
      <c r="J432" s="2" t="str">
        <f>HYPERLINK("https://www.nba.com/stats/events?CFID=&amp;CFPARAMS=&amp;GameEventID=328&amp;GameID=0022200945&amp;Season=2022-23&amp;flag=1&amp;title=Leonard%2027'%203PT%20%20(15%20PTS)%20(P.%20George%205%20AST)", "27' 3PT  (15 PTS) (P. George 5 AST)")</f>
        <v>27' 3PT  (15 PTS) (P. George 5 AST)</v>
      </c>
      <c r="K432" s="2" t="str">
        <f>HYPERLINK("https://www.nba.com/game/...-vs-...-0022200945/play-by-play?watchFullGame=true", "LAC vs GSW - Q2 00:01.30")</f>
        <v>LAC vs GSW - Q2 00:01.30</v>
      </c>
      <c r="L432">
        <v>27.55</v>
      </c>
      <c r="M432">
        <v>69.069999999999993</v>
      </c>
      <c r="N432">
        <v>22.3</v>
      </c>
      <c r="O432">
        <v>-138</v>
      </c>
      <c r="P432">
        <v>238</v>
      </c>
    </row>
    <row r="433" spans="1:16" x14ac:dyDescent="0.25">
      <c r="A433">
        <v>41500232</v>
      </c>
      <c r="B433" t="s">
        <v>25</v>
      </c>
      <c r="C433" t="s">
        <v>32</v>
      </c>
      <c r="D433" t="s">
        <v>29</v>
      </c>
      <c r="E433">
        <v>39</v>
      </c>
      <c r="F433">
        <v>37</v>
      </c>
      <c r="G433">
        <v>2</v>
      </c>
      <c r="H433" s="1">
        <v>4.6527777777777774E-3</v>
      </c>
      <c r="I433" t="s">
        <v>18</v>
      </c>
      <c r="J433" s="2" t="str">
        <f>HYPERLINK("https://www.nba.com/stats/events?CFID=&amp;CFPARAMS=&amp;GameEventID=194&amp;GameID=0041500232&amp;Season=2015-16&amp;flag=1&amp;title=Leonard%2014'%20Pullup%20Jump%20Shot%20(6%20PTS)", "Leonard 14' Pullup Jump Shot (6 PTS)")</f>
        <v>Leonard 14' Pullup Jump Shot (6 PTS)</v>
      </c>
      <c r="K433" s="2" t="str">
        <f>HYPERLINK("https://www.nba.com/game/...-vs-...-0041500232/play-by-play?watchFullGame=true", "SAS vs OKC - Q2 06:42.00")</f>
        <v>SAS vs OKC - Q2 06:42.00</v>
      </c>
      <c r="L433">
        <v>14</v>
      </c>
      <c r="M433">
        <v>-137</v>
      </c>
      <c r="N433">
        <v>-6</v>
      </c>
      <c r="O433">
        <v>-137</v>
      </c>
      <c r="P433">
        <v>-6</v>
      </c>
    </row>
    <row r="434" spans="1:16" x14ac:dyDescent="0.25">
      <c r="A434">
        <v>41600152</v>
      </c>
      <c r="B434" t="s">
        <v>30</v>
      </c>
      <c r="C434" t="s">
        <v>32</v>
      </c>
      <c r="D434" t="s">
        <v>31</v>
      </c>
      <c r="E434">
        <v>75</v>
      </c>
      <c r="F434">
        <v>60</v>
      </c>
      <c r="G434">
        <v>3</v>
      </c>
      <c r="H434" s="1">
        <v>6.6435185185185184E-4</v>
      </c>
      <c r="I434" t="s">
        <v>18</v>
      </c>
      <c r="J434" s="2" t="str">
        <f>HYPERLINK("https://www.nba.com/stats/events?CFID=&amp;CFPARAMS=&amp;GameEventID=380&amp;GameID=0041600152&amp;Season=2016-17&amp;flag=1&amp;title=Leonard%2014'%20Step%20Back%20Jump%20Shot%20(27%20PTS)", "Leonard 14' Step Back Jump Shot (27 PTS)")</f>
        <v>Leonard 14' Step Back Jump Shot (27 PTS)</v>
      </c>
      <c r="K434" s="2" t="str">
        <f>HYPERLINK("https://www.nba.com/game/...-vs-...-0041600152/play-by-play?watchFullGame=true", "SAS vs MEM - Q3 00:57.40")</f>
        <v>SAS vs MEM - Q3 00:57.40</v>
      </c>
      <c r="L434">
        <v>14</v>
      </c>
      <c r="M434">
        <v>-137</v>
      </c>
      <c r="N434">
        <v>-5</v>
      </c>
      <c r="O434">
        <v>-137</v>
      </c>
      <c r="P434">
        <v>-5</v>
      </c>
    </row>
    <row r="435" spans="1:16" x14ac:dyDescent="0.25">
      <c r="A435">
        <v>21600717</v>
      </c>
      <c r="B435">
        <v>2016</v>
      </c>
      <c r="C435" t="s">
        <v>32</v>
      </c>
      <c r="D435" t="s">
        <v>19</v>
      </c>
      <c r="E435">
        <v>85</v>
      </c>
      <c r="F435">
        <v>85</v>
      </c>
      <c r="G435">
        <v>4</v>
      </c>
      <c r="H435" s="1">
        <v>6.099537037037037E-3</v>
      </c>
      <c r="I435" t="s">
        <v>18</v>
      </c>
      <c r="J435" s="2" t="str">
        <f>HYPERLINK("https://www.nba.com/stats/events?CFID=&amp;CFPARAMS=&amp;GameEventID=423&amp;GameID=0021600717&amp;Season=2016-17&amp;flag=1&amp;title=Leonard%2014'%20Jump%20Shot%20(20%20PTS)%20(Parker%204%20AST)", "Leonard 14' Jump Shot (20 PTS) (Parker 4 AST)")</f>
        <v>Leonard 14' Jump Shot (20 PTS) (Parker 4 AST)</v>
      </c>
      <c r="K435" s="2" t="str">
        <f>HYPERLINK("https://www.nba.com/game/...-vs-...-0021600717/play-by-play?watchFullGame=true", "SAS vs DAL - Q4 08:47.00")</f>
        <v>SAS vs DAL - Q4 08:47.00</v>
      </c>
      <c r="L435">
        <v>14</v>
      </c>
      <c r="M435">
        <v>-137</v>
      </c>
      <c r="N435">
        <v>11</v>
      </c>
      <c r="O435">
        <v>-137</v>
      </c>
      <c r="P435">
        <v>11</v>
      </c>
    </row>
    <row r="436" spans="1:16" x14ac:dyDescent="0.25">
      <c r="A436">
        <v>21500028</v>
      </c>
      <c r="B436">
        <v>2015</v>
      </c>
      <c r="C436" t="s">
        <v>32</v>
      </c>
      <c r="D436" t="s">
        <v>24</v>
      </c>
      <c r="E436">
        <v>54</v>
      </c>
      <c r="F436">
        <v>55</v>
      </c>
      <c r="G436">
        <v>3</v>
      </c>
      <c r="H436" s="1">
        <v>6.1111111111111114E-3</v>
      </c>
      <c r="I436" t="s">
        <v>18</v>
      </c>
      <c r="J436" s="2" t="str">
        <f>HYPERLINK("https://www.nba.com/stats/events?CFID=&amp;CFPARAMS=&amp;GameEventID=259&amp;GameID=0021500028&amp;Season=2015-16&amp;flag=1&amp;title=Leonard%2014'%20Turnaround%20Jump%20Shot%20(8%20PTS)", "Leonard 14' Turnaround Jump Shot (8 PTS)")</f>
        <v>Leonard 14' Turnaround Jump Shot (8 PTS)</v>
      </c>
      <c r="K436" s="2" t="str">
        <f>HYPERLINK("https://www.nba.com/game/...-vs-...-0021500028/play-by-play?watchFullGame=true", "SAS vs BKN - Q3 08:48.00")</f>
        <v>SAS vs BKN - Q3 08:48.00</v>
      </c>
      <c r="L436">
        <v>14</v>
      </c>
      <c r="M436">
        <v>-137</v>
      </c>
      <c r="N436">
        <v>16</v>
      </c>
      <c r="O436">
        <v>-137</v>
      </c>
      <c r="P436">
        <v>16</v>
      </c>
    </row>
    <row r="437" spans="1:16" x14ac:dyDescent="0.25">
      <c r="A437">
        <v>22300568</v>
      </c>
      <c r="B437">
        <v>2023</v>
      </c>
      <c r="C437" t="s">
        <v>32</v>
      </c>
      <c r="D437" t="s">
        <v>19</v>
      </c>
      <c r="E437">
        <v>7</v>
      </c>
      <c r="F437">
        <v>2</v>
      </c>
      <c r="G437">
        <v>1</v>
      </c>
      <c r="H437" s="1">
        <v>7.3263888888888892E-3</v>
      </c>
      <c r="I437" t="s">
        <v>23</v>
      </c>
      <c r="J437" s="2" t="str">
        <f>HYPERLINK("https://www.nba.com/stats/events?CFID=&amp;CFPARAMS=&amp;GameEventID=20&amp;GameID=0022300568&amp;Season=2023-24&amp;flag=1&amp;title=Leonard%2013'%20turnaround%20fadeaway%20Jump%20Shot%20(2%20PTS)", "13' turnaround fadeaway Jump Shot (2 PTS)")</f>
        <v>13' turnaround fadeaway Jump Shot (2 PTS)</v>
      </c>
      <c r="K437" s="2" t="str">
        <f>HYPERLINK("https://www.nba.com/game/...-vs-...-0022300568/play-by-play?watchFullGame=true", "LAC vs OKC - Q1 10:33.00")</f>
        <v>LAC vs OKC - Q1 10:33.00</v>
      </c>
      <c r="L437">
        <v>13.73</v>
      </c>
      <c r="M437">
        <v>94.4</v>
      </c>
      <c r="N437">
        <v>22.55</v>
      </c>
      <c r="O437">
        <v>-137</v>
      </c>
      <c r="P437">
        <v>22</v>
      </c>
    </row>
    <row r="438" spans="1:16" x14ac:dyDescent="0.25">
      <c r="A438">
        <v>21500905</v>
      </c>
      <c r="B438">
        <v>2015</v>
      </c>
      <c r="C438" t="s">
        <v>32</v>
      </c>
      <c r="D438" t="s">
        <v>29</v>
      </c>
      <c r="E438">
        <v>11</v>
      </c>
      <c r="F438">
        <v>8</v>
      </c>
      <c r="G438">
        <v>1</v>
      </c>
      <c r="H438" s="1">
        <v>5.3125000000000004E-3</v>
      </c>
      <c r="I438" t="s">
        <v>18</v>
      </c>
      <c r="J438" s="2" t="str">
        <f>HYPERLINK("https://www.nba.com/stats/events?CFID=&amp;CFPARAMS=&amp;GameEventID=42&amp;GameID=0021500905&amp;Season=2015-16&amp;flag=1&amp;title=Leonard%2018'%20Pullup%20Jump%20Shot%20(5%20PTS)%20(Parker%203%20AST)", "Leonard 18' Pullup Jump Shot (5 PTS) (Parker 3 AST)")</f>
        <v>Leonard 18' Pullup Jump Shot (5 PTS) (Parker 3 AST)</v>
      </c>
      <c r="K438" s="2" t="str">
        <f>HYPERLINK("https://www.nba.com/game/...-vs-...-0021500905/play-by-play?watchFullGame=true", "SAS vs DET - Q1 07:39.00")</f>
        <v>SAS vs DET - Q1 07:39.00</v>
      </c>
      <c r="L438">
        <v>18</v>
      </c>
      <c r="M438">
        <v>-137</v>
      </c>
      <c r="N438">
        <v>120</v>
      </c>
      <c r="O438">
        <v>-137</v>
      </c>
      <c r="P438">
        <v>120</v>
      </c>
    </row>
    <row r="439" spans="1:16" x14ac:dyDescent="0.25">
      <c r="A439">
        <v>41600232</v>
      </c>
      <c r="B439" t="s">
        <v>30</v>
      </c>
      <c r="C439" t="s">
        <v>32</v>
      </c>
      <c r="D439" t="s">
        <v>29</v>
      </c>
      <c r="E439">
        <v>67</v>
      </c>
      <c r="F439">
        <v>55</v>
      </c>
      <c r="G439">
        <v>3</v>
      </c>
      <c r="H439" s="1">
        <v>7.8472222222222224E-3</v>
      </c>
      <c r="I439" t="s">
        <v>18</v>
      </c>
      <c r="J439" s="2" t="str">
        <f>HYPERLINK("https://www.nba.com/stats/events?CFID=&amp;CFPARAMS=&amp;GameEventID=222&amp;GameID=0041600232&amp;Season=2016-17&amp;flag=1&amp;title=Leonard%2021'%20Pullup%20Jump%20Shot%20(22%20PTS)", "Leonard 21' Pullup Jump Shot (22 PTS)")</f>
        <v>Leonard 21' Pullup Jump Shot (22 PTS)</v>
      </c>
      <c r="K439" s="2" t="str">
        <f>HYPERLINK("https://www.nba.com/game/...-vs-...-0041600232/play-by-play?watchFullGame=true", "SAS vs HOU - Q3 11:18.00")</f>
        <v>SAS vs HOU - Q3 11:18.00</v>
      </c>
      <c r="L439">
        <v>21</v>
      </c>
      <c r="M439">
        <v>-137</v>
      </c>
      <c r="N439">
        <v>165</v>
      </c>
      <c r="O439">
        <v>-137</v>
      </c>
      <c r="P439">
        <v>165</v>
      </c>
    </row>
    <row r="440" spans="1:16" x14ac:dyDescent="0.25">
      <c r="A440">
        <v>22300568</v>
      </c>
      <c r="B440">
        <v>2023</v>
      </c>
      <c r="C440" t="s">
        <v>16</v>
      </c>
      <c r="D440" t="s">
        <v>19</v>
      </c>
      <c r="E440">
        <v>16</v>
      </c>
      <c r="F440">
        <v>11</v>
      </c>
      <c r="G440">
        <v>1</v>
      </c>
      <c r="H440" s="1">
        <v>5.5092592592592589E-3</v>
      </c>
      <c r="I440" t="s">
        <v>23</v>
      </c>
      <c r="J440" s="2" t="str">
        <f>HYPERLINK("https://www.nba.com/stats/events?CFID=&amp;CFPARAMS=&amp;GameEventID=43&amp;GameID=0022300568&amp;Season=2023-24&amp;flag=1&amp;title=Leonard%2026'%203PT%20%20(5%20PTS)%20(T.%20Mann%201%20AST)", "26' 3PT  (5 PTS) (T. Mann 1 AST)")</f>
        <v>26' 3PT  (5 PTS) (T. Mann 1 AST)</v>
      </c>
      <c r="K440" s="2" t="str">
        <f>HYPERLINK("https://www.nba.com/game/...-vs-...-0022300568/play-by-play?watchFullGame=true", "LAC vs OKC - Q1 07:56.00")</f>
        <v>LAC vs OKC - Q1 07:56.00</v>
      </c>
      <c r="L440">
        <v>26.25</v>
      </c>
      <c r="M440">
        <v>70.61</v>
      </c>
      <c r="N440">
        <v>22.55</v>
      </c>
      <c r="O440">
        <v>-137</v>
      </c>
      <c r="P440">
        <v>224</v>
      </c>
    </row>
    <row r="441" spans="1:16" x14ac:dyDescent="0.25">
      <c r="A441">
        <v>22300257</v>
      </c>
      <c r="B441">
        <v>2023</v>
      </c>
      <c r="C441" t="s">
        <v>32</v>
      </c>
      <c r="D441" t="s">
        <v>19</v>
      </c>
      <c r="E441">
        <v>49</v>
      </c>
      <c r="F441">
        <v>51</v>
      </c>
      <c r="G441">
        <v>2</v>
      </c>
      <c r="H441" s="1">
        <v>1.8518518518518519E-3</v>
      </c>
      <c r="I441" t="s">
        <v>23</v>
      </c>
      <c r="J441" s="2" t="str">
        <f>HYPERLINK("https://www.nba.com/stats/events?CFID=&amp;CFPARAMS=&amp;GameEventID=292&amp;GameID=0022300257&amp;Season=2023-24&amp;flag=1&amp;title=Leonard%2013'%20pullup%20Jump%20Shot%20(14%20PTS)", "13' pullup Jump Shot (14 PTS)")</f>
        <v>13' pullup Jump Shot (14 PTS)</v>
      </c>
      <c r="K441" s="2" t="str">
        <f>HYPERLINK("https://www.nba.com/game/...-vs-...-0022300257/play-by-play?watchFullGame=true", "LAC vs DEN - Q2 02:40.00")</f>
        <v>LAC vs DEN - Q2 02:40.00</v>
      </c>
      <c r="L441">
        <v>13.63</v>
      </c>
      <c r="M441">
        <v>95.32</v>
      </c>
      <c r="N441">
        <v>22.79</v>
      </c>
      <c r="O441">
        <v>-136</v>
      </c>
      <c r="P441">
        <v>-8</v>
      </c>
    </row>
    <row r="442" spans="1:16" x14ac:dyDescent="0.25">
      <c r="A442">
        <v>22300325</v>
      </c>
      <c r="B442">
        <v>2023</v>
      </c>
      <c r="C442" t="s">
        <v>32</v>
      </c>
      <c r="D442" t="s">
        <v>19</v>
      </c>
      <c r="E442">
        <v>99</v>
      </c>
      <c r="F442">
        <v>86</v>
      </c>
      <c r="G442">
        <v>3</v>
      </c>
      <c r="H442" s="1">
        <v>8.2175925925925927E-4</v>
      </c>
      <c r="I442" t="s">
        <v>23</v>
      </c>
      <c r="J442" s="2" t="str">
        <f>HYPERLINK("https://www.nba.com/stats/events?CFID=&amp;CFPARAMS=&amp;GameEventID=484&amp;GameID=0022300325&amp;Season=2023-24&amp;flag=1&amp;title=Leonard%2013'%20fadeaway%20Jump%20Shot%20(25%20PTS)%20(R.%20Westbrook%202%20AST)", "13' fadeaway Jump Shot (25 PTS) (R. Westbrook 2 AST)")</f>
        <v>13' fadeaway Jump Shot (25 PTS) (R. Westbrook 2 AST)</v>
      </c>
      <c r="K442" s="2" t="str">
        <f>HYPERLINK("https://www.nba.com/game/...-vs-...-0022300325/play-by-play?watchFullGame=true", "LAC vs GSW - Q3 01:11.00")</f>
        <v>LAC vs GSW - Q3 01:11.00</v>
      </c>
      <c r="L442">
        <v>13.63</v>
      </c>
      <c r="M442">
        <v>93.48</v>
      </c>
      <c r="N442">
        <v>22.79</v>
      </c>
      <c r="O442">
        <v>-136</v>
      </c>
      <c r="P442">
        <v>9</v>
      </c>
    </row>
    <row r="443" spans="1:16" x14ac:dyDescent="0.25">
      <c r="A443">
        <v>22000488</v>
      </c>
      <c r="B443">
        <v>2020</v>
      </c>
      <c r="C443" t="s">
        <v>32</v>
      </c>
      <c r="D443" t="s">
        <v>19</v>
      </c>
      <c r="E443">
        <v>29</v>
      </c>
      <c r="F443">
        <v>20</v>
      </c>
      <c r="G443">
        <v>1</v>
      </c>
      <c r="H443" s="1">
        <v>1.25E-3</v>
      </c>
      <c r="I443" t="s">
        <v>23</v>
      </c>
      <c r="J443" s="2" t="str">
        <f>HYPERLINK("https://www.nba.com/stats/events?CFID=&amp;CFPARAMS=&amp;GameEventID=130&amp;GameID=0022000488&amp;Season=2020-21&amp;flag=1&amp;title=Leonard%2013'%20turnaround%20fadeaway%20Jump%20Shot%20(8%20PTS)%20(M.%20Morris%20Sr.%202%20AST)", "13' turnaround fadeaway Jump Shot (8 PTS) (M. Morris Sr. 2 AST)")</f>
        <v>13' turnaround fadeaway Jump Shot (8 PTS) (M. Morris Sr. 2 AST)</v>
      </c>
      <c r="K443" s="2" t="str">
        <f>HYPERLINK("https://www.nba.com/game/...-vs-...-0022000488/play-by-play?watchFullGame=true", "LAC vs WAS - Q1 01:48.00")</f>
        <v>LAC vs WAS - Q1 01:48.00</v>
      </c>
      <c r="L443">
        <v>13.65</v>
      </c>
      <c r="M443">
        <v>92.85</v>
      </c>
      <c r="N443">
        <v>22.86</v>
      </c>
      <c r="O443">
        <v>-136</v>
      </c>
      <c r="P443">
        <v>15</v>
      </c>
    </row>
    <row r="444" spans="1:16" x14ac:dyDescent="0.25">
      <c r="A444">
        <v>41400163</v>
      </c>
      <c r="B444" t="s">
        <v>28</v>
      </c>
      <c r="C444" t="s">
        <v>32</v>
      </c>
      <c r="D444" t="s">
        <v>31</v>
      </c>
      <c r="E444">
        <v>9</v>
      </c>
      <c r="F444">
        <v>2</v>
      </c>
      <c r="G444">
        <v>1</v>
      </c>
      <c r="H444" s="1">
        <v>6.4004629629629628E-3</v>
      </c>
      <c r="I444" t="s">
        <v>18</v>
      </c>
      <c r="J444" s="2" t="str">
        <f>HYPERLINK("https://www.nba.com/stats/events?CFID=&amp;CFPARAMS=&amp;GameEventID=25&amp;GameID=0041400163&amp;Season=2014-15&amp;flag=1&amp;title=Leonard%2014'%20Step%20Back%20Jump%20Shot%20(4%20PTS)", "Leonard 14' Step Back Jump Shot (4 PTS)")</f>
        <v>Leonard 14' Step Back Jump Shot (4 PTS)</v>
      </c>
      <c r="K444" s="2" t="str">
        <f>HYPERLINK("https://www.nba.com/game/...-vs-...-0041400163/play-by-play?watchFullGame=true", "SAS vs LAC - Q1 09:13.00")</f>
        <v>SAS vs LAC - Q1 09:13.00</v>
      </c>
      <c r="L444">
        <v>14</v>
      </c>
      <c r="M444">
        <v>-136</v>
      </c>
      <c r="N444">
        <v>19</v>
      </c>
      <c r="O444">
        <v>-136</v>
      </c>
      <c r="P444">
        <v>19</v>
      </c>
    </row>
    <row r="445" spans="1:16" x14ac:dyDescent="0.25">
      <c r="A445">
        <v>21900499</v>
      </c>
      <c r="B445">
        <v>2019</v>
      </c>
      <c r="C445" t="s">
        <v>32</v>
      </c>
      <c r="D445" t="s">
        <v>22</v>
      </c>
      <c r="E445">
        <v>64</v>
      </c>
      <c r="F445">
        <v>81</v>
      </c>
      <c r="G445">
        <v>3</v>
      </c>
      <c r="H445" s="1">
        <v>2.1180555555555558E-3</v>
      </c>
      <c r="I445" t="s">
        <v>23</v>
      </c>
      <c r="J445" s="2" t="str">
        <f>HYPERLINK("https://www.nba.com/stats/events?CFID=&amp;CFPARAMS=&amp;GameEventID=458&amp;GameID=0021900499&amp;Season=2019-20&amp;flag=1&amp;title=Leonard%2014'%20jumpshot%20(24%20PTS)", "14' jumpshot (24 PTS)")</f>
        <v>14' jumpshot (24 PTS)</v>
      </c>
      <c r="K445" s="2" t="str">
        <f>HYPERLINK("https://www.nba.com/game/...-vs-...-0021900499/play-by-play?watchFullGame=true", "LAC vs SAC - Q3 03:03.00")</f>
        <v>LAC vs SAC - Q3 03:03.00</v>
      </c>
      <c r="L445">
        <v>13.51</v>
      </c>
      <c r="M445">
        <v>4.9400000000000004</v>
      </c>
      <c r="N445">
        <v>77.03</v>
      </c>
      <c r="O445">
        <v>-135</v>
      </c>
      <c r="P445">
        <v>-6</v>
      </c>
    </row>
    <row r="446" spans="1:16" x14ac:dyDescent="0.25">
      <c r="A446">
        <v>41600152</v>
      </c>
      <c r="B446" t="s">
        <v>30</v>
      </c>
      <c r="C446" t="s">
        <v>32</v>
      </c>
      <c r="D446" t="s">
        <v>34</v>
      </c>
      <c r="E446">
        <v>24</v>
      </c>
      <c r="F446">
        <v>14</v>
      </c>
      <c r="G446">
        <v>1</v>
      </c>
      <c r="H446" s="1">
        <v>2.7662037037037039E-3</v>
      </c>
      <c r="I446" t="s">
        <v>18</v>
      </c>
      <c r="J446" s="2" t="str">
        <f>HYPERLINK("https://www.nba.com/stats/events?CFID=&amp;CFPARAMS=&amp;GameEventID=90&amp;GameID=0041600152&amp;Season=2016-17&amp;flag=1&amp;title=Leonard%2014'%20Turnaround%20Fadeaway%20(10%20PTS)", "Leonard 14' Turnaround Fadeaway (10 PTS)")</f>
        <v>Leonard 14' Turnaround Fadeaway (10 PTS)</v>
      </c>
      <c r="K446" s="2" t="str">
        <f>HYPERLINK("https://www.nba.com/game/...-vs-...-0041600152/play-by-play?watchFullGame=true", "SAS vs MEM - Q1 03:59.00")</f>
        <v>SAS vs MEM - Q1 03:59.00</v>
      </c>
      <c r="L446">
        <v>14</v>
      </c>
      <c r="M446">
        <v>-135</v>
      </c>
      <c r="N446">
        <v>36</v>
      </c>
      <c r="O446">
        <v>-135</v>
      </c>
      <c r="P446">
        <v>36</v>
      </c>
    </row>
    <row r="447" spans="1:16" x14ac:dyDescent="0.25">
      <c r="A447">
        <v>21500790</v>
      </c>
      <c r="B447">
        <v>2015</v>
      </c>
      <c r="C447" t="s">
        <v>32</v>
      </c>
      <c r="D447" t="s">
        <v>24</v>
      </c>
      <c r="E447">
        <v>15</v>
      </c>
      <c r="F447">
        <v>14</v>
      </c>
      <c r="G447">
        <v>1</v>
      </c>
      <c r="H447" s="1">
        <v>2.9629629629629628E-3</v>
      </c>
      <c r="I447" t="s">
        <v>18</v>
      </c>
      <c r="J447" s="2" t="str">
        <f>HYPERLINK("https://www.nba.com/stats/events?CFID=&amp;CFPARAMS=&amp;GameEventID=70&amp;GameID=0021500790&amp;Season=2015-16&amp;flag=1&amp;title=Leonard%2014'%20Turnaround%20Jump%20Shot%20(6%20PTS)", "Leonard 14' Turnaround Jump Shot (6 PTS)")</f>
        <v>Leonard 14' Turnaround Jump Shot (6 PTS)</v>
      </c>
      <c r="K447" s="2" t="str">
        <f>HYPERLINK("https://www.nba.com/game/...-vs-...-0021500790/play-by-play?watchFullGame=true", "SAS vs ORL - Q1 04:16.00")</f>
        <v>SAS vs ORL - Q1 04:16.00</v>
      </c>
      <c r="L447">
        <v>14</v>
      </c>
      <c r="M447">
        <v>-135</v>
      </c>
      <c r="N447">
        <v>38</v>
      </c>
      <c r="O447">
        <v>-135</v>
      </c>
      <c r="P447">
        <v>38</v>
      </c>
    </row>
    <row r="448" spans="1:16" x14ac:dyDescent="0.25">
      <c r="A448">
        <v>22200617</v>
      </c>
      <c r="B448">
        <v>2022</v>
      </c>
      <c r="C448" t="s">
        <v>32</v>
      </c>
      <c r="D448" t="s">
        <v>19</v>
      </c>
      <c r="E448">
        <v>67</v>
      </c>
      <c r="F448">
        <v>45</v>
      </c>
      <c r="G448">
        <v>2</v>
      </c>
      <c r="H448" s="1">
        <v>6.4930555555555553E-4</v>
      </c>
      <c r="I448" t="s">
        <v>23</v>
      </c>
      <c r="J448" s="2" t="str">
        <f>HYPERLINK("https://www.nba.com/stats/events?CFID=&amp;CFPARAMS=&amp;GameEventID=320&amp;GameID=0022200617&amp;Season=2022-23&amp;flag=1&amp;title=Leonard%2015'%20step%20back%20Jump%20Shot%20(17%20PTS)", "15' step back Jump Shot (17 PTS)")</f>
        <v>15' step back Jump Shot (17 PTS)</v>
      </c>
      <c r="K448" s="2" t="str">
        <f>HYPERLINK("https://www.nba.com/game/...-vs-...-0022200617/play-by-play?watchFullGame=true", "LAC vs DAL - Q2 00:56.10")</f>
        <v>LAC vs DAL - Q2 00:56.10</v>
      </c>
      <c r="L448">
        <v>15.7</v>
      </c>
      <c r="M448">
        <v>85.86</v>
      </c>
      <c r="N448">
        <v>23.04</v>
      </c>
      <c r="O448">
        <v>-135</v>
      </c>
      <c r="P448">
        <v>80</v>
      </c>
    </row>
    <row r="449" spans="1:16" x14ac:dyDescent="0.25">
      <c r="A449">
        <v>21500979</v>
      </c>
      <c r="B449">
        <v>2015</v>
      </c>
      <c r="C449" t="s">
        <v>32</v>
      </c>
      <c r="D449" t="s">
        <v>29</v>
      </c>
      <c r="E449">
        <v>43</v>
      </c>
      <c r="F449">
        <v>46</v>
      </c>
      <c r="G449">
        <v>2</v>
      </c>
      <c r="H449" s="1">
        <v>7.7546296296296293E-4</v>
      </c>
      <c r="I449" t="s">
        <v>18</v>
      </c>
      <c r="J449" s="2" t="str">
        <f>HYPERLINK("https://www.nba.com/stats/events?CFID=&amp;CFPARAMS=&amp;GameEventID=254&amp;GameID=0021500979&amp;Season=2015-16&amp;flag=1&amp;title=Leonard%2017'%20Pullup%20Jump%20Shot%20(11%20PTS)%20(Parker%204%20AST)", "Leonard 17' Pullup Jump Shot (11 PTS) (Parker 4 AST)")</f>
        <v>Leonard 17' Pullup Jump Shot (11 PTS) (Parker 4 AST)</v>
      </c>
      <c r="K449" s="2" t="str">
        <f>HYPERLINK("https://www.nba.com/game/...-vs-...-0021500979/play-by-play?watchFullGame=true", "SAS vs OKC - Q2 01:07.00")</f>
        <v>SAS vs OKC - Q2 01:07.00</v>
      </c>
      <c r="L449">
        <v>17</v>
      </c>
      <c r="M449">
        <v>-135</v>
      </c>
      <c r="N449">
        <v>105</v>
      </c>
      <c r="O449">
        <v>-135</v>
      </c>
      <c r="P449">
        <v>105</v>
      </c>
    </row>
    <row r="450" spans="1:16" x14ac:dyDescent="0.25">
      <c r="A450">
        <v>22300568</v>
      </c>
      <c r="B450">
        <v>2023</v>
      </c>
      <c r="C450" t="s">
        <v>16</v>
      </c>
      <c r="D450" t="s">
        <v>19</v>
      </c>
      <c r="E450">
        <v>54</v>
      </c>
      <c r="F450">
        <v>50</v>
      </c>
      <c r="G450">
        <v>2</v>
      </c>
      <c r="H450" s="1">
        <v>3.3680555555555556E-3</v>
      </c>
      <c r="I450" t="s">
        <v>23</v>
      </c>
      <c r="J450" s="2" t="str">
        <f>HYPERLINK("https://www.nba.com/stats/events?CFID=&amp;CFPARAMS=&amp;GameEventID=247&amp;GameID=0022300568&amp;Season=2023-24&amp;flag=1&amp;title=Leonard%2024'%203PT%20%20(11%20PTS)%20(P.%20George%204%20AST)", "24' 3PT  (11 PTS) (P. George 4 AST)")</f>
        <v>24' 3PT  (11 PTS) (P. George 4 AST)</v>
      </c>
      <c r="K450" s="2" t="str">
        <f>HYPERLINK("https://www.nba.com/game/...-vs-...-0022300568/play-by-play?watchFullGame=true", "LAC vs OKC - Q2 04:51.00")</f>
        <v>LAC vs OKC - Q2 04:51.00</v>
      </c>
      <c r="L450">
        <v>24.86</v>
      </c>
      <c r="M450">
        <v>72.19</v>
      </c>
      <c r="N450">
        <v>23.04</v>
      </c>
      <c r="O450">
        <v>-135</v>
      </c>
      <c r="P450">
        <v>209</v>
      </c>
    </row>
    <row r="451" spans="1:16" x14ac:dyDescent="0.25">
      <c r="A451">
        <v>21400089</v>
      </c>
      <c r="B451">
        <v>2014</v>
      </c>
      <c r="C451" t="s">
        <v>32</v>
      </c>
      <c r="D451" t="s">
        <v>19</v>
      </c>
      <c r="E451">
        <v>96</v>
      </c>
      <c r="F451">
        <v>98</v>
      </c>
      <c r="G451">
        <v>4</v>
      </c>
      <c r="H451" s="1">
        <v>5.1967592592592593E-4</v>
      </c>
      <c r="I451" t="s">
        <v>18</v>
      </c>
      <c r="J451" s="2" t="str">
        <f>HYPERLINK("https://www.nba.com/stats/events?CFID=&amp;CFPARAMS=&amp;GameEventID=497&amp;GameID=0021400089&amp;Season=2014-15&amp;flag=1&amp;title=Leonard%2013'%20Jump%20Shot%20(14%20PTS)%20(Joseph%203%20AST)", "Leonard 13' Jump Shot (14 PTS) (Joseph 3 AST)")</f>
        <v>Leonard 13' Jump Shot (14 PTS) (Joseph 3 AST)</v>
      </c>
      <c r="K451" s="2" t="str">
        <f>HYPERLINK("https://www.nba.com/game/...-vs-...-0021400089/play-by-play?watchFullGame=true", "SAS vs NOP - Q4 00:44.90")</f>
        <v>SAS vs NOP - Q4 00:44.90</v>
      </c>
      <c r="L451">
        <v>13</v>
      </c>
      <c r="M451">
        <v>-134</v>
      </c>
      <c r="N451">
        <v>7</v>
      </c>
      <c r="O451">
        <v>-134</v>
      </c>
      <c r="P451">
        <v>7</v>
      </c>
    </row>
    <row r="452" spans="1:16" x14ac:dyDescent="0.25">
      <c r="A452">
        <v>41400166</v>
      </c>
      <c r="B452" t="s">
        <v>28</v>
      </c>
      <c r="C452" t="s">
        <v>32</v>
      </c>
      <c r="D452" t="s">
        <v>19</v>
      </c>
      <c r="E452">
        <v>51</v>
      </c>
      <c r="F452">
        <v>49</v>
      </c>
      <c r="G452">
        <v>2</v>
      </c>
      <c r="H452" s="1">
        <v>4.8726851851851855E-4</v>
      </c>
      <c r="I452" t="s">
        <v>18</v>
      </c>
      <c r="J452" s="2" t="str">
        <f>HYPERLINK("https://www.nba.com/stats/events?CFID=&amp;CFPARAMS=&amp;GameEventID=299&amp;GameID=0041400166&amp;Season=2014-15&amp;flag=1&amp;title=Leonard%2014'%20Jump%20Shot%20(10%20PTS)", "Leonard 14' Jump Shot (10 PTS)")</f>
        <v>Leonard 14' Jump Shot (10 PTS)</v>
      </c>
      <c r="K452" s="2" t="str">
        <f>HYPERLINK("https://www.nba.com/game/...-vs-...-0041400166/play-by-play?watchFullGame=true", "SAS vs LAC - Q2 00:42.10")</f>
        <v>SAS vs LAC - Q2 00:42.10</v>
      </c>
      <c r="L452">
        <v>14</v>
      </c>
      <c r="M452">
        <v>-134</v>
      </c>
      <c r="N452">
        <v>39</v>
      </c>
      <c r="O452">
        <v>-134</v>
      </c>
      <c r="P452">
        <v>39</v>
      </c>
    </row>
    <row r="453" spans="1:16" x14ac:dyDescent="0.25">
      <c r="A453">
        <v>21401028</v>
      </c>
      <c r="B453">
        <v>2014</v>
      </c>
      <c r="C453" t="s">
        <v>32</v>
      </c>
      <c r="D453" t="s">
        <v>19</v>
      </c>
      <c r="E453">
        <v>2</v>
      </c>
      <c r="F453">
        <v>0</v>
      </c>
      <c r="G453">
        <v>1</v>
      </c>
      <c r="H453" s="1">
        <v>8.1250000000000003E-3</v>
      </c>
      <c r="I453" t="s">
        <v>18</v>
      </c>
      <c r="J453" s="2" t="str">
        <f>HYPERLINK("https://www.nba.com/stats/events?CFID=&amp;CFPARAMS=&amp;GameEventID=2&amp;GameID=0021401028&amp;Season=2014-15&amp;flag=1&amp;title=Leonard%2015'%20Jump%20Shot%20(2%20PTS)%20(Duncan%201%20AST)", "Leonard 15' Jump Shot (2 PTS) (Duncan 1 AST)")</f>
        <v>Leonard 15' Jump Shot (2 PTS) (Duncan 1 AST)</v>
      </c>
      <c r="K453" s="2" t="str">
        <f>HYPERLINK("https://www.nba.com/game/...-vs-...-0021401028/play-by-play?watchFullGame=true", "SAS vs BOS - Q1 11:42.00")</f>
        <v>SAS vs BOS - Q1 11:42.00</v>
      </c>
      <c r="L453">
        <v>15</v>
      </c>
      <c r="M453">
        <v>-134</v>
      </c>
      <c r="N453">
        <v>56</v>
      </c>
      <c r="O453">
        <v>-134</v>
      </c>
      <c r="P453">
        <v>56</v>
      </c>
    </row>
    <row r="454" spans="1:16" x14ac:dyDescent="0.25">
      <c r="A454">
        <v>21300859</v>
      </c>
      <c r="B454">
        <v>2013</v>
      </c>
      <c r="C454" t="s">
        <v>16</v>
      </c>
      <c r="D454" t="s">
        <v>19</v>
      </c>
      <c r="E454">
        <v>13</v>
      </c>
      <c r="F454">
        <v>9</v>
      </c>
      <c r="G454">
        <v>1</v>
      </c>
      <c r="H454" s="1">
        <v>5.1041666666666666E-3</v>
      </c>
      <c r="I454" t="s">
        <v>18</v>
      </c>
      <c r="J454" s="2" t="str">
        <f>HYPERLINK("https://www.nba.com/stats/events?CFID=&amp;CFPARAMS=&amp;GameEventID=58&amp;GameID=0021300859&amp;Season=2013-14&amp;flag=1&amp;title=Leonard%2025'%203PT%20Jump%20Shot%20(5%20PTS)%20(Joseph%201%20AST)", "Leonard 25' 3PT Jump Shot (5 PTS) (Joseph 1 AST)")</f>
        <v>Leonard 25' 3PT Jump Shot (5 PTS) (Joseph 1 AST)</v>
      </c>
      <c r="K454" s="2" t="str">
        <f>HYPERLINK("https://www.nba.com/game/...-vs-...-0021300859/play-by-play?watchFullGame=true", "SAS vs DET - Q1 07:21.00")</f>
        <v>SAS vs DET - Q1 07:21.00</v>
      </c>
      <c r="L454">
        <v>25</v>
      </c>
      <c r="M454">
        <v>-134</v>
      </c>
      <c r="N454">
        <v>209</v>
      </c>
      <c r="O454">
        <v>-134</v>
      </c>
      <c r="P454">
        <v>209</v>
      </c>
    </row>
    <row r="455" spans="1:16" x14ac:dyDescent="0.25">
      <c r="A455">
        <v>22300127</v>
      </c>
      <c r="B455">
        <v>2023</v>
      </c>
      <c r="C455" t="s">
        <v>16</v>
      </c>
      <c r="D455" t="s">
        <v>19</v>
      </c>
      <c r="E455">
        <v>126</v>
      </c>
      <c r="F455">
        <v>125</v>
      </c>
      <c r="G455">
        <v>5</v>
      </c>
      <c r="H455" s="1">
        <v>6.8402777777777776E-4</v>
      </c>
      <c r="I455" t="s">
        <v>23</v>
      </c>
      <c r="J455" s="2" t="str">
        <f>HYPERLINK("https://www.nba.com/stats/events?CFID=&amp;CFPARAMS=&amp;GameEventID=741&amp;GameID=0022300127&amp;Season=2023-24&amp;flag=1&amp;title=Leonard%2026'%203PT%20step%20back%20(38%20PTS)%20(R.%20Westbrook%208%20AST)", "26' 3PT step back (38 PTS) (R. Westbrook 8 AST)")</f>
        <v>26' 3PT step back (38 PTS) (R. Westbrook 8 AST)</v>
      </c>
      <c r="K455" s="2" t="str">
        <f>HYPERLINK("https://www.nba.com/game/...-vs-...-0022300127/play-by-play?watchFullGame=true", "LAC vs LAL - Q5 00:59.10")</f>
        <v>LAC vs LAL - Q5 00:59.10</v>
      </c>
      <c r="L455">
        <v>26.14</v>
      </c>
      <c r="M455">
        <v>29.48</v>
      </c>
      <c r="N455">
        <v>76.72</v>
      </c>
      <c r="O455">
        <v>-134</v>
      </c>
      <c r="P455">
        <v>225</v>
      </c>
    </row>
    <row r="456" spans="1:16" x14ac:dyDescent="0.25">
      <c r="A456">
        <v>41400163</v>
      </c>
      <c r="B456" t="s">
        <v>28</v>
      </c>
      <c r="C456" t="s">
        <v>32</v>
      </c>
      <c r="D456" t="s">
        <v>24</v>
      </c>
      <c r="E456">
        <v>56</v>
      </c>
      <c r="F456">
        <v>40</v>
      </c>
      <c r="G456">
        <v>3</v>
      </c>
      <c r="H456" s="1">
        <v>5.7060185185185183E-3</v>
      </c>
      <c r="I456" t="s">
        <v>18</v>
      </c>
      <c r="J456" s="2" t="str">
        <f>HYPERLINK("https://www.nba.com/stats/events?CFID=&amp;CFPARAMS=&amp;GameEventID=268&amp;GameID=0041400163&amp;Season=2014-15&amp;flag=1&amp;title=Leonard%2013'%20Turnaround%20Jump%20Shot%20(24%20PTS)", "Leonard 13' Turnaround Jump Shot (24 PTS)")</f>
        <v>Leonard 13' Turnaround Jump Shot (24 PTS)</v>
      </c>
      <c r="K456" s="2" t="str">
        <f>HYPERLINK("https://www.nba.com/game/...-vs-...-0041400163/play-by-play?watchFullGame=true", "SAS vs LAC - Q3 08:13.00")</f>
        <v>SAS vs LAC - Q3 08:13.00</v>
      </c>
      <c r="L456">
        <v>13</v>
      </c>
      <c r="M456">
        <v>-133</v>
      </c>
      <c r="N456">
        <v>0</v>
      </c>
      <c r="O456">
        <v>-133</v>
      </c>
      <c r="P456">
        <v>0</v>
      </c>
    </row>
    <row r="457" spans="1:16" x14ac:dyDescent="0.25">
      <c r="A457">
        <v>21500013</v>
      </c>
      <c r="B457">
        <v>2015</v>
      </c>
      <c r="C457" t="s">
        <v>32</v>
      </c>
      <c r="D457" t="s">
        <v>24</v>
      </c>
      <c r="E457">
        <v>43</v>
      </c>
      <c r="F457">
        <v>47</v>
      </c>
      <c r="G457">
        <v>2</v>
      </c>
      <c r="H457" s="1">
        <v>2.0486111111111113E-3</v>
      </c>
      <c r="I457" t="s">
        <v>18</v>
      </c>
      <c r="J457" s="2" t="str">
        <f>HYPERLINK("https://www.nba.com/stats/events?CFID=&amp;CFPARAMS=&amp;GameEventID=224&amp;GameID=0021500013&amp;Season=2015-16&amp;flag=1&amp;title=Leonard%2014'%20Turnaround%20Jump%20Shot%20(14%20PTS)%20(Green%202%20AST)", "Leonard 14' Turnaround Jump Shot (14 PTS) (Green 2 AST)")</f>
        <v>Leonard 14' Turnaround Jump Shot (14 PTS) (Green 2 AST)</v>
      </c>
      <c r="K457" s="2" t="str">
        <f>HYPERLINK("https://www.nba.com/game/...-vs-...-0021500013/play-by-play?watchFullGame=true", "SAS vs OKC - Q2 02:57.00")</f>
        <v>SAS vs OKC - Q2 02:57.00</v>
      </c>
      <c r="L457">
        <v>14</v>
      </c>
      <c r="M457">
        <v>-133</v>
      </c>
      <c r="N457">
        <v>46</v>
      </c>
      <c r="O457">
        <v>-133</v>
      </c>
      <c r="P457">
        <v>46</v>
      </c>
    </row>
    <row r="458" spans="1:16" x14ac:dyDescent="0.25">
      <c r="A458">
        <v>21500090</v>
      </c>
      <c r="B458">
        <v>2015</v>
      </c>
      <c r="C458" t="s">
        <v>32</v>
      </c>
      <c r="D458" t="s">
        <v>24</v>
      </c>
      <c r="E458">
        <v>105</v>
      </c>
      <c r="F458">
        <v>82</v>
      </c>
      <c r="G458">
        <v>4</v>
      </c>
      <c r="H458" s="1">
        <v>3.5069444444444445E-3</v>
      </c>
      <c r="I458" t="s">
        <v>18</v>
      </c>
      <c r="J458" s="2" t="str">
        <f>HYPERLINK("https://www.nba.com/stats/events?CFID=&amp;CFPARAMS=&amp;GameEventID=453&amp;GameID=0021500090&amp;Season=2015-16&amp;flag=1&amp;title=Leonard%2013'%20Turnaround%20Jump%20Shot%20(23%20PTS)%20(Parker%206%20AST)", "Leonard 13' Turnaround Jump Shot (23 PTS) (Parker 6 AST)")</f>
        <v>Leonard 13' Turnaround Jump Shot (23 PTS) (Parker 6 AST)</v>
      </c>
      <c r="K458" s="2" t="str">
        <f>HYPERLINK("https://www.nba.com/game/...-vs-...-0021500090/play-by-play?watchFullGame=true", "SAS vs CHA - Q4 05:03.00")</f>
        <v>SAS vs CHA - Q4 05:03.00</v>
      </c>
      <c r="L458">
        <v>13</v>
      </c>
      <c r="M458">
        <v>-132</v>
      </c>
      <c r="N458">
        <v>-5</v>
      </c>
      <c r="O458">
        <v>-132</v>
      </c>
      <c r="P458">
        <v>-5</v>
      </c>
    </row>
    <row r="459" spans="1:16" x14ac:dyDescent="0.25">
      <c r="A459">
        <v>21600657</v>
      </c>
      <c r="B459">
        <v>2016</v>
      </c>
      <c r="C459" t="s">
        <v>32</v>
      </c>
      <c r="D459" t="s">
        <v>19</v>
      </c>
      <c r="E459">
        <v>92</v>
      </c>
      <c r="F459">
        <v>98</v>
      </c>
      <c r="G459">
        <v>4</v>
      </c>
      <c r="H459" s="1">
        <v>5.3819444444444444E-3</v>
      </c>
      <c r="I459" t="s">
        <v>18</v>
      </c>
      <c r="J459" s="2" t="str">
        <f>HYPERLINK("https://www.nba.com/stats/events?CFID=&amp;CFPARAMS=&amp;GameEventID=417&amp;GameID=0021600657&amp;Season=2016-17&amp;flag=1&amp;title=Leonard%2013'%20Jump%20Shot%20(35%20PTS)", "Leonard 13' Jump Shot (35 PTS)")</f>
        <v>Leonard 13' Jump Shot (35 PTS)</v>
      </c>
      <c r="K459" s="2" t="str">
        <f>HYPERLINK("https://www.nba.com/game/...-vs-...-0021600657/play-by-play?watchFullGame=true", "SAS vs CLE - Q4 07:45.00")</f>
        <v>SAS vs CLE - Q4 07:45.00</v>
      </c>
      <c r="L459">
        <v>13</v>
      </c>
      <c r="M459">
        <v>-132</v>
      </c>
      <c r="N459">
        <v>16</v>
      </c>
      <c r="O459">
        <v>-132</v>
      </c>
      <c r="P459">
        <v>16</v>
      </c>
    </row>
    <row r="460" spans="1:16" x14ac:dyDescent="0.25">
      <c r="A460">
        <v>21500790</v>
      </c>
      <c r="B460">
        <v>2015</v>
      </c>
      <c r="C460" t="s">
        <v>32</v>
      </c>
      <c r="D460" t="s">
        <v>31</v>
      </c>
      <c r="E460">
        <v>9</v>
      </c>
      <c r="F460">
        <v>8</v>
      </c>
      <c r="G460">
        <v>1</v>
      </c>
      <c r="H460" s="1">
        <v>4.386574074074074E-3</v>
      </c>
      <c r="I460" t="s">
        <v>18</v>
      </c>
      <c r="J460" s="2" t="str">
        <f>HYPERLINK("https://www.nba.com/stats/events?CFID=&amp;CFPARAMS=&amp;GameEventID=54&amp;GameID=0021500790&amp;Season=2015-16&amp;flag=1&amp;title=Leonard%2013'%20Step%20Back%20Jump%20Shot%20(4%20PTS)", "Leonard 13' Step Back Jump Shot (4 PTS)")</f>
        <v>Leonard 13' Step Back Jump Shot (4 PTS)</v>
      </c>
      <c r="K460" s="2" t="str">
        <f>HYPERLINK("https://www.nba.com/game/...-vs-...-0021500790/play-by-play?watchFullGame=true", "SAS vs ORL - Q1 06:19.00")</f>
        <v>SAS vs ORL - Q1 06:19.00</v>
      </c>
      <c r="L460">
        <v>13</v>
      </c>
      <c r="M460">
        <v>-132</v>
      </c>
      <c r="N460">
        <v>26</v>
      </c>
      <c r="O460">
        <v>-132</v>
      </c>
      <c r="P460">
        <v>26</v>
      </c>
    </row>
    <row r="461" spans="1:16" x14ac:dyDescent="0.25">
      <c r="A461">
        <v>22000328</v>
      </c>
      <c r="B461">
        <v>2020</v>
      </c>
      <c r="C461" t="s">
        <v>32</v>
      </c>
      <c r="D461" t="s">
        <v>19</v>
      </c>
      <c r="E461">
        <v>93</v>
      </c>
      <c r="F461">
        <v>112</v>
      </c>
      <c r="G461">
        <v>4</v>
      </c>
      <c r="H461" s="1">
        <v>3.1597222222222222E-3</v>
      </c>
      <c r="I461" t="s">
        <v>23</v>
      </c>
      <c r="J461" s="2" t="str">
        <f>HYPERLINK("https://www.nba.com/stats/events?CFID=&amp;CFPARAMS=&amp;GameEventID=528&amp;GameID=0022000328&amp;Season=2020-21&amp;flag=1&amp;title=Leonard%2013'%20turnaround%20fadeaway%20Jump%20Shot%20(24%20PTS)", "13' turnaround fadeaway Jump Shot (24 PTS)")</f>
        <v>13' turnaround fadeaway Jump Shot (24 PTS)</v>
      </c>
      <c r="K461" s="2" t="str">
        <f>HYPERLINK("https://www.nba.com/game/...-vs-...-0022000328/play-by-play?watchFullGame=true", "LAC vs CLE - Q4 04:33.00")</f>
        <v>LAC vs CLE - Q4 04:33.00</v>
      </c>
      <c r="L461">
        <v>13.89</v>
      </c>
      <c r="M461">
        <v>89.83</v>
      </c>
      <c r="N461">
        <v>23.6</v>
      </c>
      <c r="O461">
        <v>-132</v>
      </c>
      <c r="P461">
        <v>43</v>
      </c>
    </row>
    <row r="462" spans="1:16" x14ac:dyDescent="0.25">
      <c r="A462">
        <v>21500439</v>
      </c>
      <c r="B462">
        <v>2015</v>
      </c>
      <c r="C462" t="s">
        <v>32</v>
      </c>
      <c r="D462" t="s">
        <v>19</v>
      </c>
      <c r="E462">
        <v>36</v>
      </c>
      <c r="F462">
        <v>34</v>
      </c>
      <c r="G462">
        <v>2</v>
      </c>
      <c r="H462" s="1">
        <v>3.0092592592592593E-3</v>
      </c>
      <c r="I462" t="s">
        <v>18</v>
      </c>
      <c r="J462" s="2" t="str">
        <f>HYPERLINK("https://www.nba.com/stats/events?CFID=&amp;CFPARAMS=&amp;GameEventID=195&amp;GameID=0021500439&amp;Season=2015-16&amp;flag=1&amp;title=Leonard%2018'%20Jump%20Shot%20(7%20PTS)%20(Aldridge%202%20AST)", "Leonard 18' Jump Shot (7 PTS) (Aldridge 2 AST)")</f>
        <v>Leonard 18' Jump Shot (7 PTS) (Aldridge 2 AST)</v>
      </c>
      <c r="K462" s="2" t="str">
        <f>HYPERLINK("https://www.nba.com/game/...-vs-...-0021500439/play-by-play?watchFullGame=true", "SAS vs HOU - Q2 04:20.00")</f>
        <v>SAS vs HOU - Q2 04:20.00</v>
      </c>
      <c r="L462">
        <v>18</v>
      </c>
      <c r="M462">
        <v>-132</v>
      </c>
      <c r="N462">
        <v>129</v>
      </c>
      <c r="O462">
        <v>-132</v>
      </c>
      <c r="P462">
        <v>129</v>
      </c>
    </row>
    <row r="463" spans="1:16" x14ac:dyDescent="0.25">
      <c r="A463">
        <v>21500431</v>
      </c>
      <c r="B463">
        <v>2015</v>
      </c>
      <c r="C463" t="s">
        <v>32</v>
      </c>
      <c r="D463" t="s">
        <v>29</v>
      </c>
      <c r="E463">
        <v>14</v>
      </c>
      <c r="F463">
        <v>26</v>
      </c>
      <c r="G463">
        <v>1</v>
      </c>
      <c r="H463" s="1">
        <v>8.564814814814815E-4</v>
      </c>
      <c r="I463" t="s">
        <v>18</v>
      </c>
      <c r="J463" s="2" t="str">
        <f>HYPERLINK("https://www.nba.com/stats/events?CFID=&amp;CFPARAMS=&amp;GameEventID=98&amp;GameID=0021500431&amp;Season=2015-16&amp;flag=1&amp;title=Leonard%2022'%20Pullup%20Jump%20Shot%20(7%20PTS)", "Leonard 22' Pullup Jump Shot (7 PTS)")</f>
        <v>Leonard 22' Pullup Jump Shot (7 PTS)</v>
      </c>
      <c r="K463" s="2" t="str">
        <f>HYPERLINK("https://www.nba.com/game/...-vs-...-0021500431/play-by-play?watchFullGame=true", "SAS vs MIN - Q1 01:14.00")</f>
        <v>SAS vs MIN - Q1 01:14.00</v>
      </c>
      <c r="L463">
        <v>22</v>
      </c>
      <c r="M463">
        <v>-132</v>
      </c>
      <c r="N463">
        <v>174</v>
      </c>
      <c r="O463">
        <v>-132</v>
      </c>
      <c r="P463">
        <v>174</v>
      </c>
    </row>
    <row r="464" spans="1:16" x14ac:dyDescent="0.25">
      <c r="A464">
        <v>21500048</v>
      </c>
      <c r="B464">
        <v>2015</v>
      </c>
      <c r="C464" t="s">
        <v>16</v>
      </c>
      <c r="D464" t="s">
        <v>19</v>
      </c>
      <c r="E464">
        <v>29</v>
      </c>
      <c r="F464">
        <v>36</v>
      </c>
      <c r="G464">
        <v>2</v>
      </c>
      <c r="H464" s="1">
        <v>4.2129629629629626E-3</v>
      </c>
      <c r="I464" t="s">
        <v>18</v>
      </c>
      <c r="J464" s="2" t="str">
        <f>HYPERLINK("https://www.nba.com/stats/events?CFID=&amp;CFPARAMS=&amp;GameEventID=176&amp;GameID=0021500048&amp;Season=2015-16&amp;flag=1&amp;title=Leonard%2025'%203PT%20Jump%20Shot%20(10%20PTS)%20(Parker%201%20AST)", "Leonard 25' 3PT Jump Shot (10 PTS) (Parker 1 AST)")</f>
        <v>Leonard 25' 3PT Jump Shot (10 PTS) (Parker 1 AST)</v>
      </c>
      <c r="K464" s="2" t="str">
        <f>HYPERLINK("https://www.nba.com/game/...-vs-...-0021500048/play-by-play?watchFullGame=true", "SAS vs NYK - Q2 06:04.00")</f>
        <v>SAS vs NYK - Q2 06:04.00</v>
      </c>
      <c r="L464">
        <v>25</v>
      </c>
      <c r="M464">
        <v>-132</v>
      </c>
      <c r="N464">
        <v>210</v>
      </c>
      <c r="O464">
        <v>-132</v>
      </c>
      <c r="P464">
        <v>210</v>
      </c>
    </row>
    <row r="465" spans="1:16" x14ac:dyDescent="0.25">
      <c r="A465">
        <v>21500502</v>
      </c>
      <c r="B465">
        <v>2015</v>
      </c>
      <c r="C465" t="s">
        <v>16</v>
      </c>
      <c r="D465" t="s">
        <v>29</v>
      </c>
      <c r="E465">
        <v>58</v>
      </c>
      <c r="F465">
        <v>52</v>
      </c>
      <c r="G465">
        <v>2</v>
      </c>
      <c r="H465" s="1">
        <v>1.0532407407407407E-3</v>
      </c>
      <c r="I465" t="s">
        <v>18</v>
      </c>
      <c r="J465" s="2" t="str">
        <f>HYPERLINK("https://www.nba.com/stats/events?CFID=&amp;CFPARAMS=&amp;GameEventID=246&amp;GameID=0021500502&amp;Season=2015-16&amp;flag=1&amp;title=Leonard%2025'%203PT%20Pullup%20Jump%20Shot%20(12%20PTS)%20(Green%203%20AST)", "Leonard 25' 3PT Pullup Jump Shot (12 PTS) (Green 3 AST)")</f>
        <v>Leonard 25' 3PT Pullup Jump Shot (12 PTS) (Green 3 AST)</v>
      </c>
      <c r="K465" s="2" t="str">
        <f>HYPERLINK("https://www.nba.com/game/...-vs-...-0021500502/play-by-play?watchFullGame=true", "SAS vs HOU - Q2 01:31.00")</f>
        <v>SAS vs HOU - Q2 01:31.00</v>
      </c>
      <c r="L465">
        <v>25</v>
      </c>
      <c r="M465">
        <v>-132</v>
      </c>
      <c r="N465">
        <v>218</v>
      </c>
      <c r="O465">
        <v>-132</v>
      </c>
      <c r="P465">
        <v>218</v>
      </c>
    </row>
    <row r="466" spans="1:16" x14ac:dyDescent="0.25">
      <c r="A466">
        <v>22201129</v>
      </c>
      <c r="B466">
        <v>2022</v>
      </c>
      <c r="C466" t="s">
        <v>16</v>
      </c>
      <c r="D466" t="s">
        <v>19</v>
      </c>
      <c r="E466">
        <v>86</v>
      </c>
      <c r="F466">
        <v>71</v>
      </c>
      <c r="G466">
        <v>3</v>
      </c>
      <c r="H466" s="1">
        <v>3.2060185185185186E-3</v>
      </c>
      <c r="I466" t="s">
        <v>23</v>
      </c>
      <c r="J466" s="2" t="str">
        <f>HYPERLINK("https://www.nba.com/stats/events?CFID=&amp;CFPARAMS=&amp;GameEventID=388&amp;GameID=0022201129&amp;Season=2022-23&amp;flag=1&amp;title=Leonard%2026'%203PT%20running%20(13%20PTS)%20(B.%20Hyland%203%20AST)", "26' 3PT running (13 PTS) (B. Hyland 3 AST)")</f>
        <v>26' 3PT running (13 PTS) (B. Hyland 3 AST)</v>
      </c>
      <c r="K466" s="2" t="str">
        <f>HYPERLINK("https://www.nba.com/game/...-vs-...-0022201129/play-by-play?watchFullGame=true", "LAC vs CHI - Q3 04:37.00")</f>
        <v>LAC vs CHI - Q3 04:37.00</v>
      </c>
      <c r="L466">
        <v>26.43</v>
      </c>
      <c r="M466">
        <v>70.09</v>
      </c>
      <c r="N466">
        <v>23.53</v>
      </c>
      <c r="O466">
        <v>-132</v>
      </c>
      <c r="P466">
        <v>229</v>
      </c>
    </row>
    <row r="467" spans="1:16" x14ac:dyDescent="0.25">
      <c r="A467">
        <v>21400595</v>
      </c>
      <c r="B467">
        <v>2014</v>
      </c>
      <c r="C467" t="s">
        <v>32</v>
      </c>
      <c r="D467" t="s">
        <v>19</v>
      </c>
      <c r="E467">
        <v>6</v>
      </c>
      <c r="F467">
        <v>2</v>
      </c>
      <c r="G467">
        <v>1</v>
      </c>
      <c r="H467" s="1">
        <v>7.0023148148148145E-3</v>
      </c>
      <c r="I467" t="s">
        <v>18</v>
      </c>
      <c r="J467" s="2" t="str">
        <f>HYPERLINK("https://www.nba.com/stats/events?CFID=&amp;CFPARAMS=&amp;GameEventID=17&amp;GameID=0021400595&amp;Season=2014-15&amp;flag=1&amp;title=Leonard%2013'%20Jump%20Shot%20(4%20PTS)%20(Splitter%202%20AST)", "Leonard 13' Jump Shot (4 PTS) (Splitter 2 AST)")</f>
        <v>Leonard 13' Jump Shot (4 PTS) (Splitter 2 AST)</v>
      </c>
      <c r="K467" s="2" t="str">
        <f>HYPERLINK("https://www.nba.com/game/...-vs-...-0021400595/play-by-play?watchFullGame=true", "SAS vs POR - Q1 10:05.00")</f>
        <v>SAS vs POR - Q1 10:05.00</v>
      </c>
      <c r="L467">
        <v>13</v>
      </c>
      <c r="M467">
        <v>-131</v>
      </c>
      <c r="N467">
        <v>4</v>
      </c>
      <c r="O467">
        <v>-131</v>
      </c>
      <c r="P467">
        <v>4</v>
      </c>
    </row>
    <row r="468" spans="1:16" x14ac:dyDescent="0.25">
      <c r="A468">
        <v>21901232</v>
      </c>
      <c r="B468">
        <v>2019</v>
      </c>
      <c r="C468" t="s">
        <v>32</v>
      </c>
      <c r="D468" t="s">
        <v>22</v>
      </c>
      <c r="E468">
        <v>51</v>
      </c>
      <c r="F468">
        <v>50</v>
      </c>
      <c r="G468">
        <v>2</v>
      </c>
      <c r="H468" s="1">
        <v>1.8171296296296297E-3</v>
      </c>
      <c r="I468" t="s">
        <v>23</v>
      </c>
      <c r="J468" s="2" t="str">
        <f>HYPERLINK("https://www.nba.com/stats/events?CFID=&amp;CFPARAMS=&amp;GameEventID=355&amp;GameID=0021901232&amp;Season=2019-20&amp;flag=1&amp;title=Leonard%2013'%20jumpshot%20(19%20PTS)", "13' jumpshot (19 PTS)")</f>
        <v>13' jumpshot (19 PTS)</v>
      </c>
      <c r="K468" s="2" t="str">
        <f>HYPERLINK("https://www.nba.com/game/...-vs-...-0021901232/play-by-play?watchFullGame=true", "LAC vs LAL - Q2 02:37.00")</f>
        <v>LAC vs LAL - Q2 02:37.00</v>
      </c>
      <c r="L468">
        <v>13.19</v>
      </c>
      <c r="M468">
        <v>6.13</v>
      </c>
      <c r="N468">
        <v>76.290000000000006</v>
      </c>
      <c r="O468">
        <v>-131</v>
      </c>
      <c r="P468">
        <v>5</v>
      </c>
    </row>
    <row r="469" spans="1:16" x14ac:dyDescent="0.25">
      <c r="A469">
        <v>41300222</v>
      </c>
      <c r="B469" t="s">
        <v>26</v>
      </c>
      <c r="C469" t="s">
        <v>32</v>
      </c>
      <c r="D469" t="s">
        <v>19</v>
      </c>
      <c r="E469">
        <v>2</v>
      </c>
      <c r="F469">
        <v>0</v>
      </c>
      <c r="G469">
        <v>1</v>
      </c>
      <c r="H469" s="1">
        <v>8.1250000000000003E-3</v>
      </c>
      <c r="I469" t="s">
        <v>18</v>
      </c>
      <c r="J469" s="2" t="str">
        <f>HYPERLINK("https://www.nba.com/stats/events?CFID=&amp;CFPARAMS=&amp;GameEventID=2&amp;GameID=0041300222&amp;Season=2013-14&amp;flag=1&amp;title=Leonard%2014'%20Jump%20Shot%20(2%20PTS)", "Leonard 14' Jump Shot (2 PTS)")</f>
        <v>Leonard 14' Jump Shot (2 PTS)</v>
      </c>
      <c r="K469" s="2" t="str">
        <f>HYPERLINK("https://www.nba.com/game/...-vs-...-0041300222/play-by-play?watchFullGame=true", "SAS vs POR - Q1 11:42.00")</f>
        <v>SAS vs POR - Q1 11:42.00</v>
      </c>
      <c r="L469">
        <v>14</v>
      </c>
      <c r="M469">
        <v>-131</v>
      </c>
      <c r="N469">
        <v>44</v>
      </c>
      <c r="O469">
        <v>-131</v>
      </c>
      <c r="P469">
        <v>44</v>
      </c>
    </row>
    <row r="470" spans="1:16" x14ac:dyDescent="0.25">
      <c r="A470">
        <v>21401098</v>
      </c>
      <c r="B470">
        <v>2014</v>
      </c>
      <c r="C470" t="s">
        <v>32</v>
      </c>
      <c r="D470" t="s">
        <v>29</v>
      </c>
      <c r="E470">
        <v>78</v>
      </c>
      <c r="F470">
        <v>69</v>
      </c>
      <c r="G470">
        <v>4</v>
      </c>
      <c r="H470" s="1">
        <v>6.7013888888888887E-3</v>
      </c>
      <c r="I470" t="s">
        <v>18</v>
      </c>
      <c r="J470" s="2" t="str">
        <f>HYPERLINK("https://www.nba.com/stats/events?CFID=&amp;CFPARAMS=&amp;GameEventID=364&amp;GameID=0021401098&amp;Season=2014-15&amp;flag=1&amp;title=Leonard%2015'%20Pullup%20Jump%20Shot%20(18%20PTS)%20(Parker%203%20AST)", "Leonard 15' Pullup Jump Shot (18 PTS) (Parker 3 AST)")</f>
        <v>Leonard 15' Pullup Jump Shot (18 PTS) (Parker 3 AST)</v>
      </c>
      <c r="K470" s="2" t="str">
        <f>HYPERLINK("https://www.nba.com/game/...-vs-...-0021401098/play-by-play?watchFullGame=true", "SAS vs MEM - Q4 09:39.00")</f>
        <v>SAS vs MEM - Q4 09:39.00</v>
      </c>
      <c r="L470">
        <v>15</v>
      </c>
      <c r="M470">
        <v>-131</v>
      </c>
      <c r="N470">
        <v>69</v>
      </c>
      <c r="O470">
        <v>-131</v>
      </c>
      <c r="P470">
        <v>69</v>
      </c>
    </row>
    <row r="471" spans="1:16" x14ac:dyDescent="0.25">
      <c r="A471">
        <v>41800217</v>
      </c>
      <c r="B471" t="s">
        <v>20</v>
      </c>
      <c r="C471" t="s">
        <v>32</v>
      </c>
      <c r="D471" t="s">
        <v>29</v>
      </c>
      <c r="E471">
        <v>82</v>
      </c>
      <c r="F471">
        <v>80</v>
      </c>
      <c r="G471">
        <v>4</v>
      </c>
      <c r="H471" s="1">
        <v>3.7152777777777778E-3</v>
      </c>
      <c r="I471" t="s">
        <v>21</v>
      </c>
      <c r="J471" s="2" t="str">
        <f>HYPERLINK("https://www.nba.com/stats/events?CFID=&amp;CFPARAMS=&amp;GameEventID=529&amp;GameID=0041800217&amp;Season=2018-19&amp;flag=1&amp;title=Leonard%2020'%20Pullup%20Jump%20Shot%20(33%20PTS)", "Leonard 20' Pullup Jump Shot (33 PTS)")</f>
        <v>Leonard 20' Pullup Jump Shot (33 PTS)</v>
      </c>
      <c r="K471" s="2" t="str">
        <f>HYPERLINK("https://www.nba.com/game/...-vs-...-0041800217/play-by-play?watchFullGame=true", "TOR vs PHI - Q4 05:21.00")</f>
        <v>TOR vs PHI - Q4 05:21.00</v>
      </c>
      <c r="L471">
        <v>20</v>
      </c>
      <c r="M471">
        <v>-131</v>
      </c>
      <c r="N471">
        <v>146</v>
      </c>
      <c r="O471">
        <v>-131</v>
      </c>
      <c r="P471">
        <v>146</v>
      </c>
    </row>
    <row r="472" spans="1:16" x14ac:dyDescent="0.25">
      <c r="A472">
        <v>41800214</v>
      </c>
      <c r="B472" t="s">
        <v>20</v>
      </c>
      <c r="C472" t="s">
        <v>16</v>
      </c>
      <c r="D472" t="s">
        <v>19</v>
      </c>
      <c r="E472">
        <v>72</v>
      </c>
      <c r="F472">
        <v>71</v>
      </c>
      <c r="G472">
        <v>3</v>
      </c>
      <c r="H472" s="1">
        <v>1.4236111111111112E-3</v>
      </c>
      <c r="I472" t="s">
        <v>21</v>
      </c>
      <c r="J472" s="2" t="str">
        <f>HYPERLINK("https://www.nba.com/stats/events?CFID=&amp;CFPARAMS=&amp;GameEventID=443&amp;GameID=0041800214&amp;Season=2018-19&amp;flag=1&amp;title=Leonard%2026'%203PT%20Jump%20Shot%20(31%20PTS)%20(Gasol%202%20AST)", "Leonard 26' 3PT Jump Shot (31 PTS) (Gasol 2 AST)")</f>
        <v>Leonard 26' 3PT Jump Shot (31 PTS) (Gasol 2 AST)</v>
      </c>
      <c r="K472" s="2" t="str">
        <f>HYPERLINK("https://www.nba.com/game/...-vs-...-0041800214/play-by-play?watchFullGame=true", "TOR vs PHI - Q3 02:03.00")</f>
        <v>TOR vs PHI - Q3 02:03.00</v>
      </c>
      <c r="L472">
        <v>26</v>
      </c>
      <c r="M472">
        <v>-131</v>
      </c>
      <c r="N472">
        <v>225</v>
      </c>
      <c r="O472">
        <v>-131</v>
      </c>
      <c r="P472">
        <v>225</v>
      </c>
    </row>
    <row r="473" spans="1:16" x14ac:dyDescent="0.25">
      <c r="A473">
        <v>22201041</v>
      </c>
      <c r="B473">
        <v>2022</v>
      </c>
      <c r="C473" t="s">
        <v>16</v>
      </c>
      <c r="D473" t="s">
        <v>19</v>
      </c>
      <c r="E473">
        <v>28</v>
      </c>
      <c r="F473">
        <v>23</v>
      </c>
      <c r="G473">
        <v>1</v>
      </c>
      <c r="H473" s="1">
        <v>6.3657407407407402E-5</v>
      </c>
      <c r="I473" t="s">
        <v>23</v>
      </c>
      <c r="J473" s="2" t="str">
        <f>HYPERLINK("https://www.nba.com/stats/events?CFID=&amp;CFPARAMS=&amp;GameEventID=160&amp;GameID=0022201041&amp;Season=2022-23&amp;flag=1&amp;title=Leonard%2026'%203PT%20pullup%20(11%20PTS)", "26' 3PT pullup (11 PTS)")</f>
        <v>26' 3PT pullup (11 PTS)</v>
      </c>
      <c r="K473" s="2" t="str">
        <f>HYPERLINK("https://www.nba.com/game/...-vs-...-0022201041/play-by-play?watchFullGame=true", "LAC vs GSW - Q1 00:05.50")</f>
        <v>LAC vs GSW - Q1 00:05.50</v>
      </c>
      <c r="L473">
        <v>26.19</v>
      </c>
      <c r="M473">
        <v>29.68</v>
      </c>
      <c r="N473">
        <v>76.28</v>
      </c>
      <c r="O473">
        <v>-131</v>
      </c>
      <c r="P473">
        <v>226</v>
      </c>
    </row>
    <row r="474" spans="1:16" x14ac:dyDescent="0.25">
      <c r="A474">
        <v>21400836</v>
      </c>
      <c r="B474">
        <v>2014</v>
      </c>
      <c r="C474" t="s">
        <v>32</v>
      </c>
      <c r="D474" t="s">
        <v>34</v>
      </c>
      <c r="E474">
        <v>0</v>
      </c>
      <c r="F474">
        <v>2</v>
      </c>
      <c r="G474">
        <v>1</v>
      </c>
      <c r="H474" s="1">
        <v>7.7546296296296295E-3</v>
      </c>
      <c r="I474" t="s">
        <v>18</v>
      </c>
      <c r="J474" s="2" t="str">
        <f>HYPERLINK("https://www.nba.com/stats/events?CFID=&amp;CFPARAMS=&amp;GameEventID=6&amp;GameID=0021400836&amp;Season=2014-15&amp;flag=1&amp;title=Leonard%2013'%20Turnaround%20Fadeaway%20(2%20PTS)", "Leonard 13' Turnaround Fadeaway (2 PTS)")</f>
        <v>Leonard 13' Turnaround Fadeaway (2 PTS)</v>
      </c>
      <c r="K474" s="2" t="str">
        <f>HYPERLINK("https://www.nba.com/game/...-vs-...-0021400836/play-by-play?watchFullGame=true", "SAS vs UTA - Q1 11:10.00")</f>
        <v>SAS vs UTA - Q1 11:10.00</v>
      </c>
      <c r="L474">
        <v>13</v>
      </c>
      <c r="M474">
        <v>-130</v>
      </c>
      <c r="N474">
        <v>11</v>
      </c>
      <c r="O474">
        <v>-130</v>
      </c>
      <c r="P474">
        <v>11</v>
      </c>
    </row>
    <row r="475" spans="1:16" x14ac:dyDescent="0.25">
      <c r="A475">
        <v>21400814</v>
      </c>
      <c r="B475">
        <v>2014</v>
      </c>
      <c r="C475" t="s">
        <v>32</v>
      </c>
      <c r="D475" t="s">
        <v>29</v>
      </c>
      <c r="E475">
        <v>10</v>
      </c>
      <c r="F475">
        <v>8</v>
      </c>
      <c r="G475">
        <v>1</v>
      </c>
      <c r="H475" s="1">
        <v>5.1967592592592595E-3</v>
      </c>
      <c r="I475" t="s">
        <v>18</v>
      </c>
      <c r="J475" s="2" t="str">
        <f>HYPERLINK("https://www.nba.com/stats/events?CFID=&amp;CFPARAMS=&amp;GameEventID=33&amp;GameID=0021400814&amp;Season=2014-15&amp;flag=1&amp;title=Leonard%2013'%20Pullup%20Jump%20Shot%20(4%20PTS)%20(Parker%202%20AST)", "Leonard 13' Pullup Jump Shot (4 PTS) (Parker 2 AST)")</f>
        <v>Leonard 13' Pullup Jump Shot (4 PTS) (Parker 2 AST)</v>
      </c>
      <c r="K475" s="2" t="str">
        <f>HYPERLINK("https://www.nba.com/game/...-vs-...-0021400814/play-by-play?watchFullGame=true", "SAS vs GSW - Q1 07:29.00")</f>
        <v>SAS vs GSW - Q1 07:29.00</v>
      </c>
      <c r="L475">
        <v>13</v>
      </c>
      <c r="M475">
        <v>-130</v>
      </c>
      <c r="N475">
        <v>36</v>
      </c>
      <c r="O475">
        <v>-130</v>
      </c>
      <c r="P475">
        <v>36</v>
      </c>
    </row>
    <row r="476" spans="1:16" x14ac:dyDescent="0.25">
      <c r="A476">
        <v>21300245</v>
      </c>
      <c r="B476">
        <v>2013</v>
      </c>
      <c r="C476" t="s">
        <v>32</v>
      </c>
      <c r="D476" t="s">
        <v>19</v>
      </c>
      <c r="E476">
        <v>48</v>
      </c>
      <c r="F476">
        <v>57</v>
      </c>
      <c r="G476">
        <v>3</v>
      </c>
      <c r="H476" s="1">
        <v>8.0902777777777778E-3</v>
      </c>
      <c r="I476" t="s">
        <v>18</v>
      </c>
      <c r="J476" s="2" t="str">
        <f>HYPERLINK("https://www.nba.com/stats/events?CFID=&amp;CFPARAMS=&amp;GameEventID=253&amp;GameID=0021300245&amp;Season=2013-14&amp;flag=1&amp;title=Leonard%2014'%20Jump%20Shot%20(4%20PTS)", "Leonard 14' Jump Shot (4 PTS)")</f>
        <v>Leonard 14' Jump Shot (4 PTS)</v>
      </c>
      <c r="K476" s="2" t="str">
        <f>HYPERLINK("https://www.nba.com/game/...-vs-...-0021300245/play-by-play?watchFullGame=true", "SAS vs HOU - Q3 11:39.00")</f>
        <v>SAS vs HOU - Q3 11:39.00</v>
      </c>
      <c r="L476">
        <v>14</v>
      </c>
      <c r="M476">
        <v>-130</v>
      </c>
      <c r="N476">
        <v>58</v>
      </c>
      <c r="O476">
        <v>-130</v>
      </c>
      <c r="P476">
        <v>58</v>
      </c>
    </row>
    <row r="477" spans="1:16" x14ac:dyDescent="0.25">
      <c r="A477">
        <v>21900068</v>
      </c>
      <c r="B477">
        <v>2019</v>
      </c>
      <c r="C477" t="s">
        <v>32</v>
      </c>
      <c r="D477" t="s">
        <v>22</v>
      </c>
      <c r="E477">
        <v>82</v>
      </c>
      <c r="F477">
        <v>75</v>
      </c>
      <c r="G477">
        <v>4</v>
      </c>
      <c r="H477" s="1">
        <v>8.0902777777777778E-3</v>
      </c>
      <c r="I477" t="s">
        <v>23</v>
      </c>
      <c r="J477" s="2" t="str">
        <f>HYPERLINK("https://www.nba.com/stats/events?CFID=&amp;CFPARAMS=&amp;GameEventID=540&amp;GameID=0021900068&amp;Season=2019-20&amp;flag=1&amp;title=[LAC]%20Leonard%20jumpshot:%20Made%20(25%20PTS)", "[LAC] Leonard jumpshot: Made (25 PTS)")</f>
        <v>[LAC] Leonard jumpshot: Made (25 PTS)</v>
      </c>
      <c r="K477" s="2" t="str">
        <f>HYPERLINK("https://www.nba.com/game/...-vs-...-0021900068/play-by-play?watchFullGame=true", "LAC vs SAS - Q4 11:39.00")</f>
        <v>LAC vs SAS - Q4 11:39.00</v>
      </c>
      <c r="L477">
        <v>14.96</v>
      </c>
      <c r="M477">
        <v>87.17</v>
      </c>
      <c r="N477">
        <v>23.95</v>
      </c>
      <c r="O477">
        <v>-130</v>
      </c>
      <c r="P477">
        <v>68</v>
      </c>
    </row>
    <row r="478" spans="1:16" x14ac:dyDescent="0.25">
      <c r="A478">
        <v>21600134</v>
      </c>
      <c r="B478">
        <v>2016</v>
      </c>
      <c r="C478" t="s">
        <v>32</v>
      </c>
      <c r="D478" t="s">
        <v>19</v>
      </c>
      <c r="E478">
        <v>93</v>
      </c>
      <c r="F478">
        <v>100</v>
      </c>
      <c r="G478">
        <v>4</v>
      </c>
      <c r="H478" s="1">
        <v>1.7592592592592592E-3</v>
      </c>
      <c r="I478" t="s">
        <v>18</v>
      </c>
      <c r="J478" s="2" t="str">
        <f>HYPERLINK("https://www.nba.com/stats/events?CFID=&amp;CFPARAMS=&amp;GameEventID=503&amp;GameID=0021600134&amp;Season=2016-17&amp;flag=1&amp;title=Leonard%2017'%20Jump%20Shot%20(20%20PTS)", "Leonard 17' Jump Shot (20 PTS)")</f>
        <v>Leonard 17' Jump Shot (20 PTS)</v>
      </c>
      <c r="K478" s="2" t="str">
        <f>HYPERLINK("https://www.nba.com/game/...-vs-...-0021600134/play-by-play?watchFullGame=true", "SAS vs HOU - Q4 02:32.00")</f>
        <v>SAS vs HOU - Q4 02:32.00</v>
      </c>
      <c r="L478">
        <v>17</v>
      </c>
      <c r="M478">
        <v>-130</v>
      </c>
      <c r="N478">
        <v>111</v>
      </c>
      <c r="O478">
        <v>-130</v>
      </c>
      <c r="P478">
        <v>111</v>
      </c>
    </row>
    <row r="479" spans="1:16" x14ac:dyDescent="0.25">
      <c r="A479">
        <v>22000660</v>
      </c>
      <c r="B479">
        <v>2020</v>
      </c>
      <c r="C479" t="s">
        <v>16</v>
      </c>
      <c r="D479" t="s">
        <v>19</v>
      </c>
      <c r="E479">
        <v>56</v>
      </c>
      <c r="F479">
        <v>68</v>
      </c>
      <c r="G479">
        <v>3</v>
      </c>
      <c r="H479" s="1">
        <v>6.3310185185185188E-3</v>
      </c>
      <c r="I479" t="s">
        <v>23</v>
      </c>
      <c r="J479" s="2" t="str">
        <f>HYPERLINK("https://www.nba.com/stats/events?CFID=&amp;CFPARAMS=&amp;GameEventID=354&amp;GameID=0022000660&amp;Season=2020-21&amp;flag=1&amp;title=Leonard%2026'%203PT%20%20(14%20PTS)%20(P.%20George%204%20AST)", "26' 3PT  (14 PTS) (P. George 4 AST)")</f>
        <v>26' 3PT  (14 PTS) (P. George 4 AST)</v>
      </c>
      <c r="K479" s="2" t="str">
        <f>HYPERLINK("https://www.nba.com/game/...-vs-...-0022000660/play-by-play?watchFullGame=true", "LAC vs ATL - Q3 09:07.00")</f>
        <v>LAC vs ATL - Q3 09:07.00</v>
      </c>
      <c r="L479">
        <v>26.96</v>
      </c>
      <c r="M479">
        <v>69.3</v>
      </c>
      <c r="N479">
        <v>23.95</v>
      </c>
      <c r="O479">
        <v>-130</v>
      </c>
      <c r="P479">
        <v>236</v>
      </c>
    </row>
    <row r="480" spans="1:16" x14ac:dyDescent="0.25">
      <c r="A480">
        <v>21501001</v>
      </c>
      <c r="B480">
        <v>2015</v>
      </c>
      <c r="C480" t="s">
        <v>32</v>
      </c>
      <c r="D480" t="s">
        <v>35</v>
      </c>
      <c r="E480">
        <v>39</v>
      </c>
      <c r="F480">
        <v>31</v>
      </c>
      <c r="G480">
        <v>2</v>
      </c>
      <c r="H480" s="1">
        <v>3.3680555555555556E-3</v>
      </c>
      <c r="I480" t="s">
        <v>18</v>
      </c>
      <c r="J480" s="2" t="str">
        <f>HYPERLINK("https://www.nba.com/stats/events?CFID=&amp;CFPARAMS=&amp;GameEventID=187&amp;GameID=0021501001&amp;Season=2015-16&amp;flag=1&amp;title=Leonard%2013'%20Driving%20Floating%20Jump%20Shot%20(10%20PTS)", "Leonard 13' Driving Floating Jump Shot (10 PTS)")</f>
        <v>Leonard 13' Driving Floating Jump Shot (10 PTS)</v>
      </c>
      <c r="K480" s="2" t="str">
        <f>HYPERLINK("https://www.nba.com/game/...-vs-...-0021501001/play-by-play?watchFullGame=true", "SAS vs LAC - Q2 04:51.00")</f>
        <v>SAS vs LAC - Q2 04:51.00</v>
      </c>
      <c r="L480">
        <v>13</v>
      </c>
      <c r="M480">
        <v>-129</v>
      </c>
      <c r="N480">
        <v>31</v>
      </c>
      <c r="O480">
        <v>-129</v>
      </c>
      <c r="P480">
        <v>31</v>
      </c>
    </row>
    <row r="481" spans="1:16" x14ac:dyDescent="0.25">
      <c r="A481">
        <v>22000142</v>
      </c>
      <c r="B481">
        <v>2020</v>
      </c>
      <c r="C481" t="s">
        <v>32</v>
      </c>
      <c r="D481" t="s">
        <v>19</v>
      </c>
      <c r="E481">
        <v>5</v>
      </c>
      <c r="F481">
        <v>5</v>
      </c>
      <c r="G481">
        <v>1</v>
      </c>
      <c r="H481" s="1">
        <v>6.4236111111111108E-3</v>
      </c>
      <c r="I481" t="s">
        <v>23</v>
      </c>
      <c r="J481" s="2" t="str">
        <f>HYPERLINK("https://www.nba.com/stats/events?CFID=&amp;CFPARAMS=&amp;GameEventID=34&amp;GameID=0022000142&amp;Season=2020-21&amp;flag=1&amp;title=Leonard%2015'%20Jump%20Shot%20(2%20PTS)", "15' Jump Shot (2 PTS)")</f>
        <v>15' Jump Shot (2 PTS)</v>
      </c>
      <c r="K481" s="2" t="str">
        <f>HYPERLINK("https://www.nba.com/game/...-vs-...-0022000142/play-by-play?watchFullGame=true", "LAC vs CHI - Q1 09:15.00")</f>
        <v>LAC vs CHI - Q1 09:15.00</v>
      </c>
      <c r="L481">
        <v>15.47</v>
      </c>
      <c r="M481">
        <v>14.67</v>
      </c>
      <c r="N481">
        <v>75.8</v>
      </c>
      <c r="O481">
        <v>-129</v>
      </c>
      <c r="P481">
        <v>85</v>
      </c>
    </row>
    <row r="482" spans="1:16" x14ac:dyDescent="0.25">
      <c r="A482">
        <v>21500416</v>
      </c>
      <c r="B482">
        <v>2015</v>
      </c>
      <c r="C482" t="s">
        <v>32</v>
      </c>
      <c r="D482" t="s">
        <v>29</v>
      </c>
      <c r="E482">
        <v>59</v>
      </c>
      <c r="F482">
        <v>59</v>
      </c>
      <c r="G482">
        <v>3</v>
      </c>
      <c r="H482" s="1">
        <v>4.8842592592592592E-3</v>
      </c>
      <c r="I482" t="s">
        <v>18</v>
      </c>
      <c r="J482" s="2" t="str">
        <f>HYPERLINK("https://www.nba.com/stats/events?CFID=&amp;CFPARAMS=&amp;GameEventID=275&amp;GameID=0021500416&amp;Season=2015-16&amp;flag=1&amp;title=Leonard%2016'%20Pullup%20Jump%20Shot%20(16%20PTS)%20(Parker%203%20AST)", "Leonard 16' Pullup Jump Shot (16 PTS) (Parker 3 AST)")</f>
        <v>Leonard 16' Pullup Jump Shot (16 PTS) (Parker 3 AST)</v>
      </c>
      <c r="K482" s="2" t="str">
        <f>HYPERLINK("https://www.nba.com/game/...-vs-...-0021500416/play-by-play?watchFullGame=true", "SAS vs IND - Q3 07:02.00")</f>
        <v>SAS vs IND - Q3 07:02.00</v>
      </c>
      <c r="L482">
        <v>16</v>
      </c>
      <c r="M482">
        <v>-129</v>
      </c>
      <c r="N482">
        <v>97</v>
      </c>
      <c r="O482">
        <v>-129</v>
      </c>
      <c r="P482">
        <v>97</v>
      </c>
    </row>
    <row r="483" spans="1:16" x14ac:dyDescent="0.25">
      <c r="A483">
        <v>21600037</v>
      </c>
      <c r="B483">
        <v>2016</v>
      </c>
      <c r="C483" t="s">
        <v>32</v>
      </c>
      <c r="D483" t="s">
        <v>34</v>
      </c>
      <c r="E483">
        <v>97</v>
      </c>
      <c r="F483">
        <v>101</v>
      </c>
      <c r="G483">
        <v>4</v>
      </c>
      <c r="H483" s="1">
        <v>1.1689814814814816E-3</v>
      </c>
      <c r="I483" t="s">
        <v>18</v>
      </c>
      <c r="J483" s="2" t="str">
        <f>HYPERLINK("https://www.nba.com/stats/events?CFID=&amp;CFPARAMS=&amp;GameEventID=540&amp;GameID=0021600037&amp;Season=2016-17&amp;flag=1&amp;title=Leonard%2017'%20Turnaround%20Fadeaway%20(22%20PTS)", "Leonard 17' Turnaround Fadeaway (22 PTS)")</f>
        <v>Leonard 17' Turnaround Fadeaway (22 PTS)</v>
      </c>
      <c r="K483" s="2" t="str">
        <f>HYPERLINK("https://www.nba.com/game/...-vs-...-0021600037/play-by-play?watchFullGame=true", "SAS vs MIA - Q4 01:41.00")</f>
        <v>SAS vs MIA - Q4 01:41.00</v>
      </c>
      <c r="L483">
        <v>17</v>
      </c>
      <c r="M483">
        <v>-129</v>
      </c>
      <c r="N483">
        <v>105</v>
      </c>
      <c r="O483">
        <v>-129</v>
      </c>
      <c r="P483">
        <v>105</v>
      </c>
    </row>
    <row r="484" spans="1:16" x14ac:dyDescent="0.25">
      <c r="A484">
        <v>21601170</v>
      </c>
      <c r="B484">
        <v>2016</v>
      </c>
      <c r="C484" t="s">
        <v>32</v>
      </c>
      <c r="D484" t="s">
        <v>19</v>
      </c>
      <c r="E484">
        <v>31</v>
      </c>
      <c r="F484">
        <v>46</v>
      </c>
      <c r="G484">
        <v>2</v>
      </c>
      <c r="H484" s="1">
        <v>3.6458333333333334E-3</v>
      </c>
      <c r="I484" t="s">
        <v>18</v>
      </c>
      <c r="J484" s="2" t="str">
        <f>HYPERLINK("https://www.nba.com/stats/events?CFID=&amp;CFPARAMS=&amp;GameEventID=172&amp;GameID=0021601170&amp;Season=2016-17&amp;flag=1&amp;title=Leonard%2019'%20Jump%20Shot%20(8%20PTS)%20(Mills%201%20AST)", "Leonard 19' Jump Shot (8 PTS) (Mills 1 AST)")</f>
        <v>Leonard 19' Jump Shot (8 PTS) (Mills 1 AST)</v>
      </c>
      <c r="K484" s="2" t="str">
        <f>HYPERLINK("https://www.nba.com/game/...-vs-...-0021601170/play-by-play?watchFullGame=true", "SAS vs LAL - Q2 05:15.00")</f>
        <v>SAS vs LAL - Q2 05:15.00</v>
      </c>
      <c r="L484">
        <v>19</v>
      </c>
      <c r="M484">
        <v>-129</v>
      </c>
      <c r="N484">
        <v>144</v>
      </c>
      <c r="O484">
        <v>-129</v>
      </c>
      <c r="P484">
        <v>144</v>
      </c>
    </row>
    <row r="485" spans="1:16" x14ac:dyDescent="0.25">
      <c r="A485">
        <v>22301225</v>
      </c>
      <c r="B485">
        <v>2023</v>
      </c>
      <c r="C485" t="s">
        <v>16</v>
      </c>
      <c r="D485" t="s">
        <v>19</v>
      </c>
      <c r="E485">
        <v>69</v>
      </c>
      <c r="F485">
        <v>86</v>
      </c>
      <c r="G485">
        <v>3</v>
      </c>
      <c r="H485" s="1">
        <v>1.6898148148148148E-3</v>
      </c>
      <c r="I485" t="s">
        <v>23</v>
      </c>
      <c r="J485" s="2" t="str">
        <f>HYPERLINK("https://www.nba.com/stats/events?CFID=&amp;CFPARAMS=&amp;GameEventID=463&amp;GameID=0022301225&amp;Season=2023-24&amp;flag=1&amp;title=Leonard%2024'%203PT%20pullup%20(32%20PTS)", "24' 3PT pullup (32 PTS)")</f>
        <v>24' 3PT pullup (32 PTS)</v>
      </c>
      <c r="K485" s="2" t="str">
        <f>HYPERLINK("https://www.nba.com/game/...-vs-...-0022301225/play-by-play?watchFullGame=true", "LAC vs UTA - Q3 02:26.00")</f>
        <v>LAC vs UTA - Q3 02:26.00</v>
      </c>
      <c r="L485">
        <v>24.32</v>
      </c>
      <c r="M485">
        <v>27.55</v>
      </c>
      <c r="N485">
        <v>75.739999999999995</v>
      </c>
      <c r="O485">
        <v>-129</v>
      </c>
      <c r="P485">
        <v>206</v>
      </c>
    </row>
    <row r="486" spans="1:16" x14ac:dyDescent="0.25">
      <c r="A486">
        <v>22001019</v>
      </c>
      <c r="B486">
        <v>2020</v>
      </c>
      <c r="C486" t="s">
        <v>16</v>
      </c>
      <c r="D486" t="s">
        <v>19</v>
      </c>
      <c r="E486">
        <v>90</v>
      </c>
      <c r="F486">
        <v>96</v>
      </c>
      <c r="G486">
        <v>4</v>
      </c>
      <c r="H486" s="1">
        <v>3.0324074074074073E-3</v>
      </c>
      <c r="I486" t="s">
        <v>23</v>
      </c>
      <c r="J486" s="2" t="str">
        <f>HYPERLINK("https://www.nba.com/stats/events?CFID=&amp;CFPARAMS=&amp;GameEventID=499&amp;GameID=0022001019&amp;Season=2020-21&amp;flag=1&amp;title=Leonard%2025'%203PT%20step%20back%20(21%20PTS)", "25' 3PT step back (21 PTS)")</f>
        <v>25' 3PT step back (21 PTS)</v>
      </c>
      <c r="K486" s="2" t="str">
        <f>HYPERLINK("https://www.nba.com/game/...-vs-...-0022001019/play-by-play?watchFullGame=true", "LAC vs NYK - Q4 04:22.00")</f>
        <v>LAC vs NYK - Q4 04:22.00</v>
      </c>
      <c r="L486">
        <v>25.4</v>
      </c>
      <c r="M486">
        <v>28.86</v>
      </c>
      <c r="N486">
        <v>75.8</v>
      </c>
      <c r="O486">
        <v>-129</v>
      </c>
      <c r="P486">
        <v>219</v>
      </c>
    </row>
    <row r="487" spans="1:16" x14ac:dyDescent="0.25">
      <c r="A487">
        <v>41800111</v>
      </c>
      <c r="B487" t="s">
        <v>20</v>
      </c>
      <c r="C487" t="s">
        <v>32</v>
      </c>
      <c r="D487" t="s">
        <v>33</v>
      </c>
      <c r="E487">
        <v>101</v>
      </c>
      <c r="F487">
        <v>99</v>
      </c>
      <c r="G487">
        <v>4</v>
      </c>
      <c r="H487" s="1">
        <v>7.1759259259259259E-4</v>
      </c>
      <c r="I487" t="s">
        <v>21</v>
      </c>
      <c r="J487" s="2" t="str">
        <f>HYPERLINK("https://www.nba.com/stats/events?CFID=&amp;CFPARAMS=&amp;GameEventID=599&amp;GameID=0041800111&amp;Season=2018-19&amp;flag=1&amp;title=Leonard%2013'%20Fadeaway%20Jumper%20(25%20PTS)", "Leonard 13' Fadeaway Jumper (25 PTS)")</f>
        <v>Leonard 13' Fadeaway Jumper (25 PTS)</v>
      </c>
      <c r="K487" s="2" t="str">
        <f>HYPERLINK("https://www.nba.com/game/...-vs-...-0041800111/play-by-play?watchFullGame=true", "TOR vs ORL - Q4 01:02.00")</f>
        <v>TOR vs ORL - Q4 01:02.00</v>
      </c>
      <c r="L487">
        <v>13</v>
      </c>
      <c r="M487">
        <v>-128</v>
      </c>
      <c r="N487">
        <v>3</v>
      </c>
      <c r="O487">
        <v>-128</v>
      </c>
      <c r="P487">
        <v>3</v>
      </c>
    </row>
    <row r="488" spans="1:16" x14ac:dyDescent="0.25">
      <c r="A488">
        <v>41800211</v>
      </c>
      <c r="B488" t="s">
        <v>20</v>
      </c>
      <c r="C488" t="s">
        <v>32</v>
      </c>
      <c r="D488" t="s">
        <v>19</v>
      </c>
      <c r="E488">
        <v>20</v>
      </c>
      <c r="F488">
        <v>13</v>
      </c>
      <c r="G488">
        <v>1</v>
      </c>
      <c r="H488" s="1">
        <v>3.9120370370370368E-3</v>
      </c>
      <c r="I488" t="s">
        <v>21</v>
      </c>
      <c r="J488" s="2" t="str">
        <f>HYPERLINK("https://www.nba.com/stats/events?CFID=&amp;CFPARAMS=&amp;GameEventID=72&amp;GameID=0041800211&amp;Season=2018-19&amp;flag=1&amp;title=Leonard%2013'%20Jump%20Shot%20(11%20PTS)", "Leonard 13' Jump Shot (11 PTS)")</f>
        <v>Leonard 13' Jump Shot (11 PTS)</v>
      </c>
      <c r="K488" s="2" t="str">
        <f>HYPERLINK("https://www.nba.com/game/...-vs-...-0041800211/play-by-play?watchFullGame=true", "TOR vs PHI - Q1 05:38.00")</f>
        <v>TOR vs PHI - Q1 05:38.00</v>
      </c>
      <c r="L488">
        <v>13</v>
      </c>
      <c r="M488">
        <v>-128</v>
      </c>
      <c r="N488">
        <v>17</v>
      </c>
      <c r="O488">
        <v>-128</v>
      </c>
      <c r="P488">
        <v>17</v>
      </c>
    </row>
    <row r="489" spans="1:16" x14ac:dyDescent="0.25">
      <c r="A489">
        <v>21900224</v>
      </c>
      <c r="B489">
        <v>2019</v>
      </c>
      <c r="C489" t="s">
        <v>32</v>
      </c>
      <c r="D489" t="s">
        <v>22</v>
      </c>
      <c r="E489">
        <v>53</v>
      </c>
      <c r="F489">
        <v>49</v>
      </c>
      <c r="G489">
        <v>2</v>
      </c>
      <c r="H489" s="1">
        <v>9.9537037037037042E-4</v>
      </c>
      <c r="I489" t="s">
        <v>23</v>
      </c>
      <c r="J489" s="2" t="str">
        <f>HYPERLINK("https://www.nba.com/stats/events?CFID=&amp;CFPARAMS=&amp;GameEventID=324&amp;GameID=0021900224&amp;Season=2019-20&amp;flag=1&amp;title=Leonard%2014'%20jumpshot%20(13%20PTS)", "14' jumpshot (13 PTS)")</f>
        <v>14' jumpshot (13 PTS)</v>
      </c>
      <c r="K489" s="2" t="str">
        <f>HYPERLINK("https://www.nba.com/game/...-vs-...-0021900224/play-by-play?watchFullGame=true", "LAC vs HOU - Q2 01:26.00")</f>
        <v>LAC vs HOU - Q2 01:26.00</v>
      </c>
      <c r="L489">
        <v>13.77</v>
      </c>
      <c r="M489">
        <v>89.54</v>
      </c>
      <c r="N489">
        <v>24.44</v>
      </c>
      <c r="O489">
        <v>-128</v>
      </c>
      <c r="P489">
        <v>46</v>
      </c>
    </row>
    <row r="490" spans="1:16" x14ac:dyDescent="0.25">
      <c r="A490">
        <v>21400802</v>
      </c>
      <c r="B490">
        <v>2014</v>
      </c>
      <c r="C490" t="s">
        <v>32</v>
      </c>
      <c r="D490" t="s">
        <v>19</v>
      </c>
      <c r="E490">
        <v>31</v>
      </c>
      <c r="F490">
        <v>32</v>
      </c>
      <c r="G490">
        <v>2</v>
      </c>
      <c r="H490" s="1">
        <v>5.8796296296296296E-3</v>
      </c>
      <c r="I490" t="s">
        <v>18</v>
      </c>
      <c r="J490" s="2" t="str">
        <f>HYPERLINK("https://www.nba.com/stats/events?CFID=&amp;CFPARAMS=&amp;GameEventID=140&amp;GameID=0021400802&amp;Season=2014-15&amp;flag=1&amp;title=Leonard%2013'%20Jump%20Shot%20(2%20PTS)", "Leonard 13' Jump Shot (2 PTS)")</f>
        <v>Leonard 13' Jump Shot (2 PTS)</v>
      </c>
      <c r="K490" s="2" t="str">
        <f>HYPERLINK("https://www.nba.com/game/...-vs-...-0021400802/play-by-play?watchFullGame=true", "SAS vs LAC - Q2 08:28.00")</f>
        <v>SAS vs LAC - Q2 08:28.00</v>
      </c>
      <c r="L490">
        <v>13</v>
      </c>
      <c r="M490">
        <v>-127</v>
      </c>
      <c r="N490">
        <v>-24</v>
      </c>
      <c r="O490">
        <v>-127</v>
      </c>
      <c r="P490">
        <v>-24</v>
      </c>
    </row>
    <row r="491" spans="1:16" x14ac:dyDescent="0.25">
      <c r="A491">
        <v>21600942</v>
      </c>
      <c r="B491">
        <v>2016</v>
      </c>
      <c r="C491" t="s">
        <v>32</v>
      </c>
      <c r="D491" t="s">
        <v>31</v>
      </c>
      <c r="E491">
        <v>91</v>
      </c>
      <c r="F491">
        <v>96</v>
      </c>
      <c r="G491">
        <v>4</v>
      </c>
      <c r="H491" s="1">
        <v>4.7337962962962967E-3</v>
      </c>
      <c r="I491" t="s">
        <v>18</v>
      </c>
      <c r="J491" s="2" t="str">
        <f>HYPERLINK("https://www.nba.com/stats/events?CFID=&amp;CFPARAMS=&amp;GameEventID=409&amp;GameID=0021600942&amp;Season=2016-17&amp;flag=1&amp;title=Leonard%2013'%20Step%20Back%20Jump%20Shot%20(24%20PTS)", "Leonard 13' Step Back Jump Shot (24 PTS)")</f>
        <v>Leonard 13' Step Back Jump Shot (24 PTS)</v>
      </c>
      <c r="K491" s="2" t="str">
        <f>HYPERLINK("https://www.nba.com/game/...-vs-...-0021600942/play-by-play?watchFullGame=true", "SAS vs HOU - Q4 06:49.00")</f>
        <v>SAS vs HOU - Q4 06:49.00</v>
      </c>
      <c r="L491">
        <v>13</v>
      </c>
      <c r="M491">
        <v>-127</v>
      </c>
      <c r="N491">
        <v>8</v>
      </c>
      <c r="O491">
        <v>-127</v>
      </c>
      <c r="P491">
        <v>8</v>
      </c>
    </row>
    <row r="492" spans="1:16" x14ac:dyDescent="0.25">
      <c r="A492">
        <v>22300264</v>
      </c>
      <c r="B492">
        <v>2023</v>
      </c>
      <c r="C492" t="s">
        <v>32</v>
      </c>
      <c r="D492" t="s">
        <v>19</v>
      </c>
      <c r="E492">
        <v>111</v>
      </c>
      <c r="F492">
        <v>127</v>
      </c>
      <c r="G492">
        <v>4</v>
      </c>
      <c r="H492" s="1">
        <v>2.3842592592592591E-3</v>
      </c>
      <c r="I492" t="s">
        <v>23</v>
      </c>
      <c r="J492" s="2" t="str">
        <f>HYPERLINK("https://www.nba.com/stats/events?CFID=&amp;CFPARAMS=&amp;GameEventID=627&amp;GameID=0022300264&amp;Season=2023-24&amp;flag=1&amp;title=Leonard%2012'%20pullup%20Jump%20Shot%20(34%20PTS)%20(I.%20Zubac%203%20AST)", "12' pullup Jump Shot (34 PTS) (I. Zubac 3 AST)")</f>
        <v>12' pullup Jump Shot (34 PTS) (I. Zubac 3 AST)</v>
      </c>
      <c r="K492" s="2" t="str">
        <f>HYPERLINK("https://www.nba.com/game/...-vs-...-0022300264/play-by-play?watchFullGame=true", "LAC vs SAC - Q4 03:26.00")</f>
        <v>LAC vs SAC - Q4 03:26.00</v>
      </c>
      <c r="L492">
        <v>12.78</v>
      </c>
      <c r="M492">
        <v>93.51</v>
      </c>
      <c r="N492">
        <v>24.51</v>
      </c>
      <c r="O492">
        <v>-127</v>
      </c>
      <c r="P492">
        <v>8</v>
      </c>
    </row>
    <row r="493" spans="1:16" x14ac:dyDescent="0.25">
      <c r="A493">
        <v>21501215</v>
      </c>
      <c r="B493">
        <v>2015</v>
      </c>
      <c r="C493" t="s">
        <v>32</v>
      </c>
      <c r="D493" t="s">
        <v>19</v>
      </c>
      <c r="E493">
        <v>56</v>
      </c>
      <c r="F493">
        <v>62</v>
      </c>
      <c r="G493">
        <v>3</v>
      </c>
      <c r="H493" s="1">
        <v>5.0231481481481481E-3</v>
      </c>
      <c r="I493" t="s">
        <v>18</v>
      </c>
      <c r="J493" s="2" t="str">
        <f>HYPERLINK("https://www.nba.com/stats/events?CFID=&amp;CFPARAMS=&amp;GameEventID=283&amp;GameID=0021501215&amp;Season=2015-16&amp;flag=1&amp;title=Leonard%2013'%20Jump%20Shot%20(12%20PTS)", "Leonard 13' Jump Shot (12 PTS)")</f>
        <v>Leonard 13' Jump Shot (12 PTS)</v>
      </c>
      <c r="K493" s="2" t="str">
        <f>HYPERLINK("https://www.nba.com/game/...-vs-...-0021501215/play-by-play?watchFullGame=true", "SAS vs OKC - Q3 07:14.00")</f>
        <v>SAS vs OKC - Q3 07:14.00</v>
      </c>
      <c r="L493">
        <v>13</v>
      </c>
      <c r="M493">
        <v>-127</v>
      </c>
      <c r="N493">
        <v>31</v>
      </c>
      <c r="O493">
        <v>-127</v>
      </c>
      <c r="P493">
        <v>31</v>
      </c>
    </row>
    <row r="494" spans="1:16" x14ac:dyDescent="0.25">
      <c r="A494">
        <v>22000675</v>
      </c>
      <c r="B494">
        <v>2020</v>
      </c>
      <c r="C494" t="s">
        <v>32</v>
      </c>
      <c r="D494" t="s">
        <v>19</v>
      </c>
      <c r="E494">
        <v>53</v>
      </c>
      <c r="F494">
        <v>67</v>
      </c>
      <c r="G494">
        <v>2</v>
      </c>
      <c r="H494" s="1">
        <v>5.2083333333333337E-5</v>
      </c>
      <c r="I494" t="s">
        <v>23</v>
      </c>
      <c r="J494" s="2" t="str">
        <f>HYPERLINK("https://www.nba.com/stats/events?CFID=&amp;CFPARAMS=&amp;GameEventID=327&amp;GameID=0022000675&amp;Season=2020-21&amp;flag=1&amp;title=Leonard%2013'%20pullup%20Jump%20Shot%20(16%20PTS)", "13' pullup Jump Shot (16 PTS)")</f>
        <v>13' pullup Jump Shot (16 PTS)</v>
      </c>
      <c r="K494" s="2" t="str">
        <f>HYPERLINK("https://www.nba.com/game/...-vs-...-0022000675/play-by-play?watchFullGame=true", "LAC vs SAS - Q2 00:04.50")</f>
        <v>LAC vs SAS - Q2 00:04.50</v>
      </c>
      <c r="L494">
        <v>13.6</v>
      </c>
      <c r="M494">
        <v>10.86</v>
      </c>
      <c r="N494">
        <v>75.31</v>
      </c>
      <c r="O494">
        <v>-127</v>
      </c>
      <c r="P494">
        <v>50</v>
      </c>
    </row>
    <row r="495" spans="1:16" x14ac:dyDescent="0.25">
      <c r="A495">
        <v>21600206</v>
      </c>
      <c r="B495">
        <v>2016</v>
      </c>
      <c r="C495" t="s">
        <v>32</v>
      </c>
      <c r="D495" t="s">
        <v>34</v>
      </c>
      <c r="E495">
        <v>40</v>
      </c>
      <c r="F495">
        <v>37</v>
      </c>
      <c r="G495">
        <v>2</v>
      </c>
      <c r="H495" s="1">
        <v>3.2986111111111111E-3</v>
      </c>
      <c r="I495" t="s">
        <v>18</v>
      </c>
      <c r="J495" s="2" t="str">
        <f>HYPERLINK("https://www.nba.com/stats/events?CFID=&amp;CFPARAMS=&amp;GameEventID=179&amp;GameID=0021600206&amp;Season=2016-17&amp;flag=1&amp;title=Leonard%2014'%20Turnaround%20Fadeaway%20(15%20PTS)", "Leonard 14' Turnaround Fadeaway (15 PTS)")</f>
        <v>Leonard 14' Turnaround Fadeaway (15 PTS)</v>
      </c>
      <c r="K495" s="2" t="str">
        <f>HYPERLINK("https://www.nba.com/game/...-vs-...-0021600206/play-by-play?watchFullGame=true", "SAS vs DAL - Q2 04:45.00")</f>
        <v>SAS vs DAL - Q2 04:45.00</v>
      </c>
      <c r="L495">
        <v>14</v>
      </c>
      <c r="M495">
        <v>-127</v>
      </c>
      <c r="N495">
        <v>57</v>
      </c>
      <c r="O495">
        <v>-127</v>
      </c>
      <c r="P495">
        <v>57</v>
      </c>
    </row>
    <row r="496" spans="1:16" x14ac:dyDescent="0.25">
      <c r="A496">
        <v>41800211</v>
      </c>
      <c r="B496" t="s">
        <v>20</v>
      </c>
      <c r="C496" t="s">
        <v>32</v>
      </c>
      <c r="D496" t="s">
        <v>34</v>
      </c>
      <c r="E496">
        <v>103</v>
      </c>
      <c r="F496">
        <v>85</v>
      </c>
      <c r="G496">
        <v>4</v>
      </c>
      <c r="H496" s="1">
        <v>4.9305555555555552E-3</v>
      </c>
      <c r="I496" t="s">
        <v>21</v>
      </c>
      <c r="J496" s="2" t="str">
        <f>HYPERLINK("https://www.nba.com/stats/events?CFID=&amp;CFPARAMS=&amp;GameEventID=537&amp;GameID=0041800211&amp;Season=2018-19&amp;flag=1&amp;title=Leonard%2014'%20Turnaround%20Fadeaway%20(41%20PTS)", "Leonard 14' Turnaround Fadeaway (41 PTS)")</f>
        <v>Leonard 14' Turnaround Fadeaway (41 PTS)</v>
      </c>
      <c r="K496" s="2" t="str">
        <f>HYPERLINK("https://www.nba.com/game/...-vs-...-0041800211/play-by-play?watchFullGame=true", "TOR vs PHI - Q4 07:06.00")</f>
        <v>TOR vs PHI - Q4 07:06.00</v>
      </c>
      <c r="L496">
        <v>14</v>
      </c>
      <c r="M496">
        <v>-127</v>
      </c>
      <c r="N496">
        <v>58</v>
      </c>
      <c r="O496">
        <v>-127</v>
      </c>
      <c r="P496">
        <v>58</v>
      </c>
    </row>
    <row r="497" spans="1:16" x14ac:dyDescent="0.25">
      <c r="A497">
        <v>21600727</v>
      </c>
      <c r="B497">
        <v>2016</v>
      </c>
      <c r="C497" t="s">
        <v>32</v>
      </c>
      <c r="D497" t="s">
        <v>33</v>
      </c>
      <c r="E497">
        <v>70</v>
      </c>
      <c r="F497">
        <v>71</v>
      </c>
      <c r="G497">
        <v>3</v>
      </c>
      <c r="H497" s="1">
        <v>1.8749999999999999E-3</v>
      </c>
      <c r="I497" t="s">
        <v>18</v>
      </c>
      <c r="J497" s="2" t="str">
        <f>HYPERLINK("https://www.nba.com/stats/events?CFID=&amp;CFPARAMS=&amp;GameEventID=456&amp;GameID=0021600727&amp;Season=2016-17&amp;flag=1&amp;title=Leonard%2015'%20Fadeaway%20Jumper%20(21%20PTS)", "Leonard 15' Fadeaway Jumper (21 PTS)")</f>
        <v>Leonard 15' Fadeaway Jumper (21 PTS)</v>
      </c>
      <c r="K497" s="2" t="str">
        <f>HYPERLINK("https://www.nba.com/game/...-vs-...-0021600727/play-by-play?watchFullGame=true", "SAS vs OKC - Q3 02:42.00")</f>
        <v>SAS vs OKC - Q3 02:42.00</v>
      </c>
      <c r="L497">
        <v>15</v>
      </c>
      <c r="M497">
        <v>-127</v>
      </c>
      <c r="N497">
        <v>75</v>
      </c>
      <c r="O497">
        <v>-127</v>
      </c>
      <c r="P497">
        <v>75</v>
      </c>
    </row>
    <row r="498" spans="1:16" x14ac:dyDescent="0.25">
      <c r="A498">
        <v>21600319</v>
      </c>
      <c r="B498">
        <v>2016</v>
      </c>
      <c r="C498" t="s">
        <v>16</v>
      </c>
      <c r="D498" t="s">
        <v>19</v>
      </c>
      <c r="E498">
        <v>80</v>
      </c>
      <c r="F498">
        <v>96</v>
      </c>
      <c r="G498">
        <v>4</v>
      </c>
      <c r="H498" s="1">
        <v>1.6782407407407408E-3</v>
      </c>
      <c r="I498" t="s">
        <v>18</v>
      </c>
      <c r="J498" s="2" t="str">
        <f>HYPERLINK("https://www.nba.com/stats/events?CFID=&amp;CFPARAMS=&amp;GameEventID=435&amp;GameID=0021600319&amp;Season=2016-17&amp;flag=1&amp;title=Leonard%2025'%203PT%20Jump%20Shot%20(31%20PTS)%20(Gasol%201%20AST)", "Leonard 25' 3PT Jump Shot (31 PTS) (Gasol 1 AST)")</f>
        <v>Leonard 25' 3PT Jump Shot (31 PTS) (Gasol 1 AST)</v>
      </c>
      <c r="K498" s="2" t="str">
        <f>HYPERLINK("https://www.nba.com/game/...-vs-...-0021600319/play-by-play?watchFullGame=true", "SAS vs MIN - Q4 02:25.00")</f>
        <v>SAS vs MIN - Q4 02:25.00</v>
      </c>
      <c r="L498">
        <v>25</v>
      </c>
      <c r="M498">
        <v>-127</v>
      </c>
      <c r="N498">
        <v>213</v>
      </c>
      <c r="O498">
        <v>-127</v>
      </c>
      <c r="P498">
        <v>213</v>
      </c>
    </row>
    <row r="499" spans="1:16" x14ac:dyDescent="0.25">
      <c r="A499">
        <v>21500379</v>
      </c>
      <c r="B499">
        <v>2015</v>
      </c>
      <c r="C499" t="s">
        <v>16</v>
      </c>
      <c r="D499" t="s">
        <v>19</v>
      </c>
      <c r="E499">
        <v>13</v>
      </c>
      <c r="F499">
        <v>16</v>
      </c>
      <c r="G499">
        <v>1</v>
      </c>
      <c r="H499" s="1">
        <v>3.6458333333333334E-3</v>
      </c>
      <c r="I499" t="s">
        <v>18</v>
      </c>
      <c r="J499" s="2" t="str">
        <f>HYPERLINK("https://www.nba.com/stats/events?CFID=&amp;CFPARAMS=&amp;GameEventID=61&amp;GameID=0021500379&amp;Season=2015-16&amp;flag=1&amp;title=Leonard%2026'%203PT%20Jump%20Shot%20(7%20PTS)%20(Ginobili%201%20AST)", "Leonard 26' 3PT Jump Shot (7 PTS) (Ginobili 1 AST)")</f>
        <v>Leonard 26' 3PT Jump Shot (7 PTS) (Ginobili 1 AST)</v>
      </c>
      <c r="K499" s="2" t="str">
        <f>HYPERLINK("https://www.nba.com/game/...-vs-...-0021500379/play-by-play?watchFullGame=true", "SAS vs WAS - Q1 05:15.00")</f>
        <v>SAS vs WAS - Q1 05:15.00</v>
      </c>
      <c r="L499">
        <v>26</v>
      </c>
      <c r="M499">
        <v>-127</v>
      </c>
      <c r="N499">
        <v>228</v>
      </c>
      <c r="O499">
        <v>-127</v>
      </c>
      <c r="P499">
        <v>228</v>
      </c>
    </row>
    <row r="500" spans="1:16" x14ac:dyDescent="0.25">
      <c r="A500">
        <v>22000472</v>
      </c>
      <c r="B500">
        <v>2020</v>
      </c>
      <c r="C500" t="s">
        <v>16</v>
      </c>
      <c r="D500" t="s">
        <v>19</v>
      </c>
      <c r="E500">
        <v>3</v>
      </c>
      <c r="F500">
        <v>2</v>
      </c>
      <c r="G500">
        <v>1</v>
      </c>
      <c r="H500" s="1">
        <v>7.4074074074074077E-3</v>
      </c>
      <c r="I500" t="s">
        <v>23</v>
      </c>
      <c r="J500" s="2" t="str">
        <f>HYPERLINK("https://www.nba.com/stats/events?CFID=&amp;CFPARAMS=&amp;GameEventID=12&amp;GameID=0022000472&amp;Season=2020-21&amp;flag=1&amp;title=Leonard%2026'%203PT%20%20(3%20PTS)%20(P.%20George%201%20AST)", "26' 3PT  (3 PTS) (P. George 1 AST)")</f>
        <v>26' 3PT  (3 PTS) (P. George 1 AST)</v>
      </c>
      <c r="K500" s="2" t="str">
        <f>HYPERLINK("https://www.nba.com/game/...-vs-...-0022000472/play-by-play?watchFullGame=true", "LAC vs BKN - Q1 10:40.00")</f>
        <v>LAC vs BKN - Q1 10:40.00</v>
      </c>
      <c r="L500">
        <v>26.89</v>
      </c>
      <c r="M500">
        <v>69.2</v>
      </c>
      <c r="N500">
        <v>24.58</v>
      </c>
      <c r="O500">
        <v>-127</v>
      </c>
      <c r="P500">
        <v>237</v>
      </c>
    </row>
    <row r="501" spans="1:16" x14ac:dyDescent="0.25">
      <c r="A501">
        <v>21600874</v>
      </c>
      <c r="B501">
        <v>2016</v>
      </c>
      <c r="C501" t="s">
        <v>32</v>
      </c>
      <c r="D501" t="s">
        <v>31</v>
      </c>
      <c r="E501">
        <v>12</v>
      </c>
      <c r="F501">
        <v>24</v>
      </c>
      <c r="G501">
        <v>1</v>
      </c>
      <c r="H501" s="1">
        <v>2.8240740740740739E-3</v>
      </c>
      <c r="I501" t="s">
        <v>18</v>
      </c>
      <c r="J501" s="2" t="str">
        <f>HYPERLINK("https://www.nba.com/stats/events?CFID=&amp;CFPARAMS=&amp;GameEventID=66&amp;GameID=0021600874&amp;Season=2016-17&amp;flag=1&amp;title=Leonard%2020'%20Step%20Back%20Jump%20Shot%20(14%20PTS)", "Leonard 20' Step Back Jump Shot (14 PTS)")</f>
        <v>Leonard 20' Step Back Jump Shot (14 PTS)</v>
      </c>
      <c r="K501" s="2" t="str">
        <f>HYPERLINK("https://www.nba.com/game/...-vs-...-0021600874/play-by-play?watchFullGame=true", "SAS vs LAL - Q1 04:04.00")</f>
        <v>SAS vs LAL - Q1 04:04.00</v>
      </c>
      <c r="L501">
        <v>20</v>
      </c>
      <c r="M501">
        <v>-126</v>
      </c>
      <c r="N501">
        <v>158</v>
      </c>
      <c r="O501">
        <v>-126</v>
      </c>
      <c r="P501">
        <v>158</v>
      </c>
    </row>
    <row r="502" spans="1:16" x14ac:dyDescent="0.25">
      <c r="A502">
        <v>21401134</v>
      </c>
      <c r="B502">
        <v>2014</v>
      </c>
      <c r="C502" t="s">
        <v>32</v>
      </c>
      <c r="D502" t="s">
        <v>19</v>
      </c>
      <c r="E502">
        <v>2</v>
      </c>
      <c r="F502">
        <v>0</v>
      </c>
      <c r="G502">
        <v>1</v>
      </c>
      <c r="H502" s="1">
        <v>8.1134259259259267E-3</v>
      </c>
      <c r="I502" t="s">
        <v>18</v>
      </c>
      <c r="J502" s="2" t="str">
        <f>HYPERLINK("https://www.nba.com/stats/events?CFID=&amp;CFPARAMS=&amp;GameEventID=2&amp;GameID=0021401134&amp;Season=2014-15&amp;flag=1&amp;title=Leonard%2013'%20Jump%20Shot%20(2%20PTS)%20(Parker%201%20AST)", "Leonard 13' Jump Shot (2 PTS) (Parker 1 AST)")</f>
        <v>Leonard 13' Jump Shot (2 PTS) (Parker 1 AST)</v>
      </c>
      <c r="K502" s="2" t="str">
        <f>HYPERLINK("https://www.nba.com/game/...-vs-...-0021401134/play-by-play?watchFullGame=true", "SAS vs DEN - Q1 11:41.00")</f>
        <v>SAS vs DEN - Q1 11:41.00</v>
      </c>
      <c r="L502">
        <v>13</v>
      </c>
      <c r="M502">
        <v>-125</v>
      </c>
      <c r="N502">
        <v>-11</v>
      </c>
      <c r="O502">
        <v>-125</v>
      </c>
      <c r="P502">
        <v>-11</v>
      </c>
    </row>
    <row r="503" spans="1:16" x14ac:dyDescent="0.25">
      <c r="A503">
        <v>21301123</v>
      </c>
      <c r="B503">
        <v>2013</v>
      </c>
      <c r="C503" t="s">
        <v>32</v>
      </c>
      <c r="D503" t="s">
        <v>19</v>
      </c>
      <c r="E503">
        <v>76</v>
      </c>
      <c r="F503">
        <v>67</v>
      </c>
      <c r="G503">
        <v>3</v>
      </c>
      <c r="H503" s="1">
        <v>2.8703703703703703E-3</v>
      </c>
      <c r="I503" t="s">
        <v>18</v>
      </c>
      <c r="J503" s="2" t="str">
        <f>HYPERLINK("https://www.nba.com/stats/events?CFID=&amp;CFPARAMS=&amp;GameEventID=300&amp;GameID=0021301123&amp;Season=2013-14&amp;flag=1&amp;title=Leonard%2013'%20Jump%20Shot%20(11%20PTS)%20(Belinelli%201%20AST)", "Leonard 13' Jump Shot (11 PTS) (Belinelli 1 AST)")</f>
        <v>Leonard 13' Jump Shot (11 PTS) (Belinelli 1 AST)</v>
      </c>
      <c r="K503" s="2" t="str">
        <f>HYPERLINK("https://www.nba.com/game/...-vs-...-0021301123/play-by-play?watchFullGame=true", "SAS vs GSW - Q3 04:08.00")</f>
        <v>SAS vs GSW - Q3 04:08.00</v>
      </c>
      <c r="L503">
        <v>13</v>
      </c>
      <c r="M503">
        <v>-125</v>
      </c>
      <c r="N503">
        <v>-2</v>
      </c>
      <c r="O503">
        <v>-125</v>
      </c>
      <c r="P503">
        <v>-2</v>
      </c>
    </row>
    <row r="504" spans="1:16" x14ac:dyDescent="0.25">
      <c r="A504">
        <v>22001034</v>
      </c>
      <c r="B504">
        <v>2020</v>
      </c>
      <c r="C504" t="s">
        <v>32</v>
      </c>
      <c r="D504" t="s">
        <v>19</v>
      </c>
      <c r="E504">
        <v>39</v>
      </c>
      <c r="F504">
        <v>53</v>
      </c>
      <c r="G504">
        <v>2</v>
      </c>
      <c r="H504" s="1">
        <v>2.685185185185185E-3</v>
      </c>
      <c r="I504" t="s">
        <v>23</v>
      </c>
      <c r="J504" s="2" t="str">
        <f>HYPERLINK("https://www.nba.com/stats/events?CFID=&amp;CFPARAMS=&amp;GameEventID=281&amp;GameID=0022001034&amp;Season=2020-21&amp;flag=1&amp;title=Leonard%2012'%20turnaround%20fadeaway%20Jump%20Shot%20(14%20PTS)", "12' turnaround fadeaway Jump Shot (14 PTS)")</f>
        <v>12' turnaround fadeaway Jump Shot (14 PTS)</v>
      </c>
      <c r="K504" s="2" t="str">
        <f>HYPERLINK("https://www.nba.com/game/...-vs-...-0022001034/play-by-play?watchFullGame=true", "LAC vs TOR - Q2 03:52.00")</f>
        <v>LAC vs TOR - Q2 03:52.00</v>
      </c>
      <c r="L504">
        <v>12.6</v>
      </c>
      <c r="M504">
        <v>7.05</v>
      </c>
      <c r="N504">
        <v>75.069999999999993</v>
      </c>
      <c r="O504">
        <v>-125</v>
      </c>
      <c r="P504">
        <v>14</v>
      </c>
    </row>
    <row r="505" spans="1:16" x14ac:dyDescent="0.25">
      <c r="A505">
        <v>21400191</v>
      </c>
      <c r="B505">
        <v>2014</v>
      </c>
      <c r="C505" t="s">
        <v>32</v>
      </c>
      <c r="D505" t="s">
        <v>19</v>
      </c>
      <c r="E505">
        <v>49</v>
      </c>
      <c r="F505">
        <v>32</v>
      </c>
      <c r="G505">
        <v>2</v>
      </c>
      <c r="H505" s="1">
        <v>1.4236111111111112E-3</v>
      </c>
      <c r="I505" t="s">
        <v>18</v>
      </c>
      <c r="J505" s="2" t="str">
        <f>HYPERLINK("https://www.nba.com/stats/events?CFID=&amp;CFPARAMS=&amp;GameEventID=198&amp;GameID=0021400191&amp;Season=2014-15&amp;flag=1&amp;title=Leonard%2013'%20Jump%20Shot%20(13%20PTS)", "Leonard 13' Jump Shot (13 PTS)")</f>
        <v>Leonard 13' Jump Shot (13 PTS)</v>
      </c>
      <c r="K505" s="2" t="str">
        <f>HYPERLINK("https://www.nba.com/game/...-vs-...-0021400191/play-by-play?watchFullGame=true", "SAS vs BKN - Q2 02:03.00")</f>
        <v>SAS vs BKN - Q2 02:03.00</v>
      </c>
      <c r="L505">
        <v>13</v>
      </c>
      <c r="M505">
        <v>-125</v>
      </c>
      <c r="N505">
        <v>48</v>
      </c>
      <c r="O505">
        <v>-125</v>
      </c>
      <c r="P505">
        <v>48</v>
      </c>
    </row>
    <row r="506" spans="1:16" x14ac:dyDescent="0.25">
      <c r="A506">
        <v>21301221</v>
      </c>
      <c r="B506">
        <v>2013</v>
      </c>
      <c r="C506" t="s">
        <v>32</v>
      </c>
      <c r="D506" t="s">
        <v>19</v>
      </c>
      <c r="E506">
        <v>61</v>
      </c>
      <c r="F506">
        <v>66</v>
      </c>
      <c r="G506">
        <v>3</v>
      </c>
      <c r="H506" s="1">
        <v>3.9236111111111112E-3</v>
      </c>
      <c r="I506" t="s">
        <v>18</v>
      </c>
      <c r="J506" s="2" t="str">
        <f>HYPERLINK("https://www.nba.com/stats/events?CFID=&amp;CFPARAMS=&amp;GameEventID=299&amp;GameID=0021301221&amp;Season=2013-14&amp;flag=1&amp;title=Leonard%2015'%20Jump%20Shot%20(14%20PTS)", "Leonard 15' Jump Shot (14 PTS)")</f>
        <v>Leonard 15' Jump Shot (14 PTS)</v>
      </c>
      <c r="K506" s="2" t="str">
        <f>HYPERLINK("https://www.nba.com/game/...-vs-...-0021301221/play-by-play?watchFullGame=true", "SAS vs LAL - Q3 05:39.00")</f>
        <v>SAS vs LAL - Q3 05:39.00</v>
      </c>
      <c r="L506">
        <v>15</v>
      </c>
      <c r="M506">
        <v>-125</v>
      </c>
      <c r="N506">
        <v>77</v>
      </c>
      <c r="O506">
        <v>-125</v>
      </c>
      <c r="P506">
        <v>77</v>
      </c>
    </row>
    <row r="507" spans="1:16" x14ac:dyDescent="0.25">
      <c r="A507">
        <v>22200902</v>
      </c>
      <c r="B507">
        <v>2022</v>
      </c>
      <c r="C507" t="s">
        <v>32</v>
      </c>
      <c r="D507" t="s">
        <v>19</v>
      </c>
      <c r="E507">
        <v>27</v>
      </c>
      <c r="F507">
        <v>27</v>
      </c>
      <c r="G507">
        <v>1</v>
      </c>
      <c r="H507" s="1">
        <v>2.9513888888888888E-3</v>
      </c>
      <c r="I507" t="s">
        <v>23</v>
      </c>
      <c r="J507" s="2" t="str">
        <f>HYPERLINK("https://www.nba.com/stats/events?CFID=&amp;CFPARAMS=&amp;GameEventID=100&amp;GameID=0022200902&amp;Season=2022-23&amp;flag=1&amp;title=Leonard%2015'%20turnaround%20fadeaway%20Jump%20Shot%20(9%20PTS)", "15' turnaround fadeaway Jump Shot (9 PTS)")</f>
        <v>15' turnaround fadeaway Jump Shot (9 PTS)</v>
      </c>
      <c r="K507" s="2" t="str">
        <f>HYPERLINK("https://www.nba.com/game/...-vs-...-0022200902/play-by-play?watchFullGame=true", "LAC vs SAC - Q1 04:15.00")</f>
        <v>LAC vs SAC - Q1 04:15.00</v>
      </c>
      <c r="L507">
        <v>15.35</v>
      </c>
      <c r="M507">
        <v>84.94</v>
      </c>
      <c r="N507">
        <v>25</v>
      </c>
      <c r="O507">
        <v>-125</v>
      </c>
      <c r="P507">
        <v>89</v>
      </c>
    </row>
    <row r="508" spans="1:16" x14ac:dyDescent="0.25">
      <c r="A508">
        <v>21900603</v>
      </c>
      <c r="B508">
        <v>2019</v>
      </c>
      <c r="C508" t="s">
        <v>32</v>
      </c>
      <c r="D508" t="s">
        <v>22</v>
      </c>
      <c r="E508">
        <v>14</v>
      </c>
      <c r="F508">
        <v>12</v>
      </c>
      <c r="G508">
        <v>1</v>
      </c>
      <c r="H508" s="1">
        <v>5.162037037037037E-3</v>
      </c>
      <c r="I508" t="s">
        <v>23</v>
      </c>
      <c r="J508" s="2" t="str">
        <f>HYPERLINK("https://www.nba.com/stats/events?CFID=&amp;CFPARAMS=&amp;GameEventID=55&amp;GameID=0021900603&amp;Season=2019-20&amp;flag=1&amp;title=Leonard%2016'%20jumpshot%20(4%20PTS)%20(P.%20Beverley%203%20AST)", "16' jumpshot (4 PTS) (P. Beverley 3 AST)")</f>
        <v>16' jumpshot (4 PTS) (P. Beverley 3 AST)</v>
      </c>
      <c r="K508" s="2" t="str">
        <f>HYPERLINK("https://www.nba.com/game/...-vs-...-0021900603/play-by-play?watchFullGame=true", "LAC vs CLE - Q1 07:26.00")</f>
        <v>LAC vs CLE - Q1 07:26.00</v>
      </c>
      <c r="L508">
        <v>16.09</v>
      </c>
      <c r="M508">
        <v>15.82</v>
      </c>
      <c r="N508">
        <v>74.930000000000007</v>
      </c>
      <c r="O508">
        <v>-125</v>
      </c>
      <c r="P508">
        <v>96</v>
      </c>
    </row>
    <row r="509" spans="1:16" x14ac:dyDescent="0.25">
      <c r="A509">
        <v>21600225</v>
      </c>
      <c r="B509">
        <v>2016</v>
      </c>
      <c r="C509" t="s">
        <v>32</v>
      </c>
      <c r="D509" t="s">
        <v>29</v>
      </c>
      <c r="E509">
        <v>56</v>
      </c>
      <c r="F509">
        <v>61</v>
      </c>
      <c r="G509">
        <v>3</v>
      </c>
      <c r="H509" s="1">
        <v>4.3287037037037035E-3</v>
      </c>
      <c r="I509" t="s">
        <v>18</v>
      </c>
      <c r="J509" s="2" t="str">
        <f>HYPERLINK("https://www.nba.com/stats/events?CFID=&amp;CFPARAMS=&amp;GameEventID=293&amp;GameID=0021600225&amp;Season=2016-17&amp;flag=1&amp;title=Leonard%2016'%20Pullup%20Jump%20Shot%20(16%20PTS)", "Leonard 16' Pullup Jump Shot (16 PTS)")</f>
        <v>Leonard 16' Pullup Jump Shot (16 PTS)</v>
      </c>
      <c r="K509" s="2" t="str">
        <f>HYPERLINK("https://www.nba.com/game/...-vs-...-0021600225/play-by-play?watchFullGame=true", "SAS vs BOS - Q3 06:14.00")</f>
        <v>SAS vs BOS - Q3 06:14.00</v>
      </c>
      <c r="L509">
        <v>16</v>
      </c>
      <c r="M509">
        <v>-125</v>
      </c>
      <c r="N509">
        <v>100</v>
      </c>
      <c r="O509">
        <v>-125</v>
      </c>
      <c r="P509">
        <v>100</v>
      </c>
    </row>
    <row r="510" spans="1:16" x14ac:dyDescent="0.25">
      <c r="A510">
        <v>21500379</v>
      </c>
      <c r="B510">
        <v>2015</v>
      </c>
      <c r="C510" t="s">
        <v>16</v>
      </c>
      <c r="D510" t="s">
        <v>19</v>
      </c>
      <c r="E510">
        <v>104</v>
      </c>
      <c r="F510">
        <v>83</v>
      </c>
      <c r="G510">
        <v>4</v>
      </c>
      <c r="H510" s="1">
        <v>3.3101851851851851E-3</v>
      </c>
      <c r="I510" t="s">
        <v>18</v>
      </c>
      <c r="J510" s="2" t="str">
        <f>HYPERLINK("https://www.nba.com/stats/events?CFID=&amp;CFPARAMS=&amp;GameEventID=482&amp;GameID=0021500379&amp;Season=2015-16&amp;flag=1&amp;title=Leonard%2024'%203PT%20Jump%20Shot%20(27%20PTS)%20(Ginobili%208%20AST)", "Leonard 24' 3PT Jump Shot (27 PTS) (Ginobili 8 AST)")</f>
        <v>Leonard 24' 3PT Jump Shot (27 PTS) (Ginobili 8 AST)</v>
      </c>
      <c r="K510" s="2" t="str">
        <f>HYPERLINK("https://www.nba.com/game/...-vs-...-0021500379/play-by-play?watchFullGame=true", "SAS vs WAS - Q4 04:46.00")</f>
        <v>SAS vs WAS - Q4 04:46.00</v>
      </c>
      <c r="L510">
        <v>24</v>
      </c>
      <c r="M510">
        <v>-125</v>
      </c>
      <c r="N510">
        <v>208</v>
      </c>
      <c r="O510">
        <v>-125</v>
      </c>
      <c r="P510">
        <v>208</v>
      </c>
    </row>
    <row r="511" spans="1:16" x14ac:dyDescent="0.25">
      <c r="A511">
        <v>21500123</v>
      </c>
      <c r="B511">
        <v>2015</v>
      </c>
      <c r="C511" t="s">
        <v>16</v>
      </c>
      <c r="D511" t="s">
        <v>19</v>
      </c>
      <c r="E511">
        <v>52</v>
      </c>
      <c r="F511">
        <v>62</v>
      </c>
      <c r="G511">
        <v>3</v>
      </c>
      <c r="H511" s="1">
        <v>6.7013888888888887E-3</v>
      </c>
      <c r="I511" t="s">
        <v>18</v>
      </c>
      <c r="J511" s="2" t="str">
        <f>HYPERLINK("https://www.nba.com/stats/events?CFID=&amp;CFPARAMS=&amp;GameEventID=244&amp;GameID=0021500123&amp;Season=2015-16&amp;flag=1&amp;title=Leonard%2024'%203PT%20Jump%20Shot%20(14%20PTS)%20(Aldridge%201%20AST)", "Leonard 24' 3PT Jump Shot (14 PTS) (Aldridge 1 AST)")</f>
        <v>Leonard 24' 3PT Jump Shot (14 PTS) (Aldridge 1 AST)</v>
      </c>
      <c r="K511" s="2" t="str">
        <f>HYPERLINK("https://www.nba.com/game/...-vs-...-0021500123/play-by-play?watchFullGame=true", "SAS vs POR - Q3 09:39.00")</f>
        <v>SAS vs POR - Q3 09:39.00</v>
      </c>
      <c r="L511">
        <v>24</v>
      </c>
      <c r="M511">
        <v>-125</v>
      </c>
      <c r="N511">
        <v>208</v>
      </c>
      <c r="O511">
        <v>-125</v>
      </c>
      <c r="P511">
        <v>208</v>
      </c>
    </row>
    <row r="512" spans="1:16" x14ac:dyDescent="0.25">
      <c r="A512">
        <v>21400131</v>
      </c>
      <c r="B512">
        <v>2014</v>
      </c>
      <c r="C512" t="s">
        <v>16</v>
      </c>
      <c r="D512" t="s">
        <v>19</v>
      </c>
      <c r="E512">
        <v>7</v>
      </c>
      <c r="F512">
        <v>7</v>
      </c>
      <c r="G512">
        <v>1</v>
      </c>
      <c r="H512" s="1">
        <v>5.3587962962962964E-3</v>
      </c>
      <c r="I512" t="s">
        <v>18</v>
      </c>
      <c r="J512" s="2" t="str">
        <f>HYPERLINK("https://www.nba.com/stats/events?CFID=&amp;CFPARAMS=&amp;GameEventID=28&amp;GameID=0021400131&amp;Season=2014-15&amp;flag=1&amp;title=Leonard%2024'%203PT%20Jump%20Shot%20(3%20PTS)%20(Duncan%201%20AST)", "Leonard 24' 3PT Jump Shot (3 PTS) (Duncan 1 AST)")</f>
        <v>Leonard 24' 3PT Jump Shot (3 PTS) (Duncan 1 AST)</v>
      </c>
      <c r="K512" s="2" t="str">
        <f>HYPERLINK("https://www.nba.com/game/...-vs-...-0021400131/play-by-play?watchFullGame=true", "SAS vs LAL - Q1 07:43.00")</f>
        <v>SAS vs LAL - Q1 07:43.00</v>
      </c>
      <c r="L512">
        <v>24</v>
      </c>
      <c r="M512">
        <v>-125</v>
      </c>
      <c r="N512">
        <v>209</v>
      </c>
      <c r="O512">
        <v>-125</v>
      </c>
      <c r="P512">
        <v>209</v>
      </c>
    </row>
    <row r="513" spans="1:16" x14ac:dyDescent="0.25">
      <c r="A513">
        <v>22200525</v>
      </c>
      <c r="B513">
        <v>2022</v>
      </c>
      <c r="C513" t="s">
        <v>16</v>
      </c>
      <c r="D513" t="s">
        <v>19</v>
      </c>
      <c r="E513">
        <v>24</v>
      </c>
      <c r="F513">
        <v>20</v>
      </c>
      <c r="G513">
        <v>1</v>
      </c>
      <c r="H513" s="1">
        <v>1.0532407407407407E-3</v>
      </c>
      <c r="I513" t="s">
        <v>23</v>
      </c>
      <c r="J513" s="2" t="str">
        <f>HYPERLINK("https://www.nba.com/stats/events?CFID=&amp;CFPARAMS=&amp;GameEventID=128&amp;GameID=0022200525&amp;Season=2022-23&amp;flag=1&amp;title=Leonard%2025'%203PT%20%20(11%20PTS)%20(J.%20Wall%203%20AST)", "25' 3PT  (11 PTS) (J. Wall 3 AST)")</f>
        <v>25' 3PT  (11 PTS) (J. Wall 3 AST)</v>
      </c>
      <c r="K513" s="2" t="str">
        <f>HYPERLINK("https://www.nba.com/game/...-vs-...-0022200525/play-by-play?watchFullGame=true", "LAC vs BOS - Q1 01:31.00")</f>
        <v>LAC vs BOS - Q1 01:31.00</v>
      </c>
      <c r="L513">
        <v>25.92</v>
      </c>
      <c r="M513">
        <v>70.25</v>
      </c>
      <c r="N513">
        <v>25</v>
      </c>
      <c r="O513">
        <v>-125</v>
      </c>
      <c r="P513">
        <v>227</v>
      </c>
    </row>
    <row r="514" spans="1:16" x14ac:dyDescent="0.25">
      <c r="A514">
        <v>22200604</v>
      </c>
      <c r="B514">
        <v>2022</v>
      </c>
      <c r="C514" t="s">
        <v>32</v>
      </c>
      <c r="D514" t="s">
        <v>19</v>
      </c>
      <c r="E514">
        <v>56</v>
      </c>
      <c r="F514">
        <v>68</v>
      </c>
      <c r="G514">
        <v>3</v>
      </c>
      <c r="H514" s="1">
        <v>7.8125E-3</v>
      </c>
      <c r="I514" t="s">
        <v>23</v>
      </c>
      <c r="J514" s="2" t="str">
        <f>HYPERLINK("https://www.nba.com/stats/events?CFID=&amp;CFPARAMS=&amp;GameEventID=344&amp;GameID=0022200604&amp;Season=2022-23&amp;flag=1&amp;title=Leonard%2013'%20turnaround%20fadeaway%20Jump%20Shot%20(16%20PTS)%20(N.%20Batum%203%20AST)", "13' turnaround fadeaway Jump Shot (16 PTS) (N. Batum 3 AST)")</f>
        <v>13' turnaround fadeaway Jump Shot (16 PTS) (N. Batum 3 AST)</v>
      </c>
      <c r="K514" s="2" t="str">
        <f>HYPERLINK("https://www.nba.com/game/...-vs-...-0022200604/play-by-play?watchFullGame=true", "LAC vs ATL - Q3 11:15.00")</f>
        <v>LAC vs ATL - Q3 11:15.00</v>
      </c>
      <c r="L514">
        <v>13.08</v>
      </c>
      <c r="M514">
        <v>10.119999999999999</v>
      </c>
      <c r="N514">
        <v>74.73</v>
      </c>
      <c r="O514">
        <v>-124</v>
      </c>
      <c r="P514">
        <v>43</v>
      </c>
    </row>
    <row r="515" spans="1:16" x14ac:dyDescent="0.25">
      <c r="A515">
        <v>22300873</v>
      </c>
      <c r="B515">
        <v>2023</v>
      </c>
      <c r="C515" t="s">
        <v>32</v>
      </c>
      <c r="D515" t="s">
        <v>19</v>
      </c>
      <c r="E515">
        <v>43</v>
      </c>
      <c r="F515">
        <v>47</v>
      </c>
      <c r="G515">
        <v>2</v>
      </c>
      <c r="H515" s="1">
        <v>1.0416666666666667E-3</v>
      </c>
      <c r="I515" t="s">
        <v>23</v>
      </c>
      <c r="J515" s="2" t="str">
        <f>HYPERLINK("https://www.nba.com/stats/events?CFID=&amp;CFPARAMS=&amp;GameEventID=256&amp;GameID=0022300873&amp;Season=2023-24&amp;flag=1&amp;title=Leonard%2013'%20fadeaway%20Jump%20Shot%20(13%20PTS)%20(T.%20Mann%201%20AST)", "13' fadeaway Jump Shot (13 PTS) (T. Mann 1 AST)")</f>
        <v>13' fadeaway Jump Shot (13 PTS) (T. Mann 1 AST)</v>
      </c>
      <c r="K515" s="2" t="str">
        <f>HYPERLINK("https://www.nba.com/game/...-vs-...-0022300873/play-by-play?watchFullGame=true", "LAC vs MIN - Q2 01:30.00")</f>
        <v>LAC vs MIN - Q2 01:30.00</v>
      </c>
      <c r="L515">
        <v>13.9</v>
      </c>
      <c r="M515">
        <v>12.3</v>
      </c>
      <c r="N515">
        <v>74.75</v>
      </c>
      <c r="O515">
        <v>-124</v>
      </c>
      <c r="P515">
        <v>63</v>
      </c>
    </row>
    <row r="516" spans="1:16" x14ac:dyDescent="0.25">
      <c r="A516">
        <v>22200389</v>
      </c>
      <c r="B516">
        <v>2022</v>
      </c>
      <c r="C516" t="s">
        <v>32</v>
      </c>
      <c r="D516" t="s">
        <v>19</v>
      </c>
      <c r="E516">
        <v>10</v>
      </c>
      <c r="F516">
        <v>2</v>
      </c>
      <c r="G516">
        <v>1</v>
      </c>
      <c r="H516" s="1">
        <v>6.6319444444444446E-3</v>
      </c>
      <c r="I516" t="s">
        <v>23</v>
      </c>
      <c r="J516" s="2" t="str">
        <f>HYPERLINK("https://www.nba.com/stats/events?CFID=&amp;CFPARAMS=&amp;GameEventID=24&amp;GameID=0022200389&amp;Season=2022-23&amp;flag=1&amp;title=Leonard%2016'%20Jump%20Shot%20(2%20PTS)", "16' Jump Shot (2 PTS)")</f>
        <v>16' Jump Shot (2 PTS)</v>
      </c>
      <c r="K516" s="2" t="str">
        <f>HYPERLINK("https://www.nba.com/game/...-vs-...-0022200389/play-by-play?watchFullGame=true", "LAC vs WAS - Q1 09:33.00")</f>
        <v>LAC vs WAS - Q1 09:33.00</v>
      </c>
      <c r="L516">
        <v>16.07</v>
      </c>
      <c r="M516">
        <v>83.52</v>
      </c>
      <c r="N516">
        <v>25.25</v>
      </c>
      <c r="O516">
        <v>-124</v>
      </c>
      <c r="P516">
        <v>102</v>
      </c>
    </row>
    <row r="517" spans="1:16" x14ac:dyDescent="0.25">
      <c r="A517">
        <v>21500979</v>
      </c>
      <c r="B517">
        <v>2015</v>
      </c>
      <c r="C517" t="s">
        <v>32</v>
      </c>
      <c r="D517" t="s">
        <v>29</v>
      </c>
      <c r="E517">
        <v>49</v>
      </c>
      <c r="F517">
        <v>51</v>
      </c>
      <c r="G517">
        <v>3</v>
      </c>
      <c r="H517" s="1">
        <v>7.7546296296296295E-3</v>
      </c>
      <c r="I517" t="s">
        <v>18</v>
      </c>
      <c r="J517" s="2" t="str">
        <f>HYPERLINK("https://www.nba.com/stats/events?CFID=&amp;CFPARAMS=&amp;GameEventID=280&amp;GameID=0021500979&amp;Season=2015-16&amp;flag=1&amp;title=Leonard%2018'%20Pullup%20Jump%20Shot%20(15%20PTS)", "Leonard 18' Pullup Jump Shot (15 PTS)")</f>
        <v>Leonard 18' Pullup Jump Shot (15 PTS)</v>
      </c>
      <c r="K517" s="2" t="str">
        <f>HYPERLINK("https://www.nba.com/game/...-vs-...-0021500979/play-by-play?watchFullGame=true", "SAS vs OKC - Q3 11:10.00")</f>
        <v>SAS vs OKC - Q3 11:10.00</v>
      </c>
      <c r="L517">
        <v>18</v>
      </c>
      <c r="M517">
        <v>-124</v>
      </c>
      <c r="N517">
        <v>131</v>
      </c>
      <c r="O517">
        <v>-124</v>
      </c>
      <c r="P517">
        <v>131</v>
      </c>
    </row>
    <row r="518" spans="1:16" x14ac:dyDescent="0.25">
      <c r="A518">
        <v>22200438</v>
      </c>
      <c r="B518">
        <v>2022</v>
      </c>
      <c r="C518" t="s">
        <v>16</v>
      </c>
      <c r="D518" t="s">
        <v>19</v>
      </c>
      <c r="E518">
        <v>37</v>
      </c>
      <c r="F518">
        <v>45</v>
      </c>
      <c r="G518">
        <v>2</v>
      </c>
      <c r="H518" s="1">
        <v>4.31712962962963E-3</v>
      </c>
      <c r="I518" t="s">
        <v>23</v>
      </c>
      <c r="J518" s="2" t="str">
        <f>HYPERLINK("https://www.nba.com/stats/events?CFID=&amp;CFPARAMS=&amp;GameEventID=214&amp;GameID=0022200438&amp;Season=2022-23&amp;flag=1&amp;title=Leonard%2026'%203PT%20running%20(8%20PTS)%20(T.%20Mann%202%20AST)", "26' 3PT running (8 PTS) (T. Mann 2 AST)")</f>
        <v>26' 3PT running (8 PTS) (T. Mann 2 AST)</v>
      </c>
      <c r="K518" s="2" t="str">
        <f>HYPERLINK("https://www.nba.com/game/...-vs-...-0022200438/play-by-play?watchFullGame=true", "LAC vs WAS - Q2 06:13.00")</f>
        <v>LAC vs WAS - Q2 06:13.00</v>
      </c>
      <c r="L518">
        <v>26.74</v>
      </c>
      <c r="M518">
        <v>30.8</v>
      </c>
      <c r="N518">
        <v>74.75</v>
      </c>
      <c r="O518">
        <v>-124</v>
      </c>
      <c r="P518">
        <v>237</v>
      </c>
    </row>
    <row r="519" spans="1:16" x14ac:dyDescent="0.25">
      <c r="A519">
        <v>21600525</v>
      </c>
      <c r="B519">
        <v>2016</v>
      </c>
      <c r="C519" t="s">
        <v>16</v>
      </c>
      <c r="D519" t="s">
        <v>19</v>
      </c>
      <c r="E519">
        <v>29</v>
      </c>
      <c r="F519">
        <v>12</v>
      </c>
      <c r="G519">
        <v>1</v>
      </c>
      <c r="H519" s="1">
        <v>2.638888888888889E-3</v>
      </c>
      <c r="I519" t="s">
        <v>18</v>
      </c>
      <c r="J519" s="2" t="str">
        <f>HYPERLINK("https://www.nba.com/stats/events?CFID=&amp;CFPARAMS=&amp;GameEventID=71&amp;GameID=0021600525&amp;Season=2016-17&amp;flag=1&amp;title=Leonard%2027'%203PT%20Jump%20Shot%20(13%20PTS)%20(Ginobili%201%20AST)", "Leonard 27' 3PT Jump Shot (13 PTS) (Ginobili 1 AST)")</f>
        <v>Leonard 27' 3PT Jump Shot (13 PTS) (Ginobili 1 AST)</v>
      </c>
      <c r="K519" s="2" t="str">
        <f>HYPERLINK("https://www.nba.com/game/...-vs-...-0021600525/play-by-play?watchFullGame=true", "SAS vs TOR - Q1 03:48.00")</f>
        <v>SAS vs TOR - Q1 03:48.00</v>
      </c>
      <c r="L519">
        <v>27</v>
      </c>
      <c r="M519">
        <v>-124</v>
      </c>
      <c r="N519">
        <v>244</v>
      </c>
      <c r="O519">
        <v>-124</v>
      </c>
      <c r="P519">
        <v>244</v>
      </c>
    </row>
    <row r="520" spans="1:16" x14ac:dyDescent="0.25">
      <c r="A520">
        <v>21300952</v>
      </c>
      <c r="B520">
        <v>2013</v>
      </c>
      <c r="C520" t="s">
        <v>32</v>
      </c>
      <c r="D520" t="s">
        <v>19</v>
      </c>
      <c r="E520">
        <v>6</v>
      </c>
      <c r="F520">
        <v>15</v>
      </c>
      <c r="G520">
        <v>1</v>
      </c>
      <c r="H520" s="1">
        <v>4.9189814814814816E-3</v>
      </c>
      <c r="I520" t="s">
        <v>18</v>
      </c>
      <c r="J520" s="2" t="str">
        <f>HYPERLINK("https://www.nba.com/stats/events?CFID=&amp;CFPARAMS=&amp;GameEventID=32&amp;GameID=0021300952&amp;Season=2013-14&amp;flag=1&amp;title=Leonard%2012'%20Jump%20Shot%20(5%20PTS)%20(Parker%203%20AST)", "Leonard 12' Jump Shot (5 PTS) (Parker 3 AST)")</f>
        <v>Leonard 12' Jump Shot (5 PTS) (Parker 3 AST)</v>
      </c>
      <c r="K520" s="2" t="str">
        <f>HYPERLINK("https://www.nba.com/game/...-vs-...-0021300952/play-by-play?watchFullGame=true", "SAS vs CHI - Q1 07:05.00")</f>
        <v>SAS vs CHI - Q1 07:05.00</v>
      </c>
      <c r="L520">
        <v>12</v>
      </c>
      <c r="M520">
        <v>-123</v>
      </c>
      <c r="N520">
        <v>-2</v>
      </c>
      <c r="O520">
        <v>-123</v>
      </c>
      <c r="P520">
        <v>-2</v>
      </c>
    </row>
    <row r="521" spans="1:16" x14ac:dyDescent="0.25">
      <c r="A521">
        <v>21401098</v>
      </c>
      <c r="B521">
        <v>2014</v>
      </c>
      <c r="C521" t="s">
        <v>32</v>
      </c>
      <c r="D521" t="s">
        <v>19</v>
      </c>
      <c r="E521">
        <v>43</v>
      </c>
      <c r="F521">
        <v>39</v>
      </c>
      <c r="G521">
        <v>2</v>
      </c>
      <c r="H521" s="1">
        <v>2.4537037037037036E-3</v>
      </c>
      <c r="I521" t="s">
        <v>18</v>
      </c>
      <c r="J521" s="2" t="str">
        <f>HYPERLINK("https://www.nba.com/stats/events?CFID=&amp;CFPARAMS=&amp;GameEventID=200&amp;GameID=0021401098&amp;Season=2014-15&amp;flag=1&amp;title=Leonard%2012'%20Jump%20Shot%20(8%20PTS)", "Leonard 12' Jump Shot (8 PTS)")</f>
        <v>Leonard 12' Jump Shot (8 PTS)</v>
      </c>
      <c r="K521" s="2" t="str">
        <f>HYPERLINK("https://www.nba.com/game/...-vs-...-0021401098/play-by-play?watchFullGame=true", "SAS vs MEM - Q2 03:32.00")</f>
        <v>SAS vs MEM - Q2 03:32.00</v>
      </c>
      <c r="L521">
        <v>12</v>
      </c>
      <c r="M521">
        <v>-123</v>
      </c>
      <c r="N521">
        <v>6</v>
      </c>
      <c r="O521">
        <v>-123</v>
      </c>
      <c r="P521">
        <v>6</v>
      </c>
    </row>
    <row r="522" spans="1:16" x14ac:dyDescent="0.25">
      <c r="A522">
        <v>22000736</v>
      </c>
      <c r="B522">
        <v>2020</v>
      </c>
      <c r="C522" t="s">
        <v>32</v>
      </c>
      <c r="D522" t="s">
        <v>19</v>
      </c>
      <c r="E522">
        <v>51</v>
      </c>
      <c r="F522">
        <v>67</v>
      </c>
      <c r="G522">
        <v>3</v>
      </c>
      <c r="H522" s="1">
        <v>6.4236111111111108E-3</v>
      </c>
      <c r="I522" t="s">
        <v>23</v>
      </c>
      <c r="J522" s="2" t="str">
        <f>HYPERLINK("https://www.nba.com/stats/events?CFID=&amp;CFPARAMS=&amp;GameEventID=326&amp;GameID=0022000736&amp;Season=2020-21&amp;flag=1&amp;title=Leonard%2012'%20turnaround%20Jump%20Shot%20(11%20PTS)", "12' turnaround Jump Shot (11 PTS)")</f>
        <v>12' turnaround Jump Shot (11 PTS)</v>
      </c>
      <c r="K522" s="2" t="str">
        <f>HYPERLINK("https://www.nba.com/game/...-vs-...-0022000736/play-by-play?watchFullGame=true", "LAC vs DEN - Q3 09:15.00")</f>
        <v>LAC vs DEN - Q3 09:15.00</v>
      </c>
      <c r="L522">
        <v>12.84</v>
      </c>
      <c r="M522">
        <v>9.5399999999999991</v>
      </c>
      <c r="N522">
        <v>74.58</v>
      </c>
      <c r="O522">
        <v>-123</v>
      </c>
      <c r="P522">
        <v>37</v>
      </c>
    </row>
    <row r="523" spans="1:16" x14ac:dyDescent="0.25">
      <c r="A523">
        <v>41200312</v>
      </c>
      <c r="B523" t="s">
        <v>27</v>
      </c>
      <c r="C523" t="s">
        <v>32</v>
      </c>
      <c r="D523" t="s">
        <v>29</v>
      </c>
      <c r="E523">
        <v>63</v>
      </c>
      <c r="F523">
        <v>48</v>
      </c>
      <c r="G523">
        <v>3</v>
      </c>
      <c r="H523" s="1">
        <v>3.9351851851851848E-3</v>
      </c>
      <c r="I523" t="s">
        <v>18</v>
      </c>
      <c r="J523" s="2" t="str">
        <f>HYPERLINK("https://www.nba.com/stats/events?CFID=&amp;CFPARAMS=&amp;GameEventID=324&amp;GameID=0041200312&amp;Season=2012-13&amp;flag=1&amp;title=Leonard%2013'%20Pullup%20Jump%20Shot%20(12%20PTS)%20(Parker%2014%20AST)", "Leonard 13' Pullup Jump Shot (12 PTS) (Parker 14 AST)")</f>
        <v>Leonard 13' Pullup Jump Shot (12 PTS) (Parker 14 AST)</v>
      </c>
      <c r="K523" s="2" t="str">
        <f>HYPERLINK("https://www.nba.com/game/...-vs-...-0041200312/play-by-play?watchFullGame=true", "SAS vs MEM - Q3 05:40.00")</f>
        <v>SAS vs MEM - Q3 05:40.00</v>
      </c>
      <c r="L523">
        <v>13</v>
      </c>
      <c r="M523">
        <v>-123</v>
      </c>
      <c r="N523">
        <v>37</v>
      </c>
      <c r="O523">
        <v>-123</v>
      </c>
      <c r="P523">
        <v>37</v>
      </c>
    </row>
    <row r="524" spans="1:16" x14ac:dyDescent="0.25">
      <c r="A524">
        <v>22000799</v>
      </c>
      <c r="B524">
        <v>2020</v>
      </c>
      <c r="C524" t="s">
        <v>32</v>
      </c>
      <c r="D524" t="s">
        <v>19</v>
      </c>
      <c r="E524">
        <v>89</v>
      </c>
      <c r="F524">
        <v>74</v>
      </c>
      <c r="G524">
        <v>3</v>
      </c>
      <c r="H524" s="1">
        <v>1.3078703703703703E-3</v>
      </c>
      <c r="I524" t="s">
        <v>23</v>
      </c>
      <c r="J524" s="2" t="str">
        <f>HYPERLINK("https://www.nba.com/stats/events?CFID=&amp;CFPARAMS=&amp;GameEventID=477&amp;GameID=0022000799&amp;Season=2020-21&amp;flag=1&amp;title=Leonard%2016'%20pullup%20Jump%20Shot%20(21%20PTS)", "16' pullup Jump Shot (21 PTS)")</f>
        <v>16' pullup Jump Shot (21 PTS)</v>
      </c>
      <c r="K524" s="2" t="str">
        <f>HYPERLINK("https://www.nba.com/game/...-vs-...-0022000799/play-by-play?watchFullGame=true", "LAC vs HOU - Q3 01:53.00")</f>
        <v>LAC vs HOU - Q3 01:53.00</v>
      </c>
      <c r="L524">
        <v>16.329999999999998</v>
      </c>
      <c r="M524">
        <v>17.03</v>
      </c>
      <c r="N524">
        <v>74.58</v>
      </c>
      <c r="O524">
        <v>-123</v>
      </c>
      <c r="P524">
        <v>108</v>
      </c>
    </row>
    <row r="525" spans="1:16" x14ac:dyDescent="0.25">
      <c r="A525">
        <v>41200235</v>
      </c>
      <c r="B525" t="s">
        <v>27</v>
      </c>
      <c r="C525" t="s">
        <v>32</v>
      </c>
      <c r="D525" t="s">
        <v>19</v>
      </c>
      <c r="E525">
        <v>10</v>
      </c>
      <c r="F525">
        <v>11</v>
      </c>
      <c r="G525">
        <v>1</v>
      </c>
      <c r="H525" s="1">
        <v>5.092592592592593E-3</v>
      </c>
      <c r="I525" t="s">
        <v>18</v>
      </c>
      <c r="J525" s="2" t="str">
        <f>HYPERLINK("https://www.nba.com/stats/events?CFID=&amp;CFPARAMS=&amp;GameEventID=39&amp;GameID=0041200235&amp;Season=2012-13&amp;flag=1&amp;title=Leonard%2017'%20Jump%20Shot%20(2%20PTS)%20(Parker%202%20AST)", "Leonard 17' Jump Shot (2 PTS) (Parker 2 AST)")</f>
        <v>Leonard 17' Jump Shot (2 PTS) (Parker 2 AST)</v>
      </c>
      <c r="K525" s="2" t="str">
        <f>HYPERLINK("https://www.nba.com/game/...-vs-...-0041200235/play-by-play?watchFullGame=true", "SAS vs GSW - Q1 07:20.00")</f>
        <v>SAS vs GSW - Q1 07:20.00</v>
      </c>
      <c r="L525">
        <v>17</v>
      </c>
      <c r="M525">
        <v>-123</v>
      </c>
      <c r="N525">
        <v>119</v>
      </c>
      <c r="O525">
        <v>-123</v>
      </c>
      <c r="P525">
        <v>119</v>
      </c>
    </row>
    <row r="526" spans="1:16" x14ac:dyDescent="0.25">
      <c r="A526">
        <v>22300865</v>
      </c>
      <c r="B526">
        <v>2023</v>
      </c>
      <c r="C526" t="s">
        <v>32</v>
      </c>
      <c r="D526" t="s">
        <v>19</v>
      </c>
      <c r="E526">
        <v>19</v>
      </c>
      <c r="F526">
        <v>14</v>
      </c>
      <c r="G526">
        <v>1</v>
      </c>
      <c r="H526" s="1">
        <v>3.6689814814814814E-3</v>
      </c>
      <c r="I526" t="s">
        <v>23</v>
      </c>
      <c r="J526" s="2" t="str">
        <f>HYPERLINK("https://www.nba.com/stats/events?CFID=&amp;CFPARAMS=&amp;GameEventID=75&amp;GameID=0022300865&amp;Season=2023-24&amp;flag=1&amp;title=Leonard%2017'%20Jump%20Shot%20(2%20PTS)%20(P.%20George%201%20AST)", "17' Jump Shot (2 PTS) (P. George 1 AST)")</f>
        <v>17' Jump Shot (2 PTS) (P. George 1 AST)</v>
      </c>
      <c r="K526" s="2" t="str">
        <f>HYPERLINK("https://www.nba.com/game/...-vs-...-0022300865/play-by-play?watchFullGame=true", "LAC vs WAS - Q1 05:17.00")</f>
        <v>LAC vs WAS - Q1 05:17.00</v>
      </c>
      <c r="L526">
        <v>17.149999999999999</v>
      </c>
      <c r="M526">
        <v>81.650000000000006</v>
      </c>
      <c r="N526">
        <v>25.49</v>
      </c>
      <c r="O526">
        <v>-123</v>
      </c>
      <c r="P526">
        <v>120</v>
      </c>
    </row>
    <row r="527" spans="1:16" x14ac:dyDescent="0.25">
      <c r="A527">
        <v>21900603</v>
      </c>
      <c r="B527">
        <v>2019</v>
      </c>
      <c r="C527" t="s">
        <v>16</v>
      </c>
      <c r="D527" t="s">
        <v>22</v>
      </c>
      <c r="E527">
        <v>17</v>
      </c>
      <c r="F527">
        <v>14</v>
      </c>
      <c r="G527">
        <v>1</v>
      </c>
      <c r="H527" s="1">
        <v>4.6643518518518518E-3</v>
      </c>
      <c r="I527" t="s">
        <v>23</v>
      </c>
      <c r="J527" s="2" t="str">
        <f>HYPERLINK("https://www.nba.com/stats/events?CFID=&amp;CFPARAMS=&amp;GameEventID=67&amp;GameID=0021900603&amp;Season=2019-20&amp;flag=1&amp;title=Leonard%2027'%203PT%20%20(7%20PTS)%20(P.%20Beverley%204%20AST)", "27' 3PT  (7 PTS) (P. Beverley 4 AST)")</f>
        <v>27' 3PT  (7 PTS) (P. Beverley 4 AST)</v>
      </c>
      <c r="K527" s="2" t="str">
        <f>HYPERLINK("https://www.nba.com/game/...-vs-...-0021900603/play-by-play?watchFullGame=true", "LAC vs CLE - Q1 06:43.00")</f>
        <v>LAC vs CLE - Q1 06:43.00</v>
      </c>
      <c r="L527">
        <v>27.43</v>
      </c>
      <c r="M527">
        <v>31.06</v>
      </c>
      <c r="N527">
        <v>74.69</v>
      </c>
      <c r="O527">
        <v>-123</v>
      </c>
      <c r="P527">
        <v>239</v>
      </c>
    </row>
    <row r="528" spans="1:16" x14ac:dyDescent="0.25">
      <c r="A528">
        <v>21501001</v>
      </c>
      <c r="B528">
        <v>2015</v>
      </c>
      <c r="C528" t="s">
        <v>32</v>
      </c>
      <c r="D528" t="s">
        <v>19</v>
      </c>
      <c r="E528">
        <v>35</v>
      </c>
      <c r="F528">
        <v>26</v>
      </c>
      <c r="G528">
        <v>2</v>
      </c>
      <c r="H528" s="1">
        <v>4.4444444444444444E-3</v>
      </c>
      <c r="I528" t="s">
        <v>18</v>
      </c>
      <c r="J528" s="2" t="str">
        <f>HYPERLINK("https://www.nba.com/stats/events?CFID=&amp;CFPARAMS=&amp;GameEventID=175&amp;GameID=0021501001&amp;Season=2015-16&amp;flag=1&amp;title=Leonard%2012'%20Jump%20Shot%20(8%20PTS)", "Leonard 12' Jump Shot (8 PTS)")</f>
        <v>Leonard 12' Jump Shot (8 PTS)</v>
      </c>
      <c r="K528" s="2" t="str">
        <f>HYPERLINK("https://www.nba.com/game/...-vs-...-0021501001/play-by-play?watchFullGame=true", "SAS vs LAC - Q2 06:24.00")</f>
        <v>SAS vs LAC - Q2 06:24.00</v>
      </c>
      <c r="L528">
        <v>12</v>
      </c>
      <c r="M528">
        <v>-122</v>
      </c>
      <c r="N528">
        <v>3</v>
      </c>
      <c r="O528">
        <v>-122</v>
      </c>
      <c r="P528">
        <v>3</v>
      </c>
    </row>
    <row r="529" spans="1:16" x14ac:dyDescent="0.25">
      <c r="A529">
        <v>21300514</v>
      </c>
      <c r="B529">
        <v>2013</v>
      </c>
      <c r="C529" t="s">
        <v>16</v>
      </c>
      <c r="D529" t="s">
        <v>19</v>
      </c>
      <c r="E529">
        <v>10</v>
      </c>
      <c r="F529">
        <v>16</v>
      </c>
      <c r="G529">
        <v>1</v>
      </c>
      <c r="H529" s="1">
        <v>4.1435185185185186E-3</v>
      </c>
      <c r="I529" t="s">
        <v>18</v>
      </c>
      <c r="J529" s="2" t="str">
        <f>HYPERLINK("https://www.nba.com/stats/events?CFID=&amp;CFPARAMS=&amp;GameEventID=41&amp;GameID=0021300514&amp;Season=2013-14&amp;flag=1&amp;title=Leonard%2024'%203PT%20Jump%20Shot%20(5%20PTS)%20(Parker%203%20AST)", "Leonard 24' 3PT Jump Shot (5 PTS) (Parker 3 AST)")</f>
        <v>Leonard 24' 3PT Jump Shot (5 PTS) (Parker 3 AST)</v>
      </c>
      <c r="K529" s="2" t="str">
        <f>HYPERLINK("https://www.nba.com/game/...-vs-...-0021300514/play-by-play?watchFullGame=true", "SAS vs MEM - Q1 05:58.00")</f>
        <v>SAS vs MEM - Q1 05:58.00</v>
      </c>
      <c r="L529">
        <v>24</v>
      </c>
      <c r="M529">
        <v>-122</v>
      </c>
      <c r="N529">
        <v>205</v>
      </c>
      <c r="O529">
        <v>-122</v>
      </c>
      <c r="P529">
        <v>205</v>
      </c>
    </row>
    <row r="530" spans="1:16" x14ac:dyDescent="0.25">
      <c r="A530">
        <v>21301127</v>
      </c>
      <c r="B530">
        <v>2013</v>
      </c>
      <c r="C530" t="s">
        <v>16</v>
      </c>
      <c r="D530" t="s">
        <v>19</v>
      </c>
      <c r="E530">
        <v>69</v>
      </c>
      <c r="F530">
        <v>63</v>
      </c>
      <c r="G530">
        <v>3</v>
      </c>
      <c r="H530" s="1">
        <v>2.7083333333333334E-3</v>
      </c>
      <c r="I530" t="s">
        <v>18</v>
      </c>
      <c r="J530" s="2" t="str">
        <f>HYPERLINK("https://www.nba.com/stats/events?CFID=&amp;CFPARAMS=&amp;GameEventID=344&amp;GameID=0021301127&amp;Season=2013-14&amp;flag=1&amp;title=Leonard%2025'%203PT%20Jump%20Shot%20(9%20PTS)", "Leonard 25' 3PT Jump Shot (9 PTS)")</f>
        <v>Leonard 25' 3PT Jump Shot (9 PTS)</v>
      </c>
      <c r="K530" s="2" t="str">
        <f>HYPERLINK("https://www.nba.com/game/...-vs-...-0021301127/play-by-play?watchFullGame=true", "SAS vs OKC - Q3 03:54.00")</f>
        <v>SAS vs OKC - Q3 03:54.00</v>
      </c>
      <c r="L530">
        <v>25</v>
      </c>
      <c r="M530">
        <v>-122</v>
      </c>
      <c r="N530">
        <v>216</v>
      </c>
      <c r="O530">
        <v>-122</v>
      </c>
      <c r="P530">
        <v>216</v>
      </c>
    </row>
    <row r="531" spans="1:16" x14ac:dyDescent="0.25">
      <c r="A531">
        <v>21900035</v>
      </c>
      <c r="B531">
        <v>2019</v>
      </c>
      <c r="C531" t="s">
        <v>32</v>
      </c>
      <c r="D531" t="s">
        <v>22</v>
      </c>
      <c r="E531">
        <v>112</v>
      </c>
      <c r="F531">
        <v>100</v>
      </c>
      <c r="G531">
        <v>4</v>
      </c>
      <c r="H531" s="1">
        <v>3.9930555555555552E-3</v>
      </c>
      <c r="I531" t="s">
        <v>23</v>
      </c>
      <c r="J531" s="2" t="str">
        <f>HYPERLINK("https://www.nba.com/stats/events?CFID=&amp;CFPARAMS=&amp;GameEventID=666&amp;GameID=0021900035&amp;Season=2019-20&amp;flag=1&amp;title=[LAC]%20Leonard%20jumpshot:%20Made%20(21%20PTS)%20assist:%20Patterson%20(1%20AST)", "[LAC] Leonard jumpshot: Made (21 PTS) assist: Patterson (1 AST)")</f>
        <v>[LAC] Leonard jumpshot: Made (21 PTS) assist: Patterson (1 AST)</v>
      </c>
      <c r="K531" s="2" t="str">
        <f>HYPERLINK("https://www.nba.com/game/...-vs-...-0021900035/play-by-play?watchFullGame=true", "LAC vs PHX - Q4 05:45.00")</f>
        <v>LAC vs PHX - Q4 05:45.00</v>
      </c>
      <c r="L531">
        <v>15.04</v>
      </c>
      <c r="M531">
        <v>85.5</v>
      </c>
      <c r="N531">
        <v>25.8</v>
      </c>
      <c r="O531">
        <v>-121</v>
      </c>
      <c r="P531">
        <v>84</v>
      </c>
    </row>
    <row r="532" spans="1:16" x14ac:dyDescent="0.25">
      <c r="A532">
        <v>21900339</v>
      </c>
      <c r="B532">
        <v>2019</v>
      </c>
      <c r="C532" t="s">
        <v>32</v>
      </c>
      <c r="D532" t="s">
        <v>22</v>
      </c>
      <c r="E532">
        <v>64</v>
      </c>
      <c r="F532">
        <v>67</v>
      </c>
      <c r="G532">
        <v>3</v>
      </c>
      <c r="H532" s="1">
        <v>8.1828703703703699E-3</v>
      </c>
      <c r="I532" t="s">
        <v>23</v>
      </c>
      <c r="J532" s="2" t="str">
        <f>HYPERLINK("https://www.nba.com/stats/events?CFID=&amp;CFPARAMS=&amp;GameEventID=381&amp;GameID=0021900339&amp;Season=2019-20&amp;flag=1&amp;title=Leonard%2020'%20jumpshot%20(17%20PTS)", "20' jumpshot (17 PTS)")</f>
        <v>20' jumpshot (17 PTS)</v>
      </c>
      <c r="K532" s="2" t="str">
        <f>HYPERLINK("https://www.nba.com/game/...-vs-...-0021900339/play-by-play?watchFullGame=true", "LAC vs WAS - Q3 11:47.00")</f>
        <v>LAC vs WAS - Q3 11:47.00</v>
      </c>
      <c r="L532">
        <v>20.239999999999998</v>
      </c>
      <c r="M532">
        <v>22.26</v>
      </c>
      <c r="N532">
        <v>74.2</v>
      </c>
      <c r="O532">
        <v>-121</v>
      </c>
      <c r="P532">
        <v>157</v>
      </c>
    </row>
    <row r="533" spans="1:16" x14ac:dyDescent="0.25">
      <c r="A533">
        <v>41800212</v>
      </c>
      <c r="B533" t="s">
        <v>20</v>
      </c>
      <c r="C533" t="s">
        <v>16</v>
      </c>
      <c r="D533" t="s">
        <v>17</v>
      </c>
      <c r="E533">
        <v>41</v>
      </c>
      <c r="F533">
        <v>51</v>
      </c>
      <c r="G533">
        <v>3</v>
      </c>
      <c r="H533" s="1">
        <v>7.4189814814814813E-3</v>
      </c>
      <c r="I533" t="s">
        <v>21</v>
      </c>
      <c r="J533" s="2" t="str">
        <f>HYPERLINK("https://www.nba.com/stats/events?CFID=&amp;CFPARAMS=&amp;GameEventID=348&amp;GameID=0041800212&amp;Season=2018-19&amp;flag=1&amp;title=Leonard%2027'%203PT%20Running%20Jump%20Shot%20(18%20PTS)%20(Siakam%202%20AST)", "Leonard 27' 3PT Running Jump Shot (18 PTS) (Siakam 2 AST)")</f>
        <v>Leonard 27' 3PT Running Jump Shot (18 PTS) (Siakam 2 AST)</v>
      </c>
      <c r="K533" s="2" t="str">
        <f>HYPERLINK("https://www.nba.com/game/...-vs-...-0041800212/play-by-play?watchFullGame=true", "TOR vs PHI - Q3 10:41.00")</f>
        <v>TOR vs PHI - Q3 10:41.00</v>
      </c>
      <c r="L533">
        <v>27</v>
      </c>
      <c r="M533">
        <v>-121</v>
      </c>
      <c r="N533">
        <v>244</v>
      </c>
      <c r="O533">
        <v>-121</v>
      </c>
      <c r="P533">
        <v>244</v>
      </c>
    </row>
    <row r="534" spans="1:16" x14ac:dyDescent="0.25">
      <c r="A534">
        <v>21400249</v>
      </c>
      <c r="B534">
        <v>2014</v>
      </c>
      <c r="C534" t="s">
        <v>32</v>
      </c>
      <c r="D534" t="s">
        <v>31</v>
      </c>
      <c r="E534">
        <v>33</v>
      </c>
      <c r="F534">
        <v>53</v>
      </c>
      <c r="G534">
        <v>2</v>
      </c>
      <c r="H534" s="1">
        <v>2.5694444444444445E-3</v>
      </c>
      <c r="I534" t="s">
        <v>18</v>
      </c>
      <c r="J534" s="2" t="str">
        <f>HYPERLINK("https://www.nba.com/stats/events?CFID=&amp;CFPARAMS=&amp;GameEventID=224&amp;GameID=0021400249&amp;Season=2014-15&amp;flag=1&amp;title=Leonard%2012'%20Step%20Back%20Jump%20Shot%20(15%20PTS)", "Leonard 12' Step Back Jump Shot (15 PTS)")</f>
        <v>Leonard 12' Step Back Jump Shot (15 PTS)</v>
      </c>
      <c r="K534" s="2" t="str">
        <f>HYPERLINK("https://www.nba.com/game/...-vs-...-0021400249/play-by-play?watchFullGame=true", "SAS vs PHI - Q2 03:42.00")</f>
        <v>SAS vs PHI - Q2 03:42.00</v>
      </c>
      <c r="L534">
        <v>12</v>
      </c>
      <c r="M534">
        <v>-120</v>
      </c>
      <c r="N534">
        <v>-13</v>
      </c>
      <c r="O534">
        <v>-120</v>
      </c>
      <c r="P534">
        <v>-13</v>
      </c>
    </row>
    <row r="535" spans="1:16" x14ac:dyDescent="0.25">
      <c r="A535">
        <v>21401181</v>
      </c>
      <c r="B535">
        <v>2014</v>
      </c>
      <c r="C535" t="s">
        <v>32</v>
      </c>
      <c r="D535" t="s">
        <v>24</v>
      </c>
      <c r="E535">
        <v>21</v>
      </c>
      <c r="F535">
        <v>12</v>
      </c>
      <c r="G535">
        <v>1</v>
      </c>
      <c r="H535" s="1">
        <v>2.9513888888888888E-3</v>
      </c>
      <c r="I535" t="s">
        <v>18</v>
      </c>
      <c r="J535" s="2" t="str">
        <f>HYPERLINK("https://www.nba.com/stats/events?CFID=&amp;CFPARAMS=&amp;GameEventID=92&amp;GameID=0021401181&amp;Season=2014-15&amp;flag=1&amp;title=Leonard%2012'%20Turnaround%20Jump%20Shot%20(2%20PTS)", "Leonard 12' Turnaround Jump Shot (2 PTS)")</f>
        <v>Leonard 12' Turnaround Jump Shot (2 PTS)</v>
      </c>
      <c r="K535" s="2" t="str">
        <f>HYPERLINK("https://www.nba.com/game/...-vs-...-0021401181/play-by-play?watchFullGame=true", "SAS vs HOU - Q1 04:15.00")</f>
        <v>SAS vs HOU - Q1 04:15.00</v>
      </c>
      <c r="L535">
        <v>12</v>
      </c>
      <c r="M535">
        <v>-120</v>
      </c>
      <c r="N535">
        <v>30</v>
      </c>
      <c r="O535">
        <v>-120</v>
      </c>
      <c r="P535">
        <v>30</v>
      </c>
    </row>
    <row r="536" spans="1:16" x14ac:dyDescent="0.25">
      <c r="A536">
        <v>22400733</v>
      </c>
      <c r="B536">
        <v>2024</v>
      </c>
      <c r="C536" t="s">
        <v>32</v>
      </c>
      <c r="D536" t="s">
        <v>19</v>
      </c>
      <c r="E536">
        <v>92</v>
      </c>
      <c r="F536">
        <v>90</v>
      </c>
      <c r="G536">
        <v>4</v>
      </c>
      <c r="H536" s="1">
        <v>6.7708333333333336E-3</v>
      </c>
      <c r="I536" t="s">
        <v>23</v>
      </c>
      <c r="J536" s="2" t="str">
        <f>HYPERLINK("https://www.nba.com/stats/events?CFID=&amp;CFPARAMS=&amp;GameEventID=507&amp;GameID=0022400733&amp;Season=2024-25&amp;flag=1&amp;title=Leonard%2012'%20turnaround%20fadeaway%20Jump%20Shot%20(10%20PTS)", "12' turnaround fadeaway Jump Shot (10 PTS)")</f>
        <v>12' turnaround fadeaway Jump Shot (10 PTS)</v>
      </c>
      <c r="K536" s="2" t="str">
        <f>HYPERLINK("https://www.nba.com/game/...-vs-...-0022400733/play-by-play?watchFullGame=true", "LAC vs IND - Q4 09:45.00")</f>
        <v>LAC vs IND - Q4 09:45.00</v>
      </c>
      <c r="L536">
        <v>12.47</v>
      </c>
      <c r="M536">
        <v>9.15</v>
      </c>
      <c r="N536">
        <v>74.02</v>
      </c>
      <c r="O536">
        <v>-120</v>
      </c>
      <c r="P536">
        <v>34</v>
      </c>
    </row>
    <row r="537" spans="1:16" x14ac:dyDescent="0.25">
      <c r="A537">
        <v>21400241</v>
      </c>
      <c r="B537">
        <v>2014</v>
      </c>
      <c r="C537" t="s">
        <v>32</v>
      </c>
      <c r="D537" t="s">
        <v>19</v>
      </c>
      <c r="E537">
        <v>38</v>
      </c>
      <c r="F537">
        <v>34</v>
      </c>
      <c r="G537">
        <v>2</v>
      </c>
      <c r="H537" s="1">
        <v>3.3796296296296296E-3</v>
      </c>
      <c r="I537" t="s">
        <v>18</v>
      </c>
      <c r="J537" s="2" t="str">
        <f>HYPERLINK("https://www.nba.com/stats/events?CFID=&amp;CFPARAMS=&amp;GameEventID=173&amp;GameID=0021400241&amp;Season=2014-15&amp;flag=1&amp;title=Leonard%2014'%20Jump%20Shot%20(5%20PTS)%20(Diaw%203%20AST)", "Leonard 14' Jump Shot (5 PTS) (Diaw 3 AST)")</f>
        <v>Leonard 14' Jump Shot (5 PTS) (Diaw 3 AST)</v>
      </c>
      <c r="K537" s="2" t="str">
        <f>HYPERLINK("https://www.nba.com/game/...-vs-...-0021400241/play-by-play?watchFullGame=true", "SAS vs BOS - Q2 04:52.00")</f>
        <v>SAS vs BOS - Q2 04:52.00</v>
      </c>
      <c r="L537">
        <v>14</v>
      </c>
      <c r="M537">
        <v>-120</v>
      </c>
      <c r="N537">
        <v>77</v>
      </c>
      <c r="O537">
        <v>-120</v>
      </c>
      <c r="P537">
        <v>77</v>
      </c>
    </row>
    <row r="538" spans="1:16" x14ac:dyDescent="0.25">
      <c r="A538">
        <v>21501036</v>
      </c>
      <c r="B538">
        <v>2015</v>
      </c>
      <c r="C538" t="s">
        <v>16</v>
      </c>
      <c r="D538" t="s">
        <v>19</v>
      </c>
      <c r="E538">
        <v>46</v>
      </c>
      <c r="F538">
        <v>40</v>
      </c>
      <c r="G538">
        <v>3</v>
      </c>
      <c r="H538" s="1">
        <v>7.3032407407407404E-3</v>
      </c>
      <c r="I538" t="s">
        <v>18</v>
      </c>
      <c r="J538" s="2" t="str">
        <f>HYPERLINK("https://www.nba.com/stats/events?CFID=&amp;CFPARAMS=&amp;GameEventID=250&amp;GameID=0021501036&amp;Season=2015-16&amp;flag=1&amp;title=Leonard%2025'%203PT%20Jump%20Shot%20(15%20PTS)%20(Parker%203%20AST)", "Leonard 25' 3PT Jump Shot (15 PTS) (Parker 3 AST)")</f>
        <v>Leonard 25' 3PT Jump Shot (15 PTS) (Parker 3 AST)</v>
      </c>
      <c r="K538" s="2" t="str">
        <f>HYPERLINK("https://www.nba.com/game/...-vs-...-0021501036/play-by-play?watchFullGame=true", "SAS vs GSW - Q3 10:31.00")</f>
        <v>SAS vs GSW - Q3 10:31.00</v>
      </c>
      <c r="L538">
        <v>25</v>
      </c>
      <c r="M538">
        <v>-120</v>
      </c>
      <c r="N538">
        <v>214</v>
      </c>
      <c r="O538">
        <v>-120</v>
      </c>
      <c r="P538">
        <v>214</v>
      </c>
    </row>
    <row r="539" spans="1:16" x14ac:dyDescent="0.25">
      <c r="A539">
        <v>21500713</v>
      </c>
      <c r="B539">
        <v>2015</v>
      </c>
      <c r="C539" t="s">
        <v>16</v>
      </c>
      <c r="D539" t="s">
        <v>19</v>
      </c>
      <c r="E539">
        <v>115</v>
      </c>
      <c r="F539">
        <v>98</v>
      </c>
      <c r="G539">
        <v>4</v>
      </c>
      <c r="H539" s="1">
        <v>2.2916666666666667E-3</v>
      </c>
      <c r="I539" t="s">
        <v>18</v>
      </c>
      <c r="J539" s="2" t="str">
        <f>HYPERLINK("https://www.nba.com/stats/events?CFID=&amp;CFPARAMS=&amp;GameEventID=478&amp;GameID=0021500713&amp;Season=2015-16&amp;flag=1&amp;title=Leonard%2025'%203PT%20Jump%20Shot%20(24%20PTS)", "Leonard 25' 3PT Jump Shot (24 PTS)")</f>
        <v>Leonard 25' 3PT Jump Shot (24 PTS)</v>
      </c>
      <c r="K539" s="2" t="str">
        <f>HYPERLINK("https://www.nba.com/game/...-vs-...-0021500713/play-by-play?watchFullGame=true", "SAS vs CLE - Q4 03:18.00")</f>
        <v>SAS vs CLE - Q4 03:18.00</v>
      </c>
      <c r="L539">
        <v>25</v>
      </c>
      <c r="M539">
        <v>-120</v>
      </c>
      <c r="N539">
        <v>223</v>
      </c>
      <c r="O539">
        <v>-120</v>
      </c>
      <c r="P539">
        <v>223</v>
      </c>
    </row>
    <row r="540" spans="1:16" x14ac:dyDescent="0.25">
      <c r="A540">
        <v>21600353</v>
      </c>
      <c r="B540">
        <v>2016</v>
      </c>
      <c r="C540" t="s">
        <v>16</v>
      </c>
      <c r="D540" t="s">
        <v>19</v>
      </c>
      <c r="E540">
        <v>27</v>
      </c>
      <c r="F540">
        <v>20</v>
      </c>
      <c r="G540">
        <v>1</v>
      </c>
      <c r="H540" s="1">
        <v>2.5810185185185185E-3</v>
      </c>
      <c r="I540" t="s">
        <v>18</v>
      </c>
      <c r="J540" s="2" t="str">
        <f>HYPERLINK("https://www.nba.com/stats/events?CFID=&amp;CFPARAMS=&amp;GameEventID=61&amp;GameID=0021600353&amp;Season=2016-17&amp;flag=1&amp;title=Leonard%2026'%203PT%20Jump%20Shot%20(9%20PTS)%20(Mills%201%20AST)", "Leonard 26' 3PT Jump Shot (9 PTS) (Mills 1 AST)")</f>
        <v>Leonard 26' 3PT Jump Shot (9 PTS) (Mills 1 AST)</v>
      </c>
      <c r="K540" s="2" t="str">
        <f>HYPERLINK("https://www.nba.com/game/...-vs-...-0021600353/play-by-play?watchFullGame=true", "SAS vs BKN - Q1 03:43.00")</f>
        <v>SAS vs BKN - Q1 03:43.00</v>
      </c>
      <c r="L540">
        <v>26</v>
      </c>
      <c r="M540">
        <v>-120</v>
      </c>
      <c r="N540">
        <v>229</v>
      </c>
      <c r="O540">
        <v>-120</v>
      </c>
      <c r="P540">
        <v>229</v>
      </c>
    </row>
    <row r="541" spans="1:16" x14ac:dyDescent="0.25">
      <c r="A541">
        <v>21500296</v>
      </c>
      <c r="B541">
        <v>2015</v>
      </c>
      <c r="C541" t="s">
        <v>16</v>
      </c>
      <c r="D541" t="s">
        <v>19</v>
      </c>
      <c r="E541">
        <v>15</v>
      </c>
      <c r="F541">
        <v>21</v>
      </c>
      <c r="G541">
        <v>1</v>
      </c>
      <c r="H541" s="1">
        <v>2.9745370370370373E-3</v>
      </c>
      <c r="I541" t="s">
        <v>18</v>
      </c>
      <c r="J541" s="2" t="str">
        <f>HYPERLINK("https://www.nba.com/stats/events?CFID=&amp;CFPARAMS=&amp;GameEventID=63&amp;GameID=0021500296&amp;Season=2015-16&amp;flag=1&amp;title=Leonard%2026'%203PT%20Jump%20Shot%20(3%20PTS)%20(Diaw%201%20AST)", "Leonard 26' 3PT Jump Shot (3 PTS) (Diaw 1 AST)")</f>
        <v>Leonard 26' 3PT Jump Shot (3 PTS) (Diaw 1 AST)</v>
      </c>
      <c r="K541" s="2" t="str">
        <f>HYPERLINK("https://www.nba.com/game/...-vs-...-0021500296/play-by-play?watchFullGame=true", "SAS vs BOS - Q1 04:17.00")</f>
        <v>SAS vs BOS - Q1 04:17.00</v>
      </c>
      <c r="L541">
        <v>26</v>
      </c>
      <c r="M541">
        <v>-120</v>
      </c>
      <c r="N541">
        <v>234</v>
      </c>
      <c r="O541">
        <v>-120</v>
      </c>
      <c r="P541">
        <v>234</v>
      </c>
    </row>
    <row r="542" spans="1:16" x14ac:dyDescent="0.25">
      <c r="A542">
        <v>21300414</v>
      </c>
      <c r="B542">
        <v>2013</v>
      </c>
      <c r="C542" t="s">
        <v>32</v>
      </c>
      <c r="D542" t="s">
        <v>19</v>
      </c>
      <c r="E542">
        <v>4</v>
      </c>
      <c r="F542">
        <v>2</v>
      </c>
      <c r="G542">
        <v>1</v>
      </c>
      <c r="H542" s="1">
        <v>7.5347222222222222E-3</v>
      </c>
      <c r="I542" t="s">
        <v>18</v>
      </c>
      <c r="J542" s="2" t="str">
        <f>HYPERLINK("https://www.nba.com/stats/events?CFID=&amp;CFPARAMS=&amp;GameEventID=15&amp;GameID=0021300414&amp;Season=2013-14&amp;flag=1&amp;title=Leonard%2012'%20Jump%20Shot%20(2%20PTS)%20(Parker%201%20AST)", "Leonard 12' Jump Shot (2 PTS) (Parker 1 AST)")</f>
        <v>Leonard 12' Jump Shot (2 PTS) (Parker 1 AST)</v>
      </c>
      <c r="K542" s="2" t="str">
        <f>HYPERLINK("https://www.nba.com/game/...-vs-...-0021300414/play-by-play?watchFullGame=true", "SAS vs TOR - Q1 10:51.00")</f>
        <v>SAS vs TOR - Q1 10:51.00</v>
      </c>
      <c r="L542">
        <v>12</v>
      </c>
      <c r="M542">
        <v>-119</v>
      </c>
      <c r="N542">
        <v>4</v>
      </c>
      <c r="O542">
        <v>-119</v>
      </c>
      <c r="P542">
        <v>4</v>
      </c>
    </row>
    <row r="543" spans="1:16" x14ac:dyDescent="0.25">
      <c r="A543">
        <v>21500759</v>
      </c>
      <c r="B543">
        <v>2015</v>
      </c>
      <c r="C543" t="s">
        <v>32</v>
      </c>
      <c r="D543" t="s">
        <v>19</v>
      </c>
      <c r="E543">
        <v>8</v>
      </c>
      <c r="F543">
        <v>11</v>
      </c>
      <c r="G543">
        <v>1</v>
      </c>
      <c r="H543" s="1">
        <v>4.6759259259259263E-3</v>
      </c>
      <c r="I543" t="s">
        <v>18</v>
      </c>
      <c r="J543" s="2" t="str">
        <f>HYPERLINK("https://www.nba.com/stats/events?CFID=&amp;CFPARAMS=&amp;GameEventID=34&amp;GameID=0021500759&amp;Season=2015-16&amp;flag=1&amp;title=Leonard%2012'%20Jump%20Shot%20(4%20PTS)", "Leonard 12' Jump Shot (4 PTS)")</f>
        <v>Leonard 12' Jump Shot (4 PTS)</v>
      </c>
      <c r="K543" s="2" t="str">
        <f>HYPERLINK("https://www.nba.com/game/...-vs-...-0021500759/play-by-play?watchFullGame=true", "SAS vs DAL - Q1 06:44.00")</f>
        <v>SAS vs DAL - Q1 06:44.00</v>
      </c>
      <c r="L543">
        <v>12</v>
      </c>
      <c r="M543">
        <v>-119</v>
      </c>
      <c r="N543">
        <v>16</v>
      </c>
      <c r="O543">
        <v>-119</v>
      </c>
      <c r="P543">
        <v>16</v>
      </c>
    </row>
    <row r="544" spans="1:16" x14ac:dyDescent="0.25">
      <c r="A544">
        <v>21400906</v>
      </c>
      <c r="B544">
        <v>2014</v>
      </c>
      <c r="C544" t="s">
        <v>32</v>
      </c>
      <c r="D544" t="s">
        <v>29</v>
      </c>
      <c r="E544">
        <v>42</v>
      </c>
      <c r="F544">
        <v>34</v>
      </c>
      <c r="G544">
        <v>2</v>
      </c>
      <c r="H544" s="1">
        <v>3.6689814814814814E-3</v>
      </c>
      <c r="I544" t="s">
        <v>18</v>
      </c>
      <c r="J544" s="2" t="str">
        <f>HYPERLINK("https://www.nba.com/stats/events?CFID=&amp;CFPARAMS=&amp;GameEventID=209&amp;GameID=0021400906&amp;Season=2014-15&amp;flag=1&amp;title=Leonard%2013'%20Pullup%20Jump%20Shot%20(16%20PTS)", "Leonard 13' Pullup Jump Shot (16 PTS)")</f>
        <v>Leonard 13' Pullup Jump Shot (16 PTS)</v>
      </c>
      <c r="K544" s="2" t="str">
        <f>HYPERLINK("https://www.nba.com/game/...-vs-...-0021400906/play-by-play?watchFullGame=true", "SAS vs SAC - Q2 05:17.00")</f>
        <v>SAS vs SAC - Q2 05:17.00</v>
      </c>
      <c r="L544">
        <v>13</v>
      </c>
      <c r="M544">
        <v>-119</v>
      </c>
      <c r="N544">
        <v>50</v>
      </c>
      <c r="O544">
        <v>-119</v>
      </c>
      <c r="P544">
        <v>50</v>
      </c>
    </row>
    <row r="545" spans="1:16" x14ac:dyDescent="0.25">
      <c r="A545">
        <v>21501215</v>
      </c>
      <c r="B545">
        <v>2015</v>
      </c>
      <c r="C545" t="s">
        <v>32</v>
      </c>
      <c r="D545" t="s">
        <v>24</v>
      </c>
      <c r="E545">
        <v>37</v>
      </c>
      <c r="F545">
        <v>45</v>
      </c>
      <c r="G545">
        <v>2</v>
      </c>
      <c r="H545" s="1">
        <v>1.8518518518518519E-3</v>
      </c>
      <c r="I545" t="s">
        <v>18</v>
      </c>
      <c r="J545" s="2" t="str">
        <f>HYPERLINK("https://www.nba.com/stats/events?CFID=&amp;CFPARAMS=&amp;GameEventID=211&amp;GameID=0021501215&amp;Season=2015-16&amp;flag=1&amp;title=Leonard%2013'%20Turnaround%20Jump%20Shot%20(6%20PTS)", "Leonard 13' Turnaround Jump Shot (6 PTS)")</f>
        <v>Leonard 13' Turnaround Jump Shot (6 PTS)</v>
      </c>
      <c r="K545" s="2" t="str">
        <f>HYPERLINK("https://www.nba.com/game/...-vs-...-0021501215/play-by-play?watchFullGame=true", "SAS vs OKC - Q2 02:40.00")</f>
        <v>SAS vs OKC - Q2 02:40.00</v>
      </c>
      <c r="L545">
        <v>13</v>
      </c>
      <c r="M545">
        <v>-119</v>
      </c>
      <c r="N545">
        <v>51</v>
      </c>
      <c r="O545">
        <v>-119</v>
      </c>
      <c r="P545">
        <v>51</v>
      </c>
    </row>
    <row r="546" spans="1:16" x14ac:dyDescent="0.25">
      <c r="A546">
        <v>21500860</v>
      </c>
      <c r="B546">
        <v>2015</v>
      </c>
      <c r="C546" t="s">
        <v>32</v>
      </c>
      <c r="D546" t="s">
        <v>24</v>
      </c>
      <c r="E546">
        <v>31</v>
      </c>
      <c r="F546">
        <v>35</v>
      </c>
      <c r="G546">
        <v>2</v>
      </c>
      <c r="H546" s="1">
        <v>2.0601851851851853E-3</v>
      </c>
      <c r="I546" t="s">
        <v>18</v>
      </c>
      <c r="J546" s="2" t="str">
        <f>HYPERLINK("https://www.nba.com/stats/events?CFID=&amp;CFPARAMS=&amp;GameEventID=193&amp;GameID=0021500860&amp;Season=2015-16&amp;flag=1&amp;title=Leonard%2013'%20Turnaround%20Jump%20Shot%20(15%20PTS)", "Leonard 13' Turnaround Jump Shot (15 PTS)")</f>
        <v>Leonard 13' Turnaround Jump Shot (15 PTS)</v>
      </c>
      <c r="K546" s="2" t="str">
        <f>HYPERLINK("https://www.nba.com/game/...-vs-...-0021500860/play-by-play?watchFullGame=true", "SAS vs UTA - Q2 02:58.00")</f>
        <v>SAS vs UTA - Q2 02:58.00</v>
      </c>
      <c r="L546">
        <v>13</v>
      </c>
      <c r="M546">
        <v>-119</v>
      </c>
      <c r="N546">
        <v>56</v>
      </c>
      <c r="O546">
        <v>-119</v>
      </c>
      <c r="P546">
        <v>56</v>
      </c>
    </row>
    <row r="547" spans="1:16" x14ac:dyDescent="0.25">
      <c r="A547">
        <v>21400231</v>
      </c>
      <c r="B547">
        <v>2014</v>
      </c>
      <c r="C547" t="s">
        <v>16</v>
      </c>
      <c r="D547" t="s">
        <v>19</v>
      </c>
      <c r="E547">
        <v>112</v>
      </c>
      <c r="F547">
        <v>102</v>
      </c>
      <c r="G547">
        <v>4</v>
      </c>
      <c r="H547" s="1">
        <v>3.3449074074074072E-4</v>
      </c>
      <c r="I547" t="s">
        <v>18</v>
      </c>
      <c r="J547" s="2" t="str">
        <f>HYPERLINK("https://www.nba.com/stats/events?CFID=&amp;CFPARAMS=&amp;GameEventID=492&amp;GameID=0021400231&amp;Season=2014-15&amp;flag=1&amp;title=Leonard%2025'%203PT%20Jump%20Shot%20(19%20PTS)%20(Parker%208%20AST)", "Leonard 25' 3PT Jump Shot (19 PTS) (Parker 8 AST)")</f>
        <v>Leonard 25' 3PT Jump Shot (19 PTS) (Parker 8 AST)</v>
      </c>
      <c r="K547" s="2" t="str">
        <f>HYPERLINK("https://www.nba.com/game/...-vs-...-0021400231/play-by-play?watchFullGame=true", "SAS vs SAC - Q4 00:28.90")</f>
        <v>SAS vs SAC - Q4 00:28.90</v>
      </c>
      <c r="L547">
        <v>25</v>
      </c>
      <c r="M547">
        <v>-119</v>
      </c>
      <c r="N547">
        <v>217</v>
      </c>
      <c r="O547">
        <v>-119</v>
      </c>
      <c r="P547">
        <v>217</v>
      </c>
    </row>
    <row r="548" spans="1:16" x14ac:dyDescent="0.25">
      <c r="A548">
        <v>21900305</v>
      </c>
      <c r="B548">
        <v>2019</v>
      </c>
      <c r="C548" t="s">
        <v>16</v>
      </c>
      <c r="D548" t="s">
        <v>22</v>
      </c>
      <c r="E548">
        <v>7</v>
      </c>
      <c r="F548">
        <v>5</v>
      </c>
      <c r="G548">
        <v>1</v>
      </c>
      <c r="H548" s="1">
        <v>7.1643518518518514E-3</v>
      </c>
      <c r="I548" t="s">
        <v>23</v>
      </c>
      <c r="J548" s="2" t="str">
        <f>HYPERLINK("https://www.nba.com/stats/events?CFID=&amp;CFPARAMS=&amp;GameEventID=20&amp;GameID=0021900305&amp;Season=2019-20&amp;flag=1&amp;title=Leonard%2025'%203PT%20%20(5%20PTS)%20(P.%20George%201%20AST)", "25' 3PT  (5 PTS) (P. George 1 AST)")</f>
        <v>25' 3PT  (5 PTS) (P. George 1 AST)</v>
      </c>
      <c r="K548" s="2" t="str">
        <f>HYPERLINK("https://www.nba.com/game/...-vs-...-0021900305/play-by-play?watchFullGame=true", "LAC vs POR - Q1 10:19.00")</f>
        <v>LAC vs POR - Q1 10:19.00</v>
      </c>
      <c r="L548">
        <v>25.29</v>
      </c>
      <c r="M548">
        <v>71.27</v>
      </c>
      <c r="N548">
        <v>26.16</v>
      </c>
      <c r="O548">
        <v>-119</v>
      </c>
      <c r="P548">
        <v>218</v>
      </c>
    </row>
    <row r="549" spans="1:16" x14ac:dyDescent="0.25">
      <c r="A549">
        <v>21400131</v>
      </c>
      <c r="B549">
        <v>2014</v>
      </c>
      <c r="C549" t="s">
        <v>16</v>
      </c>
      <c r="D549" t="s">
        <v>19</v>
      </c>
      <c r="E549">
        <v>13</v>
      </c>
      <c r="F549">
        <v>17</v>
      </c>
      <c r="G549">
        <v>1</v>
      </c>
      <c r="H549" s="1">
        <v>2.9629629629629628E-3</v>
      </c>
      <c r="I549" t="s">
        <v>18</v>
      </c>
      <c r="J549" s="2" t="str">
        <f>HYPERLINK("https://www.nba.com/stats/events?CFID=&amp;CFPARAMS=&amp;GameEventID=52&amp;GameID=0021400131&amp;Season=2014-15&amp;flag=1&amp;title=Leonard%2025'%203PT%20Jump%20Shot%20(8%20PTS)%20(Parker%204%20AST)", "Leonard 25' 3PT Jump Shot (8 PTS) (Parker 4 AST)")</f>
        <v>Leonard 25' 3PT Jump Shot (8 PTS) (Parker 4 AST)</v>
      </c>
      <c r="K549" s="2" t="str">
        <f>HYPERLINK("https://www.nba.com/game/...-vs-...-0021400131/play-by-play?watchFullGame=true", "SAS vs LAL - Q1 04:16.00")</f>
        <v>SAS vs LAL - Q1 04:16.00</v>
      </c>
      <c r="L549">
        <v>25</v>
      </c>
      <c r="M549">
        <v>-119</v>
      </c>
      <c r="N549">
        <v>219</v>
      </c>
      <c r="O549">
        <v>-119</v>
      </c>
      <c r="P549">
        <v>219</v>
      </c>
    </row>
    <row r="550" spans="1:16" x14ac:dyDescent="0.25">
      <c r="A550">
        <v>21400249</v>
      </c>
      <c r="B550">
        <v>2014</v>
      </c>
      <c r="C550" t="s">
        <v>16</v>
      </c>
      <c r="D550" t="s">
        <v>19</v>
      </c>
      <c r="E550">
        <v>13</v>
      </c>
      <c r="F550">
        <v>15</v>
      </c>
      <c r="G550">
        <v>1</v>
      </c>
      <c r="H550" s="1">
        <v>2.9861111111111113E-3</v>
      </c>
      <c r="I550" t="s">
        <v>18</v>
      </c>
      <c r="J550" s="2" t="str">
        <f>HYPERLINK("https://www.nba.com/stats/events?CFID=&amp;CFPARAMS=&amp;GameEventID=73&amp;GameID=0021400249&amp;Season=2014-15&amp;flag=1&amp;title=Leonard%2025'%203PT%20Jump%20Shot%20(7%20PTS)%20(Joseph%201%20AST)", "Leonard 25' 3PT Jump Shot (7 PTS) (Joseph 1 AST)")</f>
        <v>Leonard 25' 3PT Jump Shot (7 PTS) (Joseph 1 AST)</v>
      </c>
      <c r="K550" s="2" t="str">
        <f>HYPERLINK("https://www.nba.com/game/...-vs-...-0021400249/play-by-play?watchFullGame=true", "SAS vs PHI - Q1 04:18.00")</f>
        <v>SAS vs PHI - Q1 04:18.00</v>
      </c>
      <c r="L550">
        <v>25</v>
      </c>
      <c r="M550">
        <v>-119</v>
      </c>
      <c r="N550">
        <v>220</v>
      </c>
      <c r="O550">
        <v>-119</v>
      </c>
      <c r="P550">
        <v>220</v>
      </c>
    </row>
    <row r="551" spans="1:16" x14ac:dyDescent="0.25">
      <c r="A551">
        <v>41800402</v>
      </c>
      <c r="B551" t="s">
        <v>20</v>
      </c>
      <c r="C551" t="s">
        <v>16</v>
      </c>
      <c r="D551" t="s">
        <v>29</v>
      </c>
      <c r="E551">
        <v>5</v>
      </c>
      <c r="F551">
        <v>3</v>
      </c>
      <c r="G551">
        <v>1</v>
      </c>
      <c r="H551" s="1">
        <v>6.6666666666666671E-3</v>
      </c>
      <c r="I551" t="s">
        <v>21</v>
      </c>
      <c r="J551" s="2" t="str">
        <f>HYPERLINK("https://www.nba.com/stats/events?CFID=&amp;CFPARAMS=&amp;GameEventID=30&amp;GameID=0041800402&amp;Season=2018-19&amp;flag=1&amp;title=Leonard%2027'%203PT%20Pullup%20Jump%20Shot%20(5%20PTS)", "Leonard 27' 3PT Pullup Jump Shot (5 PTS)")</f>
        <v>Leonard 27' 3PT Pullup Jump Shot (5 PTS)</v>
      </c>
      <c r="K551" s="2" t="str">
        <f>HYPERLINK("https://www.nba.com/game/...-vs-...-0041800402/play-by-play?watchFullGame=true", "TOR vs GSW - Q1 09:36.00")</f>
        <v>TOR vs GSW - Q1 09:36.00</v>
      </c>
      <c r="L551">
        <v>27</v>
      </c>
      <c r="M551">
        <v>-119</v>
      </c>
      <c r="N551">
        <v>244</v>
      </c>
      <c r="O551">
        <v>-119</v>
      </c>
      <c r="P551">
        <v>244</v>
      </c>
    </row>
    <row r="552" spans="1:16" x14ac:dyDescent="0.25">
      <c r="A552">
        <v>22200423</v>
      </c>
      <c r="B552">
        <v>2022</v>
      </c>
      <c r="C552" t="s">
        <v>32</v>
      </c>
      <c r="D552" t="s">
        <v>19</v>
      </c>
      <c r="E552">
        <v>73</v>
      </c>
      <c r="F552">
        <v>71</v>
      </c>
      <c r="G552">
        <v>4</v>
      </c>
      <c r="H552" s="1">
        <v>6.4004629629629628E-3</v>
      </c>
      <c r="I552" t="s">
        <v>23</v>
      </c>
      <c r="J552" s="2" t="str">
        <f>HYPERLINK("https://www.nba.com/stats/events?CFID=&amp;CFPARAMS=&amp;GameEventID=500&amp;GameID=0022200423&amp;Season=2022-23&amp;flag=1&amp;title=Leonard%2011'%20pullup%20Jump%20Shot%20(13%20PTS)", "11' pullup Jump Shot (13 PTS)")</f>
        <v>11' pullup Jump Shot (13 PTS)</v>
      </c>
      <c r="K552" s="2" t="str">
        <f>HYPERLINK("https://www.nba.com/game/...-vs-...-0022200423/play-by-play?watchFullGame=true", "LAC vs MIN - Q4 09:13.00")</f>
        <v>LAC vs MIN - Q4 09:13.00</v>
      </c>
      <c r="L552">
        <v>11.76</v>
      </c>
      <c r="M552">
        <v>5.31</v>
      </c>
      <c r="N552">
        <v>73.53</v>
      </c>
      <c r="O552">
        <v>-118</v>
      </c>
      <c r="P552">
        <v>-3</v>
      </c>
    </row>
    <row r="553" spans="1:16" x14ac:dyDescent="0.25">
      <c r="A553">
        <v>22000509</v>
      </c>
      <c r="B553">
        <v>2020</v>
      </c>
      <c r="C553" t="s">
        <v>32</v>
      </c>
      <c r="D553" t="s">
        <v>19</v>
      </c>
      <c r="E553">
        <v>58</v>
      </c>
      <c r="F553">
        <v>73</v>
      </c>
      <c r="G553">
        <v>3</v>
      </c>
      <c r="H553" s="1">
        <v>4.8958333333333336E-3</v>
      </c>
      <c r="I553" t="s">
        <v>23</v>
      </c>
      <c r="J553" s="2" t="str">
        <f>HYPERLINK("https://www.nba.com/stats/events?CFID=&amp;CFPARAMS=&amp;GameEventID=372&amp;GameID=0022000509&amp;Season=2020-21&amp;flag=1&amp;title=Leonard%2016'%20pullup%20Jump%20Shot%20(18%20PTS)", "16' pullup Jump Shot (18 PTS)")</f>
        <v>16' pullup Jump Shot (18 PTS)</v>
      </c>
      <c r="K553" s="2" t="str">
        <f>HYPERLINK("https://www.nba.com/game/...-vs-...-0022000509/play-by-play?watchFullGame=true", "LAC vs MEM - Q3 07:03.00")</f>
        <v>LAC vs MEM - Q3 07:03.00</v>
      </c>
      <c r="L553">
        <v>16.309999999999999</v>
      </c>
      <c r="M553">
        <v>17.559999999999999</v>
      </c>
      <c r="N553">
        <v>73.599999999999994</v>
      </c>
      <c r="O553">
        <v>-118</v>
      </c>
      <c r="P553">
        <v>113</v>
      </c>
    </row>
    <row r="554" spans="1:16" x14ac:dyDescent="0.25">
      <c r="A554">
        <v>22200480</v>
      </c>
      <c r="B554">
        <v>2022</v>
      </c>
      <c r="C554" t="s">
        <v>32</v>
      </c>
      <c r="D554" t="s">
        <v>19</v>
      </c>
      <c r="E554">
        <v>101</v>
      </c>
      <c r="F554">
        <v>99</v>
      </c>
      <c r="G554">
        <v>4</v>
      </c>
      <c r="H554" s="1">
        <v>4.5370370370370373E-3</v>
      </c>
      <c r="I554" t="s">
        <v>23</v>
      </c>
      <c r="J554" s="2" t="str">
        <f>HYPERLINK("https://www.nba.com/stats/events?CFID=&amp;CFPARAMS=&amp;GameEventID=517&amp;GameID=0022200480&amp;Season=2022-23&amp;flag=1&amp;title=Leonard%2019'%20running%20pullup%20Jump%20Shot%20(23%20PTS)", "19' running pullup Jump Shot (23 PTS)")</f>
        <v>19' running pullup Jump Shot (23 PTS)</v>
      </c>
      <c r="K554" s="2" t="str">
        <f>HYPERLINK("https://www.nba.com/game/...-vs-...-0022200480/play-by-play?watchFullGame=true", "LAC vs PHI - Q4 06:32.00")</f>
        <v>LAC vs PHI - Q4 06:32.00</v>
      </c>
      <c r="L554">
        <v>19.89</v>
      </c>
      <c r="M554">
        <v>22.65</v>
      </c>
      <c r="N554">
        <v>73.53</v>
      </c>
      <c r="O554">
        <v>-118</v>
      </c>
      <c r="P554">
        <v>160</v>
      </c>
    </row>
    <row r="555" spans="1:16" x14ac:dyDescent="0.25">
      <c r="A555">
        <v>21900618</v>
      </c>
      <c r="B555">
        <v>2019</v>
      </c>
      <c r="C555" t="s">
        <v>32</v>
      </c>
      <c r="D555" t="s">
        <v>22</v>
      </c>
      <c r="E555">
        <v>7</v>
      </c>
      <c r="F555">
        <v>5</v>
      </c>
      <c r="G555">
        <v>1</v>
      </c>
      <c r="H555" s="1">
        <v>7.3842592592592597E-3</v>
      </c>
      <c r="I555" t="s">
        <v>23</v>
      </c>
      <c r="J555" s="2" t="str">
        <f>HYPERLINK("https://www.nba.com/stats/events?CFID=&amp;CFPARAMS=&amp;GameEventID=14&amp;GameID=0021900618&amp;Season=2019-20&amp;flag=1&amp;title=Leonard%2022'%20jumpshot%20(2%20PTS)", "22' jumpshot (2 PTS)")</f>
        <v>22' jumpshot (2 PTS)</v>
      </c>
      <c r="K555" s="2" t="str">
        <f>HYPERLINK("https://www.nba.com/game/...-vs-...-0021900618/play-by-play?watchFullGame=true", "LAC vs ORL - Q1 10:38.00")</f>
        <v>LAC vs ORL - Q1 10:38.00</v>
      </c>
      <c r="L555">
        <v>22.13</v>
      </c>
      <c r="M555">
        <v>75.08</v>
      </c>
      <c r="N555">
        <v>26.4</v>
      </c>
      <c r="O555">
        <v>-118</v>
      </c>
      <c r="P555">
        <v>182</v>
      </c>
    </row>
    <row r="556" spans="1:16" x14ac:dyDescent="0.25">
      <c r="A556">
        <v>22200902</v>
      </c>
      <c r="B556">
        <v>2022</v>
      </c>
      <c r="C556" t="s">
        <v>16</v>
      </c>
      <c r="D556" t="s">
        <v>19</v>
      </c>
      <c r="E556">
        <v>95</v>
      </c>
      <c r="F556">
        <v>88</v>
      </c>
      <c r="G556">
        <v>3</v>
      </c>
      <c r="H556" s="1">
        <v>5.138888888888889E-3</v>
      </c>
      <c r="I556" t="s">
        <v>23</v>
      </c>
      <c r="J556" s="2" t="str">
        <f>HYPERLINK("https://www.nba.com/stats/events?CFID=&amp;CFPARAMS=&amp;GameEventID=397&amp;GameID=0022200902&amp;Season=2022-23&amp;flag=1&amp;title=Leonard%2026'%203PT%20step%20back%20(29%20PTS)", "26' 3PT step back (29 PTS)")</f>
        <v>26' 3PT step back (29 PTS)</v>
      </c>
      <c r="K556" s="2" t="str">
        <f>HYPERLINK("https://www.nba.com/game/...-vs-...-0022200902/play-by-play?watchFullGame=true", "LAC vs SAC - Q3 07:24.00")</f>
        <v>LAC vs SAC - Q3 07:24.00</v>
      </c>
      <c r="L556">
        <v>26.9</v>
      </c>
      <c r="M556">
        <v>31.32</v>
      </c>
      <c r="N556">
        <v>73.53</v>
      </c>
      <c r="O556">
        <v>-118</v>
      </c>
      <c r="P556">
        <v>242</v>
      </c>
    </row>
    <row r="557" spans="1:16" x14ac:dyDescent="0.25">
      <c r="A557">
        <v>21500872</v>
      </c>
      <c r="B557">
        <v>2015</v>
      </c>
      <c r="C557" t="s">
        <v>32</v>
      </c>
      <c r="D557" t="s">
        <v>36</v>
      </c>
      <c r="E557">
        <v>7</v>
      </c>
      <c r="F557">
        <v>14</v>
      </c>
      <c r="G557">
        <v>1</v>
      </c>
      <c r="H557" s="1">
        <v>3.0208333333333333E-3</v>
      </c>
      <c r="I557" t="s">
        <v>18</v>
      </c>
      <c r="J557" s="2" t="str">
        <f>HYPERLINK("https://www.nba.com/stats/events?CFID=&amp;CFPARAMS=&amp;GameEventID=66&amp;GameID=0021500872&amp;Season=2015-16&amp;flag=1&amp;title=Leonard%2012'%20Pullup%20Bank%20Shot%20(4%20PTS)", "Leonard 12' Pullup Bank Shot (4 PTS)")</f>
        <v>Leonard 12' Pullup Bank Shot (4 PTS)</v>
      </c>
      <c r="K557" s="2" t="str">
        <f>HYPERLINK("https://www.nba.com/game/...-vs-...-0021500872/play-by-play?watchFullGame=true", "SAS vs HOU - Q1 04:21.00")</f>
        <v>SAS vs HOU - Q1 04:21.00</v>
      </c>
      <c r="L557">
        <v>12</v>
      </c>
      <c r="M557">
        <v>-117</v>
      </c>
      <c r="N557">
        <v>36</v>
      </c>
      <c r="O557">
        <v>-117</v>
      </c>
      <c r="P557">
        <v>36</v>
      </c>
    </row>
    <row r="558" spans="1:16" x14ac:dyDescent="0.25">
      <c r="A558">
        <v>22400596</v>
      </c>
      <c r="B558">
        <v>2024</v>
      </c>
      <c r="C558" t="s">
        <v>32</v>
      </c>
      <c r="D558" t="s">
        <v>19</v>
      </c>
      <c r="E558">
        <v>83</v>
      </c>
      <c r="F558">
        <v>62</v>
      </c>
      <c r="G558">
        <v>3</v>
      </c>
      <c r="H558" s="1">
        <v>3.8541666666666668E-3</v>
      </c>
      <c r="I558" t="s">
        <v>23</v>
      </c>
      <c r="J558" s="2" t="str">
        <f>HYPERLINK("https://www.nba.com/stats/events?CFID=&amp;CFPARAMS=&amp;GameEventID=359&amp;GameID=0022400596&amp;Season=2024-25&amp;flag=1&amp;title=Leonard%2013'%20step%20back%20Jump%20Shot%20(19%20PTS)", "13' step back Jump Shot (19 PTS)")</f>
        <v>13' step back Jump Shot (19 PTS)</v>
      </c>
      <c r="K558" s="2" t="str">
        <f>HYPERLINK("https://www.nba.com/game/...-vs-...-0022400596/play-by-play?watchFullGame=true", "LAC vs LAL - Q3 05:33.00")</f>
        <v>LAC vs LAL - Q3 05:33.00</v>
      </c>
      <c r="L558">
        <v>13.1</v>
      </c>
      <c r="M558">
        <v>11.96</v>
      </c>
      <c r="N558">
        <v>73.31</v>
      </c>
      <c r="O558">
        <v>-117</v>
      </c>
      <c r="P558">
        <v>60</v>
      </c>
    </row>
    <row r="559" spans="1:16" x14ac:dyDescent="0.25">
      <c r="A559">
        <v>21400814</v>
      </c>
      <c r="B559">
        <v>2014</v>
      </c>
      <c r="C559" t="s">
        <v>32</v>
      </c>
      <c r="D559" t="s">
        <v>34</v>
      </c>
      <c r="E559">
        <v>8</v>
      </c>
      <c r="F559">
        <v>2</v>
      </c>
      <c r="G559">
        <v>1</v>
      </c>
      <c r="H559" s="1">
        <v>7.083333333333333E-3</v>
      </c>
      <c r="I559" t="s">
        <v>18</v>
      </c>
      <c r="J559" s="2" t="str">
        <f>HYPERLINK("https://www.nba.com/stats/events?CFID=&amp;CFPARAMS=&amp;GameEventID=13&amp;GameID=0021400814&amp;Season=2014-15&amp;flag=1&amp;title=Leonard%2013'%20Turnaround%20Fadeaway%20(2%20PTS)", "Leonard 13' Turnaround Fadeaway (2 PTS)")</f>
        <v>Leonard 13' Turnaround Fadeaway (2 PTS)</v>
      </c>
      <c r="K559" s="2" t="str">
        <f>HYPERLINK("https://www.nba.com/game/...-vs-...-0021400814/play-by-play?watchFullGame=true", "SAS vs GSW - Q1 10:12.00")</f>
        <v>SAS vs GSW - Q1 10:12.00</v>
      </c>
      <c r="L559">
        <v>13</v>
      </c>
      <c r="M559">
        <v>-117</v>
      </c>
      <c r="N559">
        <v>66</v>
      </c>
      <c r="O559">
        <v>-117</v>
      </c>
      <c r="P559">
        <v>66</v>
      </c>
    </row>
    <row r="560" spans="1:16" x14ac:dyDescent="0.25">
      <c r="A560">
        <v>21500516</v>
      </c>
      <c r="B560">
        <v>2015</v>
      </c>
      <c r="C560" t="s">
        <v>32</v>
      </c>
      <c r="D560" t="s">
        <v>29</v>
      </c>
      <c r="E560">
        <v>17</v>
      </c>
      <c r="F560">
        <v>11</v>
      </c>
      <c r="G560">
        <v>1</v>
      </c>
      <c r="H560" s="1">
        <v>3.8541666666666668E-3</v>
      </c>
      <c r="I560" t="s">
        <v>18</v>
      </c>
      <c r="J560" s="2" t="str">
        <f>HYPERLINK("https://www.nba.com/stats/events?CFID=&amp;CFPARAMS=&amp;GameEventID=61&amp;GameID=0021500516&amp;Season=2015-16&amp;flag=1&amp;title=Leonard%2014'%20Pullup%20Jump%20Shot%20(7%20PTS)%20(Mills%201%20AST)", "Leonard 14' Pullup Jump Shot (7 PTS) (Mills 1 AST)")</f>
        <v>Leonard 14' Pullup Jump Shot (7 PTS) (Mills 1 AST)</v>
      </c>
      <c r="K560" s="2" t="str">
        <f>HYPERLINK("https://www.nba.com/game/...-vs-...-0021500516/play-by-play?watchFullGame=true", "SAS vs MIL - Q1 05:33.00")</f>
        <v>SAS vs MIL - Q1 05:33.00</v>
      </c>
      <c r="L560">
        <v>14</v>
      </c>
      <c r="M560">
        <v>-117</v>
      </c>
      <c r="N560">
        <v>82</v>
      </c>
      <c r="O560">
        <v>-117</v>
      </c>
      <c r="P560">
        <v>82</v>
      </c>
    </row>
    <row r="561" spans="1:16" x14ac:dyDescent="0.25">
      <c r="A561">
        <v>21600942</v>
      </c>
      <c r="B561">
        <v>2016</v>
      </c>
      <c r="C561" t="s">
        <v>32</v>
      </c>
      <c r="D561" t="s">
        <v>29</v>
      </c>
      <c r="E561">
        <v>34</v>
      </c>
      <c r="F561">
        <v>47</v>
      </c>
      <c r="G561">
        <v>2</v>
      </c>
      <c r="H561" s="1">
        <v>4.3518518518518515E-3</v>
      </c>
      <c r="I561" t="s">
        <v>18</v>
      </c>
      <c r="J561" s="2" t="str">
        <f>HYPERLINK("https://www.nba.com/stats/events?CFID=&amp;CFPARAMS=&amp;GameEventID=159&amp;GameID=0021600942&amp;Season=2016-17&amp;flag=1&amp;title=Leonard%2017'%20Pullup%20Jump%20Shot%20(12%20PTS)", "Leonard 17' Pullup Jump Shot (12 PTS)")</f>
        <v>Leonard 17' Pullup Jump Shot (12 PTS)</v>
      </c>
      <c r="K561" s="2" t="str">
        <f>HYPERLINK("https://www.nba.com/game/...-vs-...-0021600942/play-by-play?watchFullGame=true", "SAS vs HOU - Q2 06:16.00")</f>
        <v>SAS vs HOU - Q2 06:16.00</v>
      </c>
      <c r="L561">
        <v>17</v>
      </c>
      <c r="M561">
        <v>-117</v>
      </c>
      <c r="N561">
        <v>124</v>
      </c>
      <c r="O561">
        <v>-117</v>
      </c>
      <c r="P561">
        <v>124</v>
      </c>
    </row>
    <row r="562" spans="1:16" x14ac:dyDescent="0.25">
      <c r="A562">
        <v>21500945</v>
      </c>
      <c r="B562">
        <v>2015</v>
      </c>
      <c r="C562" t="s">
        <v>32</v>
      </c>
      <c r="D562" t="s">
        <v>29</v>
      </c>
      <c r="E562">
        <v>53</v>
      </c>
      <c r="F562">
        <v>67</v>
      </c>
      <c r="G562">
        <v>3</v>
      </c>
      <c r="H562" s="1">
        <v>6.2847222222222219E-3</v>
      </c>
      <c r="I562" t="s">
        <v>18</v>
      </c>
      <c r="J562" s="2" t="str">
        <f>HYPERLINK("https://www.nba.com/stats/events?CFID=&amp;CFPARAMS=&amp;GameEventID=282&amp;GameID=0021500945&amp;Season=2015-16&amp;flag=1&amp;title=Leonard%2019'%20Pullup%20Jump%20Shot%20(13%20PTS)", "Leonard 19' Pullup Jump Shot (13 PTS)")</f>
        <v>Leonard 19' Pullup Jump Shot (13 PTS)</v>
      </c>
      <c r="K562" s="2" t="str">
        <f>HYPERLINK("https://www.nba.com/game/...-vs-...-0021500945/play-by-play?watchFullGame=true", "SAS vs MIN - Q3 09:03.00")</f>
        <v>SAS vs MIN - Q3 09:03.00</v>
      </c>
      <c r="L562">
        <v>19</v>
      </c>
      <c r="M562">
        <v>-117</v>
      </c>
      <c r="N562">
        <v>154</v>
      </c>
      <c r="O562">
        <v>-117</v>
      </c>
      <c r="P562">
        <v>154</v>
      </c>
    </row>
    <row r="563" spans="1:16" x14ac:dyDescent="0.25">
      <c r="A563">
        <v>41800306</v>
      </c>
      <c r="B563" t="s">
        <v>20</v>
      </c>
      <c r="C563" t="s">
        <v>32</v>
      </c>
      <c r="D563" t="s">
        <v>31</v>
      </c>
      <c r="E563">
        <v>6</v>
      </c>
      <c r="F563">
        <v>3</v>
      </c>
      <c r="G563">
        <v>1</v>
      </c>
      <c r="H563" s="1">
        <v>6.8865740740740745E-3</v>
      </c>
      <c r="I563" t="s">
        <v>21</v>
      </c>
      <c r="J563" s="2" t="str">
        <f>HYPERLINK("https://www.nba.com/stats/events?CFID=&amp;CFPARAMS=&amp;GameEventID=22&amp;GameID=0041800306&amp;Season=2018-19&amp;flag=1&amp;title=Leonard%2012'%20Step%20Back%20Jump%20Shot%20(2%20PTS)", "Leonard 12' Step Back Jump Shot (2 PTS)")</f>
        <v>Leonard 12' Step Back Jump Shot (2 PTS)</v>
      </c>
      <c r="K563" s="2" t="str">
        <f>HYPERLINK("https://www.nba.com/game/...-vs-...-0041800306/play-by-play?watchFullGame=true", "TOR vs MIL - Q1 09:55.00")</f>
        <v>TOR vs MIL - Q1 09:55.00</v>
      </c>
      <c r="L563">
        <v>12</v>
      </c>
      <c r="M563">
        <v>-116</v>
      </c>
      <c r="N563">
        <v>24</v>
      </c>
      <c r="O563">
        <v>-116</v>
      </c>
      <c r="P563">
        <v>24</v>
      </c>
    </row>
    <row r="564" spans="1:16" x14ac:dyDescent="0.25">
      <c r="A564">
        <v>22301028</v>
      </c>
      <c r="B564">
        <v>2023</v>
      </c>
      <c r="C564" t="s">
        <v>32</v>
      </c>
      <c r="D564" t="s">
        <v>19</v>
      </c>
      <c r="E564">
        <v>60</v>
      </c>
      <c r="F564">
        <v>63</v>
      </c>
      <c r="G564">
        <v>3</v>
      </c>
      <c r="H564" s="1">
        <v>7.8703703703703696E-3</v>
      </c>
      <c r="I564" t="s">
        <v>23</v>
      </c>
      <c r="J564" s="2" t="str">
        <f>HYPERLINK("https://www.nba.com/stats/events?CFID=&amp;CFPARAMS=&amp;GameEventID=297&amp;GameID=0022301028&amp;Season=2023-24&amp;flag=1&amp;title=Leonard%2013'%20Jump%20Shot%20(14%20PTS)", "13' Jump Shot (14 PTS)")</f>
        <v>13' Jump Shot (14 PTS)</v>
      </c>
      <c r="K564" s="2" t="str">
        <f>HYPERLINK("https://www.nba.com/game/...-vs-...-0022301028/play-by-play?watchFullGame=true", "LAC vs PHI - Q3 11:20.00")</f>
        <v>LAC vs PHI - Q3 11:20.00</v>
      </c>
      <c r="L564">
        <v>13</v>
      </c>
      <c r="M564">
        <v>11.74</v>
      </c>
      <c r="N564">
        <v>73.28</v>
      </c>
      <c r="O564">
        <v>-116</v>
      </c>
      <c r="P564">
        <v>58</v>
      </c>
    </row>
    <row r="565" spans="1:16" x14ac:dyDescent="0.25">
      <c r="A565">
        <v>22300511</v>
      </c>
      <c r="B565">
        <v>2023</v>
      </c>
      <c r="C565" t="s">
        <v>32</v>
      </c>
      <c r="D565" t="s">
        <v>19</v>
      </c>
      <c r="E565">
        <v>77</v>
      </c>
      <c r="F565">
        <v>68</v>
      </c>
      <c r="G565">
        <v>3</v>
      </c>
      <c r="H565" s="1">
        <v>6.8055555555555551E-3</v>
      </c>
      <c r="I565" t="s">
        <v>23</v>
      </c>
      <c r="J565" s="2" t="str">
        <f>HYPERLINK("https://www.nba.com/stats/events?CFID=&amp;CFPARAMS=&amp;GameEventID=325&amp;GameID=0022300511&amp;Season=2023-24&amp;flag=1&amp;title=Leonard%2013'%20pullup%20Jump%20Shot%20(11%20PTS)", "13' pullup Jump Shot (11 PTS)")</f>
        <v>13' pullup Jump Shot (11 PTS)</v>
      </c>
      <c r="K565" s="2" t="str">
        <f>HYPERLINK("https://www.nba.com/game/...-vs-...-0022300511/play-by-play?watchFullGame=true", "LAC vs PHX - Q3 09:48.00")</f>
        <v>LAC vs PHX - Q3 09:48.00</v>
      </c>
      <c r="L565">
        <v>13.11</v>
      </c>
      <c r="M565">
        <v>12.01</v>
      </c>
      <c r="N565">
        <v>73.28</v>
      </c>
      <c r="O565">
        <v>-116</v>
      </c>
      <c r="P565">
        <v>60</v>
      </c>
    </row>
    <row r="566" spans="1:16" x14ac:dyDescent="0.25">
      <c r="A566">
        <v>21300382</v>
      </c>
      <c r="B566">
        <v>2013</v>
      </c>
      <c r="C566" t="s">
        <v>32</v>
      </c>
      <c r="D566" t="s">
        <v>29</v>
      </c>
      <c r="E566">
        <v>36</v>
      </c>
      <c r="F566">
        <v>27</v>
      </c>
      <c r="G566">
        <v>2</v>
      </c>
      <c r="H566" s="1">
        <v>5.4629629629629629E-3</v>
      </c>
      <c r="I566" t="s">
        <v>18</v>
      </c>
      <c r="J566" s="2" t="str">
        <f>HYPERLINK("https://www.nba.com/stats/events?CFID=&amp;CFPARAMS=&amp;GameEventID=158&amp;GameID=0021300382&amp;Season=2013-14&amp;flag=1&amp;title=Leonard%2017'%20Pullup%20Jump%20Shot%20(7%20PTS)", "Leonard 17' Pullup Jump Shot (7 PTS)")</f>
        <v>Leonard 17' Pullup Jump Shot (7 PTS)</v>
      </c>
      <c r="K566" s="2" t="str">
        <f>HYPERLINK("https://www.nba.com/game/...-vs-...-0021300382/play-by-play?watchFullGame=true", "SAS vs GSW - Q2 07:52.00")</f>
        <v>SAS vs GSW - Q2 07:52.00</v>
      </c>
      <c r="L566">
        <v>17</v>
      </c>
      <c r="M566">
        <v>-116</v>
      </c>
      <c r="N566">
        <v>118</v>
      </c>
      <c r="O566">
        <v>-116</v>
      </c>
      <c r="P566">
        <v>118</v>
      </c>
    </row>
    <row r="567" spans="1:16" x14ac:dyDescent="0.25">
      <c r="A567">
        <v>41800114</v>
      </c>
      <c r="B567" t="s">
        <v>20</v>
      </c>
      <c r="C567" t="s">
        <v>32</v>
      </c>
      <c r="D567" t="s">
        <v>29</v>
      </c>
      <c r="E567">
        <v>42</v>
      </c>
      <c r="F567">
        <v>60</v>
      </c>
      <c r="G567">
        <v>3</v>
      </c>
      <c r="H567" s="1">
        <v>7.6967592592592591E-3</v>
      </c>
      <c r="I567" t="s">
        <v>21</v>
      </c>
      <c r="J567" s="2" t="str">
        <f>HYPERLINK("https://www.nba.com/stats/events?CFID=&amp;CFPARAMS=&amp;GameEventID=301&amp;GameID=0041800114&amp;Season=2018-19&amp;flag=1&amp;title=Leonard%2017'%20Pullup%20Jump%20Shot%20(20%20PTS)", "Leonard 17' Pullup Jump Shot (20 PTS)")</f>
        <v>Leonard 17' Pullup Jump Shot (20 PTS)</v>
      </c>
      <c r="K567" s="2" t="str">
        <f>HYPERLINK("https://www.nba.com/game/...-vs-...-0041800114/play-by-play?watchFullGame=true", "TOR vs ORL - Q3 11:05.00")</f>
        <v>TOR vs ORL - Q3 11:05.00</v>
      </c>
      <c r="L567">
        <v>17</v>
      </c>
      <c r="M567">
        <v>-116</v>
      </c>
      <c r="N567">
        <v>121</v>
      </c>
      <c r="O567">
        <v>-116</v>
      </c>
      <c r="P567">
        <v>121</v>
      </c>
    </row>
    <row r="568" spans="1:16" x14ac:dyDescent="0.25">
      <c r="A568">
        <v>22300982</v>
      </c>
      <c r="B568">
        <v>2023</v>
      </c>
      <c r="C568" t="s">
        <v>32</v>
      </c>
      <c r="D568" t="s">
        <v>19</v>
      </c>
      <c r="E568">
        <v>2</v>
      </c>
      <c r="F568">
        <v>0</v>
      </c>
      <c r="G568">
        <v>1</v>
      </c>
      <c r="H568" s="1">
        <v>8.0787037037037043E-3</v>
      </c>
      <c r="I568" t="s">
        <v>23</v>
      </c>
      <c r="J568" s="2" t="str">
        <f>HYPERLINK("https://www.nba.com/stats/events?CFID=&amp;CFPARAMS=&amp;GameEventID=7&amp;GameID=0022300982&amp;Season=2023-24&amp;flag=1&amp;title=Leonard%2017'%20turnaround%20fadeaway%20Jump%20Shot%20(2%20PTS)", "17' turnaround fadeaway Jump Shot (2 PTS)")</f>
        <v>17' turnaround fadeaway Jump Shot (2 PTS)</v>
      </c>
      <c r="K568" s="2" t="str">
        <f>HYPERLINK("https://www.nba.com/game/...-vs-...-0022300982/play-by-play?watchFullGame=true", "LAC vs ATL - Q1 11:38.00")</f>
        <v>LAC vs ATL - Q1 11:38.00</v>
      </c>
      <c r="L568">
        <v>17.350000000000001</v>
      </c>
      <c r="M568">
        <v>80.73</v>
      </c>
      <c r="N568">
        <v>26.72</v>
      </c>
      <c r="O568">
        <v>-116</v>
      </c>
      <c r="P568">
        <v>129</v>
      </c>
    </row>
    <row r="569" spans="1:16" x14ac:dyDescent="0.25">
      <c r="A569">
        <v>22300848</v>
      </c>
      <c r="B569">
        <v>2023</v>
      </c>
      <c r="C569" t="s">
        <v>16</v>
      </c>
      <c r="D569" t="s">
        <v>19</v>
      </c>
      <c r="E569">
        <v>15</v>
      </c>
      <c r="F569">
        <v>12</v>
      </c>
      <c r="G569">
        <v>1</v>
      </c>
      <c r="H569" s="1">
        <v>4.6064814814814814E-3</v>
      </c>
      <c r="I569" t="s">
        <v>23</v>
      </c>
      <c r="J569" s="2" t="str">
        <f>HYPERLINK("https://www.nba.com/stats/events?CFID=&amp;CFPARAMS=&amp;GameEventID=61&amp;GameID=0022300848&amp;Season=2023-24&amp;flag=1&amp;title=Leonard%2024'%203PT%20pullup%20(5%20PTS)%20(T.%20Mann%201%20AST)", "24' 3PT pullup (5 PTS) (T. Mann 1 AST)")</f>
        <v>24' 3PT pullup (5 PTS) (T. Mann 1 AST)</v>
      </c>
      <c r="K569" s="2" t="str">
        <f>HYPERLINK("https://www.nba.com/game/...-vs-...-0022300848/play-by-play?watchFullGame=true", "LAC vs LAL - Q1 06:38.00")</f>
        <v>LAC vs LAL - Q1 06:38.00</v>
      </c>
      <c r="L569">
        <v>24.46</v>
      </c>
      <c r="M569">
        <v>71.53</v>
      </c>
      <c r="N569">
        <v>26.72</v>
      </c>
      <c r="O569">
        <v>-116</v>
      </c>
      <c r="P569">
        <v>215</v>
      </c>
    </row>
    <row r="570" spans="1:16" x14ac:dyDescent="0.25">
      <c r="A570">
        <v>21600264</v>
      </c>
      <c r="B570">
        <v>2016</v>
      </c>
      <c r="C570" t="s">
        <v>32</v>
      </c>
      <c r="D570" t="s">
        <v>37</v>
      </c>
      <c r="E570">
        <v>69</v>
      </c>
      <c r="F570">
        <v>77</v>
      </c>
      <c r="G570">
        <v>4</v>
      </c>
      <c r="H570" s="1">
        <v>6.5624999999999998E-3</v>
      </c>
      <c r="I570" t="s">
        <v>18</v>
      </c>
      <c r="J570" s="2" t="str">
        <f>HYPERLINK("https://www.nba.com/stats/events?CFID=&amp;CFPARAMS=&amp;GameEventID=404&amp;GameID=0021600264&amp;Season=2016-17&amp;flag=1&amp;title=Leonard%2012'%20Floating%20Jump%20Shot%20(20%20PTS)%20(Mills%202%20AST)", "Leonard 12' Floating Jump Shot (20 PTS) (Mills 2 AST)")</f>
        <v>Leonard 12' Floating Jump Shot (20 PTS) (Mills 2 AST)</v>
      </c>
      <c r="K570" s="2" t="str">
        <f>HYPERLINK("https://www.nba.com/game/...-vs-...-0021600264/play-by-play?watchFullGame=true", "SAS vs ORL - Q4 09:27.00")</f>
        <v>SAS vs ORL - Q4 09:27.00</v>
      </c>
      <c r="L570">
        <v>12</v>
      </c>
      <c r="M570">
        <v>-115</v>
      </c>
      <c r="N570">
        <v>-1</v>
      </c>
      <c r="O570">
        <v>-115</v>
      </c>
      <c r="P570">
        <v>-1</v>
      </c>
    </row>
    <row r="571" spans="1:16" x14ac:dyDescent="0.25">
      <c r="A571">
        <v>21500784</v>
      </c>
      <c r="B571">
        <v>2015</v>
      </c>
      <c r="C571" t="s">
        <v>32</v>
      </c>
      <c r="D571" t="s">
        <v>31</v>
      </c>
      <c r="E571">
        <v>90</v>
      </c>
      <c r="F571">
        <v>108</v>
      </c>
      <c r="G571">
        <v>4</v>
      </c>
      <c r="H571" s="1">
        <v>3.5532407407407409E-3</v>
      </c>
      <c r="I571" t="s">
        <v>18</v>
      </c>
      <c r="J571" s="2" t="str">
        <f>HYPERLINK("https://www.nba.com/stats/events?CFID=&amp;CFPARAMS=&amp;GameEventID=476&amp;GameID=0021500784&amp;Season=2015-16&amp;flag=1&amp;title=Leonard%2012'%20Step%20Back%20Jump%20Shot%20(23%20PTS)", "Leonard 12' Step Back Jump Shot (23 PTS)")</f>
        <v>Leonard 12' Step Back Jump Shot (23 PTS)</v>
      </c>
      <c r="K571" s="2" t="str">
        <f>HYPERLINK("https://www.nba.com/game/...-vs-...-0021500784/play-by-play?watchFullGame=true", "SAS vs MIA - Q4 05:07.00")</f>
        <v>SAS vs MIA - Q4 05:07.00</v>
      </c>
      <c r="L571">
        <v>12</v>
      </c>
      <c r="M571">
        <v>-115</v>
      </c>
      <c r="N571">
        <v>7</v>
      </c>
      <c r="O571">
        <v>-115</v>
      </c>
      <c r="P571">
        <v>7</v>
      </c>
    </row>
    <row r="572" spans="1:16" x14ac:dyDescent="0.25">
      <c r="A572">
        <v>21601033</v>
      </c>
      <c r="B572">
        <v>2016</v>
      </c>
      <c r="C572" t="s">
        <v>32</v>
      </c>
      <c r="D572" t="s">
        <v>19</v>
      </c>
      <c r="E572">
        <v>8</v>
      </c>
      <c r="F572">
        <v>10</v>
      </c>
      <c r="G572">
        <v>1</v>
      </c>
      <c r="H572" s="1">
        <v>4.2013888888888891E-3</v>
      </c>
      <c r="I572" t="s">
        <v>18</v>
      </c>
      <c r="J572" s="2" t="str">
        <f>HYPERLINK("https://www.nba.com/stats/events?CFID=&amp;CFPARAMS=&amp;GameEventID=48&amp;GameID=0021601033&amp;Season=2016-17&amp;flag=1&amp;title=Leonard%2012'%20Jump%20Shot%20(4%20PTS)", "Leonard 12' Jump Shot (4 PTS)")</f>
        <v>Leonard 12' Jump Shot (4 PTS)</v>
      </c>
      <c r="K572" s="2" t="str">
        <f>HYPERLINK("https://www.nba.com/game/...-vs-...-0021601033/play-by-play?watchFullGame=true", "SAS vs MEM - Q1 06:03.00")</f>
        <v>SAS vs MEM - Q1 06:03.00</v>
      </c>
      <c r="L572">
        <v>12</v>
      </c>
      <c r="M572">
        <v>-115</v>
      </c>
      <c r="N572">
        <v>8</v>
      </c>
      <c r="O572">
        <v>-115</v>
      </c>
      <c r="P572">
        <v>8</v>
      </c>
    </row>
    <row r="573" spans="1:16" x14ac:dyDescent="0.25">
      <c r="A573">
        <v>21601209</v>
      </c>
      <c r="B573">
        <v>2016</v>
      </c>
      <c r="C573" t="s">
        <v>32</v>
      </c>
      <c r="D573" t="s">
        <v>34</v>
      </c>
      <c r="E573">
        <v>60</v>
      </c>
      <c r="F573">
        <v>65</v>
      </c>
      <c r="G573">
        <v>3</v>
      </c>
      <c r="H573" s="1">
        <v>3.8657407407407408E-3</v>
      </c>
      <c r="I573" t="s">
        <v>18</v>
      </c>
      <c r="J573" s="2" t="str">
        <f>HYPERLINK("https://www.nba.com/stats/events?CFID=&amp;CFPARAMS=&amp;GameEventID=304&amp;GameID=0021601209&amp;Season=2016-17&amp;flag=1&amp;title=Leonard%2012'%20Turnaround%20Fadeaway%20(18%20PTS)%20(Parker%204%20AST)", "Leonard 12' Turnaround Fadeaway (18 PTS) (Parker 4 AST)")</f>
        <v>Leonard 12' Turnaround Fadeaway (18 PTS) (Parker 4 AST)</v>
      </c>
      <c r="K573" s="2" t="str">
        <f>HYPERLINK("https://www.nba.com/game/...-vs-...-0021601209/play-by-play?watchFullGame=true", "SAS vs POR - Q3 05:34.00")</f>
        <v>SAS vs POR - Q3 05:34.00</v>
      </c>
      <c r="L573">
        <v>12</v>
      </c>
      <c r="M573">
        <v>-115</v>
      </c>
      <c r="N573">
        <v>11</v>
      </c>
      <c r="O573">
        <v>-115</v>
      </c>
      <c r="P573">
        <v>11</v>
      </c>
    </row>
    <row r="574" spans="1:16" x14ac:dyDescent="0.25">
      <c r="A574">
        <v>21600543</v>
      </c>
      <c r="B574">
        <v>2016</v>
      </c>
      <c r="C574" t="s">
        <v>32</v>
      </c>
      <c r="D574" t="s">
        <v>34</v>
      </c>
      <c r="E574">
        <v>33</v>
      </c>
      <c r="F574">
        <v>29</v>
      </c>
      <c r="G574">
        <v>1</v>
      </c>
      <c r="H574" s="1">
        <v>6.9444444444444439E-6</v>
      </c>
      <c r="I574" t="s">
        <v>18</v>
      </c>
      <c r="J574" s="2" t="str">
        <f>HYPERLINK("https://www.nba.com/stats/events?CFID=&amp;CFPARAMS=&amp;GameEventID=100&amp;GameID=0021600543&amp;Season=2016-17&amp;flag=1&amp;title=Leonard%2012'%20Turnaround%20Fadeaway%20(5%20PTS)", "Leonard 12' Turnaround Fadeaway (5 PTS)")</f>
        <v>Leonard 12' Turnaround Fadeaway (5 PTS)</v>
      </c>
      <c r="K574" s="2" t="str">
        <f>HYPERLINK("https://www.nba.com/game/...-vs-...-0021600543/play-by-play?watchFullGame=true", "SAS vs DEN - Q1 00:00.60")</f>
        <v>SAS vs DEN - Q1 00:00.60</v>
      </c>
      <c r="L574">
        <v>12</v>
      </c>
      <c r="M574">
        <v>-115</v>
      </c>
      <c r="N574">
        <v>41</v>
      </c>
      <c r="O574">
        <v>-115</v>
      </c>
      <c r="P574">
        <v>41</v>
      </c>
    </row>
    <row r="575" spans="1:16" x14ac:dyDescent="0.25">
      <c r="A575">
        <v>21500061</v>
      </c>
      <c r="B575">
        <v>2015</v>
      </c>
      <c r="C575" t="s">
        <v>32</v>
      </c>
      <c r="D575" t="s">
        <v>31</v>
      </c>
      <c r="E575">
        <v>96</v>
      </c>
      <c r="F575">
        <v>94</v>
      </c>
      <c r="G575">
        <v>4</v>
      </c>
      <c r="H575" s="1">
        <v>1.1226851851851851E-3</v>
      </c>
      <c r="I575" t="s">
        <v>18</v>
      </c>
      <c r="J575" s="2" t="str">
        <f>HYPERLINK("https://www.nba.com/stats/events?CFID=&amp;CFPARAMS=&amp;GameEventID=485&amp;GameID=0021500061&amp;Season=2015-16&amp;flag=1&amp;title=Leonard%2021'%20Step%20Back%20Jump%20Shot%20(23%20PTS)%20(Duncan%205%20AST)", "Leonard 21' Step Back Jump Shot (23 PTS) (Duncan 5 AST)")</f>
        <v>Leonard 21' Step Back Jump Shot (23 PTS) (Duncan 5 AST)</v>
      </c>
      <c r="K575" s="2" t="str">
        <f>HYPERLINK("https://www.nba.com/game/...-vs-...-0021500061/play-by-play?watchFullGame=true", "SAS vs WAS - Q4 01:37.00")</f>
        <v>SAS vs WAS - Q4 01:37.00</v>
      </c>
      <c r="L575">
        <v>21</v>
      </c>
      <c r="M575">
        <v>-115</v>
      </c>
      <c r="N575">
        <v>175</v>
      </c>
      <c r="O575">
        <v>-115</v>
      </c>
      <c r="P575">
        <v>175</v>
      </c>
    </row>
    <row r="576" spans="1:16" x14ac:dyDescent="0.25">
      <c r="A576">
        <v>21500235</v>
      </c>
      <c r="B576">
        <v>2015</v>
      </c>
      <c r="C576" t="s">
        <v>16</v>
      </c>
      <c r="D576" t="s">
        <v>19</v>
      </c>
      <c r="E576">
        <v>56</v>
      </c>
      <c r="F576">
        <v>63</v>
      </c>
      <c r="G576">
        <v>3</v>
      </c>
      <c r="H576" s="1">
        <v>2.3379629629629631E-3</v>
      </c>
      <c r="I576" t="s">
        <v>18</v>
      </c>
      <c r="J576" s="2" t="str">
        <f>HYPERLINK("https://www.nba.com/stats/events?CFID=&amp;CFPARAMS=&amp;GameEventID=326&amp;GameID=0021500235&amp;Season=2015-16&amp;flag=1&amp;title=Leonard%2026'%203PT%20Jump%20Shot%20(23%20PTS)%20(Mills%201%20AST)", "Leonard 26' 3PT Jump Shot (23 PTS) (Mills 1 AST)")</f>
        <v>Leonard 26' 3PT Jump Shot (23 PTS) (Mills 1 AST)</v>
      </c>
      <c r="K576" s="2" t="str">
        <f>HYPERLINK("https://www.nba.com/game/...-vs-...-0021500235/play-by-play?watchFullGame=true", "SAS vs DEN - Q3 03:22.00")</f>
        <v>SAS vs DEN - Q3 03:22.00</v>
      </c>
      <c r="L576">
        <v>26</v>
      </c>
      <c r="M576">
        <v>-115</v>
      </c>
      <c r="N576">
        <v>228</v>
      </c>
      <c r="O576">
        <v>-115</v>
      </c>
      <c r="P576">
        <v>228</v>
      </c>
    </row>
    <row r="577" spans="1:16" x14ac:dyDescent="0.25">
      <c r="A577">
        <v>22000142</v>
      </c>
      <c r="B577">
        <v>2020</v>
      </c>
      <c r="C577" t="s">
        <v>16</v>
      </c>
      <c r="D577" t="s">
        <v>19</v>
      </c>
      <c r="E577">
        <v>62</v>
      </c>
      <c r="F577">
        <v>66</v>
      </c>
      <c r="G577">
        <v>3</v>
      </c>
      <c r="H577" s="1">
        <v>6.8634259259259256E-3</v>
      </c>
      <c r="I577" t="s">
        <v>23</v>
      </c>
      <c r="J577" s="2" t="str">
        <f>HYPERLINK("https://www.nba.com/stats/events?CFID=&amp;CFPARAMS=&amp;GameEventID=349&amp;GameID=0022000142&amp;Season=2020-21&amp;flag=1&amp;title=Leonard%2027'%203PT%20%20(17%20PTS)%20(P.%20George%206%20AST)", "27' 3PT  (17 PTS) (P. George 6 AST)")</f>
        <v>27' 3PT  (17 PTS) (P. George 6 AST)</v>
      </c>
      <c r="K577" s="2" t="str">
        <f>HYPERLINK("https://www.nba.com/game/...-vs-...-0022000142/play-by-play?watchFullGame=true", "LAC vs CHI - Q3 09:53.00")</f>
        <v>LAC vs CHI - Q3 09:53.00</v>
      </c>
      <c r="L577">
        <v>27.12</v>
      </c>
      <c r="M577">
        <v>68.28</v>
      </c>
      <c r="N577">
        <v>27.03</v>
      </c>
      <c r="O577">
        <v>-115</v>
      </c>
      <c r="P577">
        <v>246</v>
      </c>
    </row>
    <row r="578" spans="1:16" x14ac:dyDescent="0.25">
      <c r="A578">
        <v>41800301</v>
      </c>
      <c r="B578" t="s">
        <v>20</v>
      </c>
      <c r="C578" t="s">
        <v>32</v>
      </c>
      <c r="D578" t="s">
        <v>33</v>
      </c>
      <c r="E578">
        <v>13</v>
      </c>
      <c r="F578">
        <v>26</v>
      </c>
      <c r="G578">
        <v>1</v>
      </c>
      <c r="H578" s="1">
        <v>2.662037037037037E-3</v>
      </c>
      <c r="I578" t="s">
        <v>21</v>
      </c>
      <c r="J578" s="2" t="str">
        <f>HYPERLINK("https://www.nba.com/stats/events?CFID=&amp;CFPARAMS=&amp;GameEventID=109&amp;GameID=0041800301&amp;Season=2018-19&amp;flag=1&amp;title=Leonard%2011'%20Fadeaway%20Jumper%20(9%20PTS)", "Leonard 11' Fadeaway Jumper (9 PTS)")</f>
        <v>Leonard 11' Fadeaway Jumper (9 PTS)</v>
      </c>
      <c r="K578" s="2" t="str">
        <f>HYPERLINK("https://www.nba.com/game/...-vs-...-0041800301/play-by-play?watchFullGame=true", "TOR vs MIL - Q1 03:50.00")</f>
        <v>TOR vs MIL - Q1 03:50.00</v>
      </c>
      <c r="L578">
        <v>11</v>
      </c>
      <c r="M578">
        <v>-114</v>
      </c>
      <c r="N578">
        <v>-5</v>
      </c>
      <c r="O578">
        <v>-114</v>
      </c>
      <c r="P578">
        <v>-5</v>
      </c>
    </row>
    <row r="579" spans="1:16" x14ac:dyDescent="0.25">
      <c r="A579">
        <v>22000400</v>
      </c>
      <c r="B579">
        <v>2020</v>
      </c>
      <c r="C579" t="s">
        <v>32</v>
      </c>
      <c r="D579" t="s">
        <v>19</v>
      </c>
      <c r="E579">
        <v>27</v>
      </c>
      <c r="F579">
        <v>32</v>
      </c>
      <c r="G579">
        <v>2</v>
      </c>
      <c r="H579" s="1">
        <v>7.8009259259259256E-3</v>
      </c>
      <c r="I579" t="s">
        <v>23</v>
      </c>
      <c r="J579" s="2" t="str">
        <f>HYPERLINK("https://www.nba.com/stats/events?CFID=&amp;CFPARAMS=&amp;GameEventID=167&amp;GameID=0022000400&amp;Season=2020-21&amp;flag=1&amp;title=Leonard%2011'%20turnaround%20fadeaway%20Jump%20Shot%20(10%20PTS)", "11' turnaround fadeaway Jump Shot (10 PTS)")</f>
        <v>11' turnaround fadeaway Jump Shot (10 PTS)</v>
      </c>
      <c r="K579" s="2" t="str">
        <f>HYPERLINK("https://www.nba.com/game/...-vs-...-0022000400/play-by-play?watchFullGame=true", "LAC vs CHI - Q2 11:14.00")</f>
        <v>LAC vs CHI - Q2 11:14.00</v>
      </c>
      <c r="L579">
        <v>11.36</v>
      </c>
      <c r="M579">
        <v>94.69</v>
      </c>
      <c r="N579">
        <v>27.27</v>
      </c>
      <c r="O579">
        <v>-114</v>
      </c>
      <c r="P579">
        <v>-3</v>
      </c>
    </row>
    <row r="580" spans="1:16" x14ac:dyDescent="0.25">
      <c r="A580">
        <v>22000116</v>
      </c>
      <c r="B580">
        <v>2020</v>
      </c>
      <c r="C580" t="s">
        <v>32</v>
      </c>
      <c r="D580" t="s">
        <v>19</v>
      </c>
      <c r="E580">
        <v>42</v>
      </c>
      <c r="F580">
        <v>48</v>
      </c>
      <c r="G580">
        <v>2</v>
      </c>
      <c r="H580" s="1">
        <v>2.2106481481481482E-3</v>
      </c>
      <c r="I580" t="s">
        <v>23</v>
      </c>
      <c r="J580" s="2" t="str">
        <f>HYPERLINK("https://www.nba.com/stats/events?CFID=&amp;CFPARAMS=&amp;GameEventID=285&amp;GameID=0022000116&amp;Season=2020-21&amp;flag=1&amp;title=Leonard%2011'%20turnaround%20fadeaway%20Jump%20Shot%20(6%20PTS)", "11' turnaround fadeaway Jump Shot (6 PTS)")</f>
        <v>11' turnaround fadeaway Jump Shot (6 PTS)</v>
      </c>
      <c r="K580" s="2" t="str">
        <f>HYPERLINK("https://www.nba.com/game/...-vs-...-0022000116/play-by-play?watchFullGame=true", "LAC vs GSW - Q2 03:11.00")</f>
        <v>LAC vs GSW - Q2 03:11.00</v>
      </c>
      <c r="L580">
        <v>11.43</v>
      </c>
      <c r="M580">
        <v>5.6</v>
      </c>
      <c r="N580">
        <v>72.86</v>
      </c>
      <c r="O580">
        <v>-114</v>
      </c>
      <c r="P580">
        <v>72</v>
      </c>
    </row>
    <row r="581" spans="1:16" x14ac:dyDescent="0.25">
      <c r="A581">
        <v>21600016</v>
      </c>
      <c r="B581">
        <v>2016</v>
      </c>
      <c r="C581" t="s">
        <v>32</v>
      </c>
      <c r="D581" t="s">
        <v>31</v>
      </c>
      <c r="E581">
        <v>12</v>
      </c>
      <c r="F581">
        <v>6</v>
      </c>
      <c r="G581">
        <v>1</v>
      </c>
      <c r="H581" s="1">
        <v>4.8958333333333336E-3</v>
      </c>
      <c r="I581" t="s">
        <v>18</v>
      </c>
      <c r="J581" s="2" t="str">
        <f>HYPERLINK("https://www.nba.com/stats/events?CFID=&amp;CFPARAMS=&amp;GameEventID=39&amp;GameID=0021600016&amp;Season=2016-17&amp;flag=1&amp;title=Leonard%2014'%20Step%20Back%20Jump%20Shot%20(6%20PTS)", "Leonard 14' Step Back Jump Shot (6 PTS)")</f>
        <v>Leonard 14' Step Back Jump Shot (6 PTS)</v>
      </c>
      <c r="K581" s="2" t="str">
        <f>HYPERLINK("https://www.nba.com/game/...-vs-...-0021600016/play-by-play?watchFullGame=true", "SAS vs SAC - Q1 07:03.00")</f>
        <v>SAS vs SAC - Q1 07:03.00</v>
      </c>
      <c r="L581">
        <v>14</v>
      </c>
      <c r="M581">
        <v>-114</v>
      </c>
      <c r="N581">
        <v>77</v>
      </c>
      <c r="O581">
        <v>-114</v>
      </c>
      <c r="P581">
        <v>77</v>
      </c>
    </row>
    <row r="582" spans="1:16" x14ac:dyDescent="0.25">
      <c r="A582">
        <v>21600942</v>
      </c>
      <c r="B582">
        <v>2016</v>
      </c>
      <c r="C582" t="s">
        <v>32</v>
      </c>
      <c r="D582" t="s">
        <v>29</v>
      </c>
      <c r="E582">
        <v>69</v>
      </c>
      <c r="F582">
        <v>71</v>
      </c>
      <c r="G582">
        <v>3</v>
      </c>
      <c r="H582" s="1">
        <v>3.3912037037037036E-3</v>
      </c>
      <c r="I582" t="s">
        <v>18</v>
      </c>
      <c r="J582" s="2" t="str">
        <f>HYPERLINK("https://www.nba.com/stats/events?CFID=&amp;CFPARAMS=&amp;GameEventID=270&amp;GameID=0021600942&amp;Season=2016-17&amp;flag=1&amp;title=Leonard%2017'%20Pullup%20Jump%20Shot%20(18%20PTS)", "Leonard 17' Pullup Jump Shot (18 PTS)")</f>
        <v>Leonard 17' Pullup Jump Shot (18 PTS)</v>
      </c>
      <c r="K582" s="2" t="str">
        <f>HYPERLINK("https://www.nba.com/game/...-vs-...-0021600942/play-by-play?watchFullGame=true", "SAS vs HOU - Q3 04:53.00")</f>
        <v>SAS vs HOU - Q3 04:53.00</v>
      </c>
      <c r="L582">
        <v>17</v>
      </c>
      <c r="M582">
        <v>-114</v>
      </c>
      <c r="N582">
        <v>124</v>
      </c>
      <c r="O582">
        <v>-114</v>
      </c>
      <c r="P582">
        <v>124</v>
      </c>
    </row>
    <row r="583" spans="1:16" x14ac:dyDescent="0.25">
      <c r="A583">
        <v>21900292</v>
      </c>
      <c r="B583">
        <v>2019</v>
      </c>
      <c r="C583" t="s">
        <v>32</v>
      </c>
      <c r="D583" t="s">
        <v>22</v>
      </c>
      <c r="E583">
        <v>89</v>
      </c>
      <c r="F583">
        <v>68</v>
      </c>
      <c r="G583">
        <v>3</v>
      </c>
      <c r="H583" s="1">
        <v>6.898148148148148E-3</v>
      </c>
      <c r="I583" t="s">
        <v>23</v>
      </c>
      <c r="J583" s="2" t="str">
        <f>HYPERLINK("https://www.nba.com/stats/events?CFID=&amp;CFPARAMS=&amp;GameEventID=409&amp;GameID=0021900292&amp;Season=2019-20&amp;flag=1&amp;title=Leonard%2018'%20jumpshot%20(21%20PTS)", "18' jumpshot (21 PTS)")</f>
        <v>18' jumpshot (21 PTS)</v>
      </c>
      <c r="K583" s="2" t="str">
        <f>HYPERLINK("https://www.nba.com/game/...-vs-...-0021900292/play-by-play?watchFullGame=true", "LAC vs WAS - Q3 09:56.00")</f>
        <v>LAC vs WAS - Q3 09:56.00</v>
      </c>
      <c r="L583">
        <v>18.12</v>
      </c>
      <c r="M583">
        <v>20.02</v>
      </c>
      <c r="N583">
        <v>72.73</v>
      </c>
      <c r="O583">
        <v>-114</v>
      </c>
      <c r="P583">
        <v>136</v>
      </c>
    </row>
    <row r="584" spans="1:16" x14ac:dyDescent="0.25">
      <c r="A584">
        <v>21501177</v>
      </c>
      <c r="B584">
        <v>2015</v>
      </c>
      <c r="C584" t="s">
        <v>16</v>
      </c>
      <c r="D584" t="s">
        <v>29</v>
      </c>
      <c r="E584">
        <v>36</v>
      </c>
      <c r="F584">
        <v>24</v>
      </c>
      <c r="G584">
        <v>2</v>
      </c>
      <c r="H584" s="1">
        <v>5.2546296296296299E-3</v>
      </c>
      <c r="I584" t="s">
        <v>18</v>
      </c>
      <c r="J584" s="2" t="str">
        <f>HYPERLINK("https://www.nba.com/stats/events?CFID=&amp;CFPARAMS=&amp;GameEventID=159&amp;GameID=0021501177&amp;Season=2015-16&amp;flag=1&amp;title=Leonard%2025'%203PT%20Pullup%20Jump%20Shot%20(8%20PTS)%20(Aldridge%201%20AST)", "Leonard 25' 3PT Pullup Jump Shot (8 PTS) (Aldridge 1 AST)")</f>
        <v>Leonard 25' 3PT Pullup Jump Shot (8 PTS) (Aldridge 1 AST)</v>
      </c>
      <c r="K584" s="2" t="str">
        <f>HYPERLINK("https://www.nba.com/game/...-vs-...-0021501177/play-by-play?watchFullGame=true", "SAS vs GSW - Q2 07:34.00")</f>
        <v>SAS vs GSW - Q2 07:34.00</v>
      </c>
      <c r="L584">
        <v>25</v>
      </c>
      <c r="M584">
        <v>-114</v>
      </c>
      <c r="N584">
        <v>219</v>
      </c>
      <c r="O584">
        <v>-114</v>
      </c>
      <c r="P584">
        <v>219</v>
      </c>
    </row>
    <row r="585" spans="1:16" x14ac:dyDescent="0.25">
      <c r="A585">
        <v>21500566</v>
      </c>
      <c r="B585">
        <v>2015</v>
      </c>
      <c r="C585" t="s">
        <v>16</v>
      </c>
      <c r="D585" t="s">
        <v>19</v>
      </c>
      <c r="E585">
        <v>64</v>
      </c>
      <c r="F585">
        <v>82</v>
      </c>
      <c r="G585">
        <v>4</v>
      </c>
      <c r="H585" s="1">
        <v>6.6435185185185182E-3</v>
      </c>
      <c r="I585" t="s">
        <v>18</v>
      </c>
      <c r="J585" s="2" t="str">
        <f>HYPERLINK("https://www.nba.com/stats/events?CFID=&amp;CFPARAMS=&amp;GameEventID=374&amp;GameID=0021500566&amp;Season=2015-16&amp;flag=1&amp;title=Leonard%2025'%203PT%20Jump%20Shot%20(14%20PTS)%20(Diaw%204%20AST)", "Leonard 25' 3PT Jump Shot (14 PTS) (Diaw 4 AST)")</f>
        <v>Leonard 25' 3PT Jump Shot (14 PTS) (Diaw 4 AST)</v>
      </c>
      <c r="K585" s="2" t="str">
        <f>HYPERLINK("https://www.nba.com/game/...-vs-...-0021500566/play-by-play?watchFullGame=true", "SAS vs BKN - Q4 09:34.00")</f>
        <v>SAS vs BKN - Q4 09:34.00</v>
      </c>
      <c r="L585">
        <v>25</v>
      </c>
      <c r="M585">
        <v>-114</v>
      </c>
      <c r="N585">
        <v>224</v>
      </c>
      <c r="O585">
        <v>-114</v>
      </c>
      <c r="P585">
        <v>224</v>
      </c>
    </row>
    <row r="586" spans="1:16" x14ac:dyDescent="0.25">
      <c r="A586">
        <v>21500379</v>
      </c>
      <c r="B586">
        <v>2015</v>
      </c>
      <c r="C586" t="s">
        <v>16</v>
      </c>
      <c r="D586" t="s">
        <v>19</v>
      </c>
      <c r="E586">
        <v>66</v>
      </c>
      <c r="F586">
        <v>56</v>
      </c>
      <c r="G586">
        <v>3</v>
      </c>
      <c r="H586" s="1">
        <v>5.9027777777777776E-3</v>
      </c>
      <c r="I586" t="s">
        <v>18</v>
      </c>
      <c r="J586" s="2" t="str">
        <f>HYPERLINK("https://www.nba.com/stats/events?CFID=&amp;CFPARAMS=&amp;GameEventID=313&amp;GameID=0021500379&amp;Season=2015-16&amp;flag=1&amp;title=Leonard%2026'%203PT%20Jump%20Shot%20(20%20PTS)%20(Parker%206%20AST)", "Leonard 26' 3PT Jump Shot (20 PTS) (Parker 6 AST)")</f>
        <v>Leonard 26' 3PT Jump Shot (20 PTS) (Parker 6 AST)</v>
      </c>
      <c r="K586" s="2" t="str">
        <f>HYPERLINK("https://www.nba.com/game/...-vs-...-0021500379/play-by-play?watchFullGame=true", "SAS vs WAS - Q3 08:30.00")</f>
        <v>SAS vs WAS - Q3 08:30.00</v>
      </c>
      <c r="L586">
        <v>26</v>
      </c>
      <c r="M586">
        <v>-114</v>
      </c>
      <c r="N586">
        <v>229</v>
      </c>
      <c r="O586">
        <v>-114</v>
      </c>
      <c r="P586">
        <v>229</v>
      </c>
    </row>
    <row r="587" spans="1:16" x14ac:dyDescent="0.25">
      <c r="A587">
        <v>41800404</v>
      </c>
      <c r="B587" t="s">
        <v>20</v>
      </c>
      <c r="C587" t="s">
        <v>32</v>
      </c>
      <c r="D587" t="s">
        <v>19</v>
      </c>
      <c r="E587">
        <v>67</v>
      </c>
      <c r="F587">
        <v>79</v>
      </c>
      <c r="G587">
        <v>3</v>
      </c>
      <c r="H587" s="1">
        <v>4.6296296296296294E-5</v>
      </c>
      <c r="I587" t="s">
        <v>21</v>
      </c>
      <c r="J587" s="2" t="str">
        <f>HYPERLINK("https://www.nba.com/stats/events?CFID=&amp;CFPARAMS=&amp;GameEventID=497&amp;GameID=0041800404&amp;Season=2018-19&amp;flag=1&amp;title=Leonard%2011'%20Jump%20Shot%20(31%20PTS)%20(VanVleet%206%20AST)", "Leonard 11' Jump Shot (31 PTS) (VanVleet 6 AST)")</f>
        <v>Leonard 11' Jump Shot (31 PTS) (VanVleet 6 AST)</v>
      </c>
      <c r="K587" s="2" t="str">
        <f>HYPERLINK("https://www.nba.com/game/...-vs-...-0041800404/play-by-play?watchFullGame=true", "TOR vs GSW - Q3 00:04.00")</f>
        <v>TOR vs GSW - Q3 00:04.00</v>
      </c>
      <c r="L587">
        <v>11</v>
      </c>
      <c r="M587">
        <v>-112</v>
      </c>
      <c r="N587">
        <v>0</v>
      </c>
      <c r="O587">
        <v>-112</v>
      </c>
      <c r="P587">
        <v>0</v>
      </c>
    </row>
    <row r="588" spans="1:16" x14ac:dyDescent="0.25">
      <c r="A588">
        <v>21900626</v>
      </c>
      <c r="B588">
        <v>2019</v>
      </c>
      <c r="C588" t="s">
        <v>32</v>
      </c>
      <c r="D588" t="s">
        <v>22</v>
      </c>
      <c r="E588">
        <v>90</v>
      </c>
      <c r="F588">
        <v>82</v>
      </c>
      <c r="G588">
        <v>3</v>
      </c>
      <c r="H588" s="1">
        <v>5.4050925925925924E-3</v>
      </c>
      <c r="I588" t="s">
        <v>23</v>
      </c>
      <c r="J588" s="2" t="str">
        <f>HYPERLINK("https://www.nba.com/stats/events?CFID=&amp;CFPARAMS=&amp;GameEventID=443&amp;GameID=0021900626&amp;Season=2019-20&amp;flag=1&amp;title=Leonard%2012'%20jumpshot%20(29%20PTS)", "12' jumpshot (29 PTS)")</f>
        <v>12' jumpshot (29 PTS)</v>
      </c>
      <c r="K588" s="2" t="str">
        <f>HYPERLINK("https://www.nba.com/game/...-vs-...-0021900626/play-by-play?watchFullGame=true", "LAC vs NOP - Q3 07:47.00")</f>
        <v>LAC vs NOP - Q3 07:47.00</v>
      </c>
      <c r="L588">
        <v>11.54</v>
      </c>
      <c r="M588">
        <v>92.2</v>
      </c>
      <c r="N588">
        <v>27.52</v>
      </c>
      <c r="O588">
        <v>-112</v>
      </c>
      <c r="P588">
        <v>21</v>
      </c>
    </row>
    <row r="589" spans="1:16" x14ac:dyDescent="0.25">
      <c r="A589">
        <v>21600588</v>
      </c>
      <c r="B589">
        <v>2016</v>
      </c>
      <c r="C589" t="s">
        <v>32</v>
      </c>
      <c r="D589" t="s">
        <v>29</v>
      </c>
      <c r="E589">
        <v>6</v>
      </c>
      <c r="F589">
        <v>2</v>
      </c>
      <c r="G589">
        <v>1</v>
      </c>
      <c r="H589" s="1">
        <v>7.5347222222222222E-3</v>
      </c>
      <c r="I589" t="s">
        <v>18</v>
      </c>
      <c r="J589" s="2" t="str">
        <f>HYPERLINK("https://www.nba.com/stats/events?CFID=&amp;CFPARAMS=&amp;GameEventID=11&amp;GameID=0021600588&amp;Season=2016-17&amp;flag=1&amp;title=Leonard%2013'%20Pullup%20Jump%20Shot%20(2%20PTS)", "Leonard 13' Pullup Jump Shot (2 PTS)")</f>
        <v>Leonard 13' Pullup Jump Shot (2 PTS)</v>
      </c>
      <c r="K589" s="2" t="str">
        <f>HYPERLINK("https://www.nba.com/game/...-vs-...-0021600588/play-by-play?watchFullGame=true", "SAS vs LAL - Q1 10:51.00")</f>
        <v>SAS vs LAL - Q1 10:51.00</v>
      </c>
      <c r="L589">
        <v>13</v>
      </c>
      <c r="M589">
        <v>-112</v>
      </c>
      <c r="N589">
        <v>65</v>
      </c>
      <c r="O589">
        <v>-112</v>
      </c>
      <c r="P589">
        <v>65</v>
      </c>
    </row>
    <row r="590" spans="1:16" x14ac:dyDescent="0.25">
      <c r="A590">
        <v>41600151</v>
      </c>
      <c r="B590" t="s">
        <v>30</v>
      </c>
      <c r="C590" t="s">
        <v>32</v>
      </c>
      <c r="D590" t="s">
        <v>29</v>
      </c>
      <c r="E590">
        <v>52</v>
      </c>
      <c r="F590">
        <v>49</v>
      </c>
      <c r="G590">
        <v>2</v>
      </c>
      <c r="H590" s="1">
        <v>3.3333333333333332E-4</v>
      </c>
      <c r="I590" t="s">
        <v>18</v>
      </c>
      <c r="J590" s="2" t="str">
        <f>HYPERLINK("https://www.nba.com/stats/events?CFID=&amp;CFPARAMS=&amp;GameEventID=218&amp;GameID=0041600151&amp;Season=2016-17&amp;flag=1&amp;title=Leonard%2019'%20Pullup%20Jump%20Shot%20(17%20PTS)", "Leonard 19' Pullup Jump Shot (17 PTS)")</f>
        <v>Leonard 19' Pullup Jump Shot (17 PTS)</v>
      </c>
      <c r="K590" s="2" t="str">
        <f>HYPERLINK("https://www.nba.com/game/...-vs-...-0041600151/play-by-play?watchFullGame=true", "SAS vs MEM - Q2 00:28.80")</f>
        <v>SAS vs MEM - Q2 00:28.80</v>
      </c>
      <c r="L590">
        <v>19</v>
      </c>
      <c r="M590">
        <v>-112</v>
      </c>
      <c r="N590">
        <v>154</v>
      </c>
      <c r="O590">
        <v>-112</v>
      </c>
      <c r="P590">
        <v>154</v>
      </c>
    </row>
    <row r="591" spans="1:16" x14ac:dyDescent="0.25">
      <c r="A591">
        <v>21900576</v>
      </c>
      <c r="B591">
        <v>2019</v>
      </c>
      <c r="C591" t="s">
        <v>32</v>
      </c>
      <c r="D591" t="s">
        <v>22</v>
      </c>
      <c r="E591">
        <v>96</v>
      </c>
      <c r="F591">
        <v>91</v>
      </c>
      <c r="G591">
        <v>4</v>
      </c>
      <c r="H591" s="1">
        <v>3.5185185185185185E-3</v>
      </c>
      <c r="I591" t="s">
        <v>23</v>
      </c>
      <c r="J591" s="2" t="str">
        <f>HYPERLINK("https://www.nba.com/stats/events?CFID=&amp;CFPARAMS=&amp;GameEventID=642&amp;GameID=0021900576&amp;Season=2019-20&amp;flag=1&amp;title=Leonard%2020'%20jumpshot%20(32%20PTS)", "20' jumpshot (32 PTS)")</f>
        <v>20' jumpshot (32 PTS)</v>
      </c>
      <c r="K591" s="2" t="str">
        <f>HYPERLINK("https://www.nba.com/game/...-vs-...-0021900576/play-by-play?watchFullGame=true", "LAC vs GSW - Q4 05:04.00")</f>
        <v>LAC vs GSW - Q4 05:04.00</v>
      </c>
      <c r="L591">
        <v>20.04</v>
      </c>
      <c r="M591">
        <v>22.65</v>
      </c>
      <c r="N591">
        <v>72.48</v>
      </c>
      <c r="O591">
        <v>-112</v>
      </c>
      <c r="P591">
        <v>160</v>
      </c>
    </row>
    <row r="592" spans="1:16" x14ac:dyDescent="0.25">
      <c r="A592">
        <v>21500960</v>
      </c>
      <c r="B592">
        <v>2015</v>
      </c>
      <c r="C592" t="s">
        <v>16</v>
      </c>
      <c r="D592" t="s">
        <v>29</v>
      </c>
      <c r="E592">
        <v>78</v>
      </c>
      <c r="F592">
        <v>70</v>
      </c>
      <c r="G592">
        <v>3</v>
      </c>
      <c r="H592" s="1">
        <v>1.7013888888888888E-3</v>
      </c>
      <c r="I592" t="s">
        <v>18</v>
      </c>
      <c r="J592" s="2" t="str">
        <f>HYPERLINK("https://www.nba.com/stats/events?CFID=&amp;CFPARAMS=&amp;GameEventID=350&amp;GameID=0021500960&amp;Season=2015-16&amp;flag=1&amp;title=Leonard%2025'%203PT%20Pullup%20Jump%20Shot%20(22%20PTS)", "Leonard 25' 3PT Pullup Jump Shot (22 PTS)")</f>
        <v>Leonard 25' 3PT Pullup Jump Shot (22 PTS)</v>
      </c>
      <c r="K592" s="2" t="str">
        <f>HYPERLINK("https://www.nba.com/game/...-vs-...-0021500960/play-by-play?watchFullGame=true", "SAS vs CHI - Q3 02:27.00")</f>
        <v>SAS vs CHI - Q3 02:27.00</v>
      </c>
      <c r="L592">
        <v>25</v>
      </c>
      <c r="M592">
        <v>-112</v>
      </c>
      <c r="N592">
        <v>218</v>
      </c>
      <c r="O592">
        <v>-112</v>
      </c>
      <c r="P592">
        <v>218</v>
      </c>
    </row>
    <row r="593" spans="1:16" x14ac:dyDescent="0.25">
      <c r="A593">
        <v>22400671</v>
      </c>
      <c r="B593">
        <v>2024</v>
      </c>
      <c r="C593" t="s">
        <v>16</v>
      </c>
      <c r="D593" t="s">
        <v>19</v>
      </c>
      <c r="E593">
        <v>67</v>
      </c>
      <c r="F593">
        <v>79</v>
      </c>
      <c r="G593">
        <v>3</v>
      </c>
      <c r="H593" s="1">
        <v>6.145833333333333E-3</v>
      </c>
      <c r="I593" t="s">
        <v>23</v>
      </c>
      <c r="J593" s="2" t="str">
        <f>HYPERLINK("https://www.nba.com/stats/events?CFID=&amp;CFPARAMS=&amp;GameEventID=381&amp;GameID=0022400671&amp;Season=2024-25&amp;flag=1&amp;title=Leonard%2025'%203PT%20step%20back%20(19%20PTS)", "25' 3PT step back (19 PTS)")</f>
        <v>25' 3PT step back (19 PTS)</v>
      </c>
      <c r="K593" s="2" t="str">
        <f>HYPERLINK("https://www.nba.com/game/...-vs-...-0022400671/play-by-play?watchFullGame=true", "LAC vs SAS - Q3 08:51.00")</f>
        <v>LAC vs SAS - Q3 08:51.00</v>
      </c>
      <c r="L593">
        <v>25.22</v>
      </c>
      <c r="M593">
        <v>29.65</v>
      </c>
      <c r="N593">
        <v>72.3</v>
      </c>
      <c r="O593">
        <v>-112</v>
      </c>
      <c r="P593">
        <v>226</v>
      </c>
    </row>
    <row r="594" spans="1:16" x14ac:dyDescent="0.25">
      <c r="A594">
        <v>22300708</v>
      </c>
      <c r="B594">
        <v>2023</v>
      </c>
      <c r="C594" t="s">
        <v>16</v>
      </c>
      <c r="D594" t="s">
        <v>19</v>
      </c>
      <c r="E594">
        <v>36</v>
      </c>
      <c r="F594">
        <v>41</v>
      </c>
      <c r="G594">
        <v>2</v>
      </c>
      <c r="H594" s="1">
        <v>1.9907407407407408E-3</v>
      </c>
      <c r="I594" t="s">
        <v>23</v>
      </c>
      <c r="J594" s="2" t="str">
        <f>HYPERLINK("https://www.nba.com/stats/events?CFID=&amp;CFPARAMS=&amp;GameEventID=230&amp;GameID=0022300708&amp;Season=2023-24&amp;flag=1&amp;title=Leonard%2025'%203PT%20%20(9%20PTS)%20(T.%20Mann%201%20AST)", "25' 3PT  (9 PTS) (T. Mann 1 AST)")</f>
        <v>25' 3PT  (9 PTS) (T. Mann 1 AST)</v>
      </c>
      <c r="K594" s="2" t="str">
        <f>HYPERLINK("https://www.nba.com/game/...-vs-...-0022300708/play-by-play?watchFullGame=true", "LAC vs MIA - Q2 02:52.00")</f>
        <v>LAC vs MIA - Q2 02:52.00</v>
      </c>
      <c r="L594">
        <v>25.99</v>
      </c>
      <c r="M594">
        <v>30.57</v>
      </c>
      <c r="N594">
        <v>72.3</v>
      </c>
      <c r="O594">
        <v>-112</v>
      </c>
      <c r="P594">
        <v>235</v>
      </c>
    </row>
    <row r="595" spans="1:16" x14ac:dyDescent="0.25">
      <c r="A595">
        <v>21900626</v>
      </c>
      <c r="B595">
        <v>2019</v>
      </c>
      <c r="C595" t="s">
        <v>32</v>
      </c>
      <c r="D595" t="s">
        <v>22</v>
      </c>
      <c r="E595">
        <v>1</v>
      </c>
      <c r="F595">
        <v>6</v>
      </c>
      <c r="G595">
        <v>1</v>
      </c>
      <c r="H595" s="1">
        <v>7.2916666666666668E-3</v>
      </c>
      <c r="I595" t="s">
        <v>23</v>
      </c>
      <c r="J595" s="2" t="str">
        <f>HYPERLINK("https://www.nba.com/stats/events?CFID=&amp;CFPARAMS=&amp;GameEventID=25&amp;GameID=0021900626&amp;Season=2019-20&amp;flag=1&amp;title=Leonard%2011'%20jumpshot%20(2%20PTS)%20(P.%20Beverley%201%20AST)", "11' jumpshot (2 PTS) (P. Beverley 1 AST)")</f>
        <v>11' jumpshot (2 PTS) (P. Beverley 1 AST)</v>
      </c>
      <c r="K595" s="2" t="str">
        <f>HYPERLINK("https://www.nba.com/game/...-vs-...-0021900626/play-by-play?watchFullGame=true", "LAC vs NOP - Q1 10:30.00")</f>
        <v>LAC vs NOP - Q1 10:30.00</v>
      </c>
      <c r="L595">
        <v>11.07</v>
      </c>
      <c r="M595">
        <v>4.55</v>
      </c>
      <c r="N595">
        <v>72.13</v>
      </c>
      <c r="O595">
        <v>-111</v>
      </c>
      <c r="P595">
        <v>-10</v>
      </c>
    </row>
    <row r="596" spans="1:16" x14ac:dyDescent="0.25">
      <c r="A596">
        <v>21401150</v>
      </c>
      <c r="B596">
        <v>2014</v>
      </c>
      <c r="C596" t="s">
        <v>32</v>
      </c>
      <c r="D596" t="s">
        <v>34</v>
      </c>
      <c r="E596">
        <v>6</v>
      </c>
      <c r="F596">
        <v>1</v>
      </c>
      <c r="G596">
        <v>1</v>
      </c>
      <c r="H596" s="1">
        <v>6.8171296296296296E-3</v>
      </c>
      <c r="I596" t="s">
        <v>18</v>
      </c>
      <c r="J596" s="2" t="str">
        <f>HYPERLINK("https://www.nba.com/stats/events?CFID=&amp;CFPARAMS=&amp;GameEventID=18&amp;GameID=0021401150&amp;Season=2014-15&amp;flag=1&amp;title=Leonard%2011'%20Turnaround%20Fadeaway%20(4%20PTS)", "Leonard 11' Turnaround Fadeaway (4 PTS)")</f>
        <v>Leonard 11' Turnaround Fadeaway (4 PTS)</v>
      </c>
      <c r="K596" s="2" t="str">
        <f>HYPERLINK("https://www.nba.com/game/...-vs-...-0021401150/play-by-play?watchFullGame=true", "SAS vs GSW - Q1 09:49.00")</f>
        <v>SAS vs GSW - Q1 09:49.00</v>
      </c>
      <c r="L596">
        <v>11</v>
      </c>
      <c r="M596">
        <v>-111</v>
      </c>
      <c r="N596">
        <v>9</v>
      </c>
      <c r="O596">
        <v>-111</v>
      </c>
      <c r="P596">
        <v>9</v>
      </c>
    </row>
    <row r="597" spans="1:16" x14ac:dyDescent="0.25">
      <c r="A597">
        <v>41400161</v>
      </c>
      <c r="B597" t="s">
        <v>28</v>
      </c>
      <c r="C597" t="s">
        <v>32</v>
      </c>
      <c r="D597" t="s">
        <v>19</v>
      </c>
      <c r="E597">
        <v>33</v>
      </c>
      <c r="F597">
        <v>30</v>
      </c>
      <c r="G597">
        <v>2</v>
      </c>
      <c r="H597" s="1">
        <v>5.7986111111111112E-3</v>
      </c>
      <c r="I597" t="s">
        <v>18</v>
      </c>
      <c r="J597" s="2" t="str">
        <f>HYPERLINK("https://www.nba.com/stats/events?CFID=&amp;CFPARAMS=&amp;GameEventID=196&amp;GameID=0041400161&amp;Season=2014-15&amp;flag=1&amp;title=Leonard%2011'%20Jump%20Shot%20(5%20PTS)%20(Diaw%202%20AST)", "Leonard 11' Jump Shot (5 PTS) (Diaw 2 AST)")</f>
        <v>Leonard 11' Jump Shot (5 PTS) (Diaw 2 AST)</v>
      </c>
      <c r="K597" s="2" t="str">
        <f>HYPERLINK("https://www.nba.com/game/...-vs-...-0041400161/play-by-play?watchFullGame=true", "SAS vs LAC - Q2 08:21.00")</f>
        <v>SAS vs LAC - Q2 08:21.00</v>
      </c>
      <c r="L597">
        <v>11</v>
      </c>
      <c r="M597">
        <v>-111</v>
      </c>
      <c r="N597">
        <v>15</v>
      </c>
      <c r="O597">
        <v>-111</v>
      </c>
      <c r="P597">
        <v>15</v>
      </c>
    </row>
    <row r="598" spans="1:16" x14ac:dyDescent="0.25">
      <c r="A598">
        <v>21400949</v>
      </c>
      <c r="B598">
        <v>2014</v>
      </c>
      <c r="C598" t="s">
        <v>32</v>
      </c>
      <c r="D598" t="s">
        <v>19</v>
      </c>
      <c r="E598">
        <v>19</v>
      </c>
      <c r="F598">
        <v>13</v>
      </c>
      <c r="G598">
        <v>1</v>
      </c>
      <c r="H598" s="1">
        <v>1.8749999999999999E-3</v>
      </c>
      <c r="I598" t="s">
        <v>18</v>
      </c>
      <c r="J598" s="2" t="str">
        <f>HYPERLINK("https://www.nba.com/stats/events?CFID=&amp;CFPARAMS=&amp;GameEventID=91&amp;GameID=0021400949&amp;Season=2014-15&amp;flag=1&amp;title=Leonard%2012'%20Jump%20Shot%20(4%20PTS)%20(Diaw%202%20AST)", "Leonard 12' Jump Shot (4 PTS) (Diaw 2 AST)")</f>
        <v>Leonard 12' Jump Shot (4 PTS) (Diaw 2 AST)</v>
      </c>
      <c r="K598" s="2" t="str">
        <f>HYPERLINK("https://www.nba.com/game/...-vs-...-0021400949/play-by-play?watchFullGame=true", "SAS vs TOR - Q1 02:42.00")</f>
        <v>SAS vs TOR - Q1 02:42.00</v>
      </c>
      <c r="L598">
        <v>12</v>
      </c>
      <c r="M598">
        <v>-111</v>
      </c>
      <c r="N598">
        <v>33</v>
      </c>
      <c r="O598">
        <v>-111</v>
      </c>
      <c r="P598">
        <v>33</v>
      </c>
    </row>
    <row r="599" spans="1:16" x14ac:dyDescent="0.25">
      <c r="A599">
        <v>21401157</v>
      </c>
      <c r="B599">
        <v>2014</v>
      </c>
      <c r="C599" t="s">
        <v>32</v>
      </c>
      <c r="D599" t="s">
        <v>24</v>
      </c>
      <c r="E599">
        <v>33</v>
      </c>
      <c r="F599">
        <v>54</v>
      </c>
      <c r="G599">
        <v>2</v>
      </c>
      <c r="H599" s="1">
        <v>2.3263888888888887E-3</v>
      </c>
      <c r="I599" t="s">
        <v>18</v>
      </c>
      <c r="J599" s="2" t="str">
        <f>HYPERLINK("https://www.nba.com/stats/events?CFID=&amp;CFPARAMS=&amp;GameEventID=229&amp;GameID=0021401157&amp;Season=2014-15&amp;flag=1&amp;title=Leonard%2012'%20Turnaround%20Jump%20Shot%20(21%20PTS)", "Leonard 12' Turnaround Jump Shot (21 PTS)")</f>
        <v>Leonard 12' Turnaround Jump Shot (21 PTS)</v>
      </c>
      <c r="K599" s="2" t="str">
        <f>HYPERLINK("https://www.nba.com/game/...-vs-...-0021401157/play-by-play?watchFullGame=true", "SAS vs OKC - Q2 03:21.00")</f>
        <v>SAS vs OKC - Q2 03:21.00</v>
      </c>
      <c r="L599">
        <v>12</v>
      </c>
      <c r="M599">
        <v>-111</v>
      </c>
      <c r="N599">
        <v>45</v>
      </c>
      <c r="O599">
        <v>-111</v>
      </c>
      <c r="P599">
        <v>45</v>
      </c>
    </row>
    <row r="600" spans="1:16" x14ac:dyDescent="0.25">
      <c r="A600">
        <v>41800212</v>
      </c>
      <c r="B600" t="s">
        <v>20</v>
      </c>
      <c r="C600" t="s">
        <v>16</v>
      </c>
      <c r="D600" t="s">
        <v>29</v>
      </c>
      <c r="E600">
        <v>22</v>
      </c>
      <c r="F600">
        <v>31</v>
      </c>
      <c r="G600">
        <v>2</v>
      </c>
      <c r="H600" s="1">
        <v>6.4004629629629628E-3</v>
      </c>
      <c r="I600" t="s">
        <v>21</v>
      </c>
      <c r="J600" s="2" t="str">
        <f>HYPERLINK("https://www.nba.com/stats/events?CFID=&amp;CFPARAMS=&amp;GameEventID=195&amp;GameID=0041800212&amp;Season=2018-19&amp;flag=1&amp;title=Leonard%2025'%203PT%20Pullup%20Jump%20Shot%20(9%20PTS)", "Leonard 25' 3PT Pullup Jump Shot (9 PTS)")</f>
        <v>Leonard 25' 3PT Pullup Jump Shot (9 PTS)</v>
      </c>
      <c r="K600" s="2" t="str">
        <f>HYPERLINK("https://www.nba.com/game/...-vs-...-0041800212/play-by-play?watchFullGame=true", "TOR vs PHI - Q2 09:13.00")</f>
        <v>TOR vs PHI - Q2 09:13.00</v>
      </c>
      <c r="L600">
        <v>25</v>
      </c>
      <c r="M600">
        <v>-111</v>
      </c>
      <c r="N600">
        <v>220</v>
      </c>
      <c r="O600">
        <v>-111</v>
      </c>
      <c r="P600">
        <v>220</v>
      </c>
    </row>
    <row r="601" spans="1:16" x14ac:dyDescent="0.25">
      <c r="A601">
        <v>21500502</v>
      </c>
      <c r="B601">
        <v>2015</v>
      </c>
      <c r="C601" t="s">
        <v>32</v>
      </c>
      <c r="D601" t="s">
        <v>34</v>
      </c>
      <c r="E601">
        <v>67</v>
      </c>
      <c r="F601">
        <v>65</v>
      </c>
      <c r="G601">
        <v>3</v>
      </c>
      <c r="H601" s="1">
        <v>5.6597222222222222E-3</v>
      </c>
      <c r="I601" t="s">
        <v>18</v>
      </c>
      <c r="J601" s="2" t="str">
        <f>HYPERLINK("https://www.nba.com/stats/events?CFID=&amp;CFPARAMS=&amp;GameEventID=295&amp;GameID=0021500502&amp;Season=2015-16&amp;flag=1&amp;title=Leonard%2011'%20Turnaround%20Fadeaway%20(17%20PTS)", "Leonard 11' Turnaround Fadeaway (17 PTS)")</f>
        <v>Leonard 11' Turnaround Fadeaway (17 PTS)</v>
      </c>
      <c r="K601" s="2" t="str">
        <f>HYPERLINK("https://www.nba.com/game/...-vs-...-0021500502/play-by-play?watchFullGame=true", "SAS vs HOU - Q3 08:09.00")</f>
        <v>SAS vs HOU - Q3 08:09.00</v>
      </c>
      <c r="L601">
        <v>11</v>
      </c>
      <c r="M601">
        <v>-110</v>
      </c>
      <c r="N601">
        <v>11</v>
      </c>
      <c r="O601">
        <v>-110</v>
      </c>
      <c r="P601">
        <v>11</v>
      </c>
    </row>
    <row r="602" spans="1:16" x14ac:dyDescent="0.25">
      <c r="A602">
        <v>21600319</v>
      </c>
      <c r="B602">
        <v>2016</v>
      </c>
      <c r="C602" t="s">
        <v>32</v>
      </c>
      <c r="D602" t="s">
        <v>19</v>
      </c>
      <c r="E602">
        <v>44</v>
      </c>
      <c r="F602">
        <v>43</v>
      </c>
      <c r="G602">
        <v>2</v>
      </c>
      <c r="H602" s="1">
        <v>6.226851851851851E-4</v>
      </c>
      <c r="I602" t="s">
        <v>18</v>
      </c>
      <c r="J602" s="2" t="str">
        <f>HYPERLINK("https://www.nba.com/stats/events?CFID=&amp;CFPARAMS=&amp;GameEventID=208&amp;GameID=0021600319&amp;Season=2016-17&amp;flag=1&amp;title=Leonard%2011'%20Jump%20Shot%20(12%20PTS)", "Leonard 11' Jump Shot (12 PTS)")</f>
        <v>Leonard 11' Jump Shot (12 PTS)</v>
      </c>
      <c r="K602" s="2" t="str">
        <f>HYPERLINK("https://www.nba.com/game/...-vs-...-0021600319/play-by-play?watchFullGame=true", "SAS vs MIN - Q2 00:53.80")</f>
        <v>SAS vs MIN - Q2 00:53.80</v>
      </c>
      <c r="L602">
        <v>11</v>
      </c>
      <c r="M602">
        <v>-110</v>
      </c>
      <c r="N602">
        <v>16</v>
      </c>
      <c r="O602">
        <v>-110</v>
      </c>
      <c r="P602">
        <v>16</v>
      </c>
    </row>
    <row r="603" spans="1:16" x14ac:dyDescent="0.25">
      <c r="A603">
        <v>41800213</v>
      </c>
      <c r="B603" t="s">
        <v>20</v>
      </c>
      <c r="C603" t="s">
        <v>32</v>
      </c>
      <c r="D603" t="s">
        <v>33</v>
      </c>
      <c r="E603">
        <v>52</v>
      </c>
      <c r="F603">
        <v>44</v>
      </c>
      <c r="G603">
        <v>2</v>
      </c>
      <c r="H603" s="1">
        <v>2.5578703703703705E-3</v>
      </c>
      <c r="I603" t="s">
        <v>21</v>
      </c>
      <c r="J603" s="2" t="str">
        <f>HYPERLINK("https://www.nba.com/stats/events?CFID=&amp;CFPARAMS=&amp;GameEventID=261&amp;GameID=0041800213&amp;Season=2018-19&amp;flag=1&amp;title=Leonard%2013'%20Fadeaway%20Jumper%20(15%20PTS)", "Leonard 13' Fadeaway Jumper (15 PTS)")</f>
        <v>Leonard 13' Fadeaway Jumper (15 PTS)</v>
      </c>
      <c r="K603" s="2" t="str">
        <f>HYPERLINK("https://www.nba.com/game/...-vs-...-0041800213/play-by-play?watchFullGame=true", "TOR vs PHI - Q2 03:41.00")</f>
        <v>TOR vs PHI - Q2 03:41.00</v>
      </c>
      <c r="L603">
        <v>13</v>
      </c>
      <c r="M603">
        <v>-110</v>
      </c>
      <c r="N603">
        <v>75</v>
      </c>
      <c r="O603">
        <v>-110</v>
      </c>
      <c r="P603">
        <v>75</v>
      </c>
    </row>
    <row r="604" spans="1:16" x14ac:dyDescent="0.25">
      <c r="A604">
        <v>21600727</v>
      </c>
      <c r="B604">
        <v>2016</v>
      </c>
      <c r="C604" t="s">
        <v>32</v>
      </c>
      <c r="D604" t="s">
        <v>29</v>
      </c>
      <c r="E604">
        <v>78</v>
      </c>
      <c r="F604">
        <v>75</v>
      </c>
      <c r="G604">
        <v>3</v>
      </c>
      <c r="H604" s="1">
        <v>8.5648148148148158E-5</v>
      </c>
      <c r="I604" t="s">
        <v>18</v>
      </c>
      <c r="J604" s="2" t="str">
        <f>HYPERLINK("https://www.nba.com/stats/events?CFID=&amp;CFPARAMS=&amp;GameEventID=485&amp;GameID=0021600727&amp;Season=2016-17&amp;flag=1&amp;title=Leonard%2019'%20Pullup%20Jump%20Shot%20(23%20PTS)", "Leonard 19' Pullup Jump Shot (23 PTS)")</f>
        <v>Leonard 19' Pullup Jump Shot (23 PTS)</v>
      </c>
      <c r="K604" s="2" t="str">
        <f>HYPERLINK("https://www.nba.com/game/...-vs-...-0021600727/play-by-play?watchFullGame=true", "SAS vs OKC - Q3 00:07.40")</f>
        <v>SAS vs OKC - Q3 00:07.40</v>
      </c>
      <c r="L604">
        <v>19</v>
      </c>
      <c r="M604">
        <v>-110</v>
      </c>
      <c r="N604">
        <v>159</v>
      </c>
      <c r="O604">
        <v>-110</v>
      </c>
      <c r="P604">
        <v>159</v>
      </c>
    </row>
    <row r="605" spans="1:16" x14ac:dyDescent="0.25">
      <c r="A605">
        <v>21600575</v>
      </c>
      <c r="B605">
        <v>2016</v>
      </c>
      <c r="C605" t="s">
        <v>32</v>
      </c>
      <c r="D605" t="s">
        <v>29</v>
      </c>
      <c r="E605">
        <v>34</v>
      </c>
      <c r="F605">
        <v>25</v>
      </c>
      <c r="G605">
        <v>2</v>
      </c>
      <c r="H605" s="1">
        <v>6.851851851851852E-3</v>
      </c>
      <c r="I605" t="s">
        <v>18</v>
      </c>
      <c r="J605" s="2" t="str">
        <f>HYPERLINK("https://www.nba.com/stats/events?CFID=&amp;CFPARAMS=&amp;GameEventID=149&amp;GameID=0021600575&amp;Season=2016-17&amp;flag=1&amp;title=Leonard%2020'%20Pullup%20Jump%20Shot%20(13%20PTS)", "Leonard 20' Pullup Jump Shot (13 PTS)")</f>
        <v>Leonard 20' Pullup Jump Shot (13 PTS)</v>
      </c>
      <c r="K605" s="2" t="str">
        <f>HYPERLINK("https://www.nba.com/game/...-vs-...-0021600575/play-by-play?watchFullGame=true", "SAS vs MIL - Q2 09:52.00")</f>
        <v>SAS vs MIL - Q2 09:52.00</v>
      </c>
      <c r="L605">
        <v>20</v>
      </c>
      <c r="M605">
        <v>-110</v>
      </c>
      <c r="N605">
        <v>169</v>
      </c>
      <c r="O605">
        <v>-110</v>
      </c>
      <c r="P605">
        <v>169</v>
      </c>
    </row>
    <row r="606" spans="1:16" x14ac:dyDescent="0.25">
      <c r="A606">
        <v>22200016</v>
      </c>
      <c r="B606">
        <v>2022</v>
      </c>
      <c r="C606" t="s">
        <v>32</v>
      </c>
      <c r="D606" t="s">
        <v>19</v>
      </c>
      <c r="E606">
        <v>95</v>
      </c>
      <c r="F606">
        <v>101</v>
      </c>
      <c r="G606">
        <v>4</v>
      </c>
      <c r="H606" s="1">
        <v>6.0532407407407399E-4</v>
      </c>
      <c r="I606" t="s">
        <v>23</v>
      </c>
      <c r="J606" s="2" t="str">
        <f>HYPERLINK("https://www.nba.com/stats/events?CFID=&amp;CFPARAMS=&amp;GameEventID=693&amp;GameID=0022200016&amp;Season=2022-23&amp;flag=1&amp;title=Leonard%2020'%20Jump%20Shot%20(14%20PTS)%20(P.%20George%204%20AST)", "20' Jump Shot (14 PTS) (P. George 4 AST)")</f>
        <v>20' Jump Shot (14 PTS) (P. George 4 AST)</v>
      </c>
      <c r="K606" s="2" t="str">
        <f>HYPERLINK("https://www.nba.com/game/...-vs-...-0022200016/play-by-play?watchFullGame=true", "LAC vs LAL - Q4 00:52.30")</f>
        <v>LAC vs LAL - Q4 00:52.30</v>
      </c>
      <c r="L606">
        <v>20.6</v>
      </c>
      <c r="M606">
        <v>24.1</v>
      </c>
      <c r="N606">
        <v>72.06</v>
      </c>
      <c r="O606">
        <v>-110</v>
      </c>
      <c r="P606">
        <v>174</v>
      </c>
    </row>
    <row r="607" spans="1:16" x14ac:dyDescent="0.25">
      <c r="A607">
        <v>22000720</v>
      </c>
      <c r="B607">
        <v>2020</v>
      </c>
      <c r="C607" t="s">
        <v>16</v>
      </c>
      <c r="D607" t="s">
        <v>19</v>
      </c>
      <c r="E607">
        <v>65</v>
      </c>
      <c r="F607">
        <v>57</v>
      </c>
      <c r="G607">
        <v>3</v>
      </c>
      <c r="H607" s="1">
        <v>2.4074074074074076E-3</v>
      </c>
      <c r="I607" t="s">
        <v>23</v>
      </c>
      <c r="J607" s="2" t="str">
        <f>HYPERLINK("https://www.nba.com/stats/events?CFID=&amp;CFPARAMS=&amp;GameEventID=393&amp;GameID=0022000720&amp;Season=2020-21&amp;flag=1&amp;title=Leonard%2025'%203PT%20%20(21%20PTS)%20(L.%20Kennard%202%20AST)", "25' 3PT  (21 PTS) (L. Kennard 2 AST)")</f>
        <v>25' 3PT  (21 PTS) (L. Kennard 2 AST)</v>
      </c>
      <c r="K607" s="2" t="str">
        <f>HYPERLINK("https://www.nba.com/game/...-vs-...-0022000720/play-by-play?watchFullGame=true", "LAC vs ORL - Q3 03:28.00")</f>
        <v>LAC vs ORL - Q3 03:28.00</v>
      </c>
      <c r="L607">
        <v>25.9</v>
      </c>
      <c r="M607">
        <v>69.459999999999994</v>
      </c>
      <c r="N607">
        <v>28.01</v>
      </c>
      <c r="O607">
        <v>-110</v>
      </c>
      <c r="P607">
        <v>235</v>
      </c>
    </row>
    <row r="608" spans="1:16" x14ac:dyDescent="0.25">
      <c r="A608">
        <v>41600153</v>
      </c>
      <c r="B608" t="s">
        <v>30</v>
      </c>
      <c r="C608" t="s">
        <v>16</v>
      </c>
      <c r="D608" t="s">
        <v>19</v>
      </c>
      <c r="E608">
        <v>30</v>
      </c>
      <c r="F608">
        <v>31</v>
      </c>
      <c r="G608">
        <v>2</v>
      </c>
      <c r="H608" s="1">
        <v>5.8217592592592592E-3</v>
      </c>
      <c r="I608" t="s">
        <v>18</v>
      </c>
      <c r="J608" s="2" t="str">
        <f>HYPERLINK("https://www.nba.com/stats/events?CFID=&amp;CFPARAMS=&amp;GameEventID=151&amp;GameID=0041600153&amp;Season=2016-17&amp;flag=1&amp;title=Leonard%2027'%203PT%20Jump%20Shot%20(12%20PTS)%20(Anderson%201%20AST)", "Leonard 27' 3PT Jump Shot (12 PTS) (Anderson 1 AST)")</f>
        <v>Leonard 27' 3PT Jump Shot (12 PTS) (Anderson 1 AST)</v>
      </c>
      <c r="K608" s="2" t="str">
        <f>HYPERLINK("https://www.nba.com/game/...-vs-...-0041600153/play-by-play?watchFullGame=true", "SAS vs MEM - Q2 08:23.00")</f>
        <v>SAS vs MEM - Q2 08:23.00</v>
      </c>
      <c r="L608">
        <v>27</v>
      </c>
      <c r="M608">
        <v>-110</v>
      </c>
      <c r="N608">
        <v>249</v>
      </c>
      <c r="O608">
        <v>-110</v>
      </c>
      <c r="P608">
        <v>249</v>
      </c>
    </row>
    <row r="609" spans="1:16" x14ac:dyDescent="0.25">
      <c r="A609">
        <v>21600917</v>
      </c>
      <c r="B609">
        <v>2016</v>
      </c>
      <c r="C609" t="s">
        <v>32</v>
      </c>
      <c r="D609" t="s">
        <v>33</v>
      </c>
      <c r="E609">
        <v>20</v>
      </c>
      <c r="F609">
        <v>18</v>
      </c>
      <c r="G609">
        <v>1</v>
      </c>
      <c r="H609" s="1">
        <v>2.8240740740740739E-3</v>
      </c>
      <c r="I609" t="s">
        <v>18</v>
      </c>
      <c r="J609" s="2" t="str">
        <f>HYPERLINK("https://www.nba.com/stats/events?CFID=&amp;CFPARAMS=&amp;GameEventID=82&amp;GameID=0021600917&amp;Season=2016-17&amp;flag=1&amp;title=Leonard%2011'%20Fadeaway%20Jumper%20(10%20PTS)%20(Ginobili%202%20AST)", "Leonard 11' Fadeaway Jumper (10 PTS) (Ginobili 2 AST)")</f>
        <v>Leonard 11' Fadeaway Jumper (10 PTS) (Ginobili 2 AST)</v>
      </c>
      <c r="K609" s="2" t="str">
        <f>HYPERLINK("https://www.nba.com/game/...-vs-...-0021600917/play-by-play?watchFullGame=true", "SAS vs NOP - Q1 04:04.00")</f>
        <v>SAS vs NOP - Q1 04:04.00</v>
      </c>
      <c r="L609">
        <v>11</v>
      </c>
      <c r="M609">
        <v>-109</v>
      </c>
      <c r="N609">
        <v>26</v>
      </c>
      <c r="O609">
        <v>-109</v>
      </c>
      <c r="P609">
        <v>26</v>
      </c>
    </row>
    <row r="610" spans="1:16" x14ac:dyDescent="0.25">
      <c r="A610">
        <v>41400167</v>
      </c>
      <c r="B610" t="s">
        <v>28</v>
      </c>
      <c r="C610" t="s">
        <v>32</v>
      </c>
      <c r="D610" t="s">
        <v>29</v>
      </c>
      <c r="E610">
        <v>9</v>
      </c>
      <c r="F610">
        <v>15</v>
      </c>
      <c r="G610">
        <v>1</v>
      </c>
      <c r="H610" s="1">
        <v>5.0347222222222225E-3</v>
      </c>
      <c r="I610" t="s">
        <v>18</v>
      </c>
      <c r="J610" s="2" t="str">
        <f>HYPERLINK("https://www.nba.com/stats/events?CFID=&amp;CFPARAMS=&amp;GameEventID=34&amp;GameID=0041400167&amp;Season=2014-15&amp;flag=1&amp;title=Leonard%2014'%20Pullup%20Jump%20Shot%20(4%20PTS)", "Leonard 14' Pullup Jump Shot (4 PTS)")</f>
        <v>Leonard 14' Pullup Jump Shot (4 PTS)</v>
      </c>
      <c r="K610" s="2" t="str">
        <f>HYPERLINK("https://www.nba.com/game/...-vs-...-0041400167/play-by-play?watchFullGame=true", "SAS vs LAC - Q1 07:15.00")</f>
        <v>SAS vs LAC - Q1 07:15.00</v>
      </c>
      <c r="L610">
        <v>14</v>
      </c>
      <c r="M610">
        <v>-109</v>
      </c>
      <c r="N610">
        <v>91</v>
      </c>
      <c r="O610">
        <v>-109</v>
      </c>
      <c r="P610">
        <v>91</v>
      </c>
    </row>
    <row r="611" spans="1:16" x14ac:dyDescent="0.25">
      <c r="A611">
        <v>21600744</v>
      </c>
      <c r="B611">
        <v>2016</v>
      </c>
      <c r="C611" t="s">
        <v>32</v>
      </c>
      <c r="D611" t="s">
        <v>29</v>
      </c>
      <c r="E611">
        <v>44</v>
      </c>
      <c r="F611">
        <v>44</v>
      </c>
      <c r="G611">
        <v>2</v>
      </c>
      <c r="H611" s="1">
        <v>1.9444444444444444E-3</v>
      </c>
      <c r="I611" t="s">
        <v>18</v>
      </c>
      <c r="J611" s="2" t="str">
        <f>HYPERLINK("https://www.nba.com/stats/events?CFID=&amp;CFPARAMS=&amp;GameEventID=265&amp;GameID=0021600744&amp;Season=2016-17&amp;flag=1&amp;title=Leonard%2015'%20Pullup%20Jump%20Shot%20(11%20PTS)", "Leonard 15' Pullup Jump Shot (11 PTS)")</f>
        <v>Leonard 15' Pullup Jump Shot (11 PTS)</v>
      </c>
      <c r="K611" s="2" t="str">
        <f>HYPERLINK("https://www.nba.com/game/...-vs-...-0021600744/play-by-play?watchFullGame=true", "SAS vs PHI - Q2 02:48.00")</f>
        <v>SAS vs PHI - Q2 02:48.00</v>
      </c>
      <c r="L611">
        <v>15</v>
      </c>
      <c r="M611">
        <v>-109</v>
      </c>
      <c r="N611">
        <v>105</v>
      </c>
      <c r="O611">
        <v>-109</v>
      </c>
      <c r="P611">
        <v>105</v>
      </c>
    </row>
    <row r="612" spans="1:16" x14ac:dyDescent="0.25">
      <c r="A612">
        <v>41500233</v>
      </c>
      <c r="B612" t="s">
        <v>25</v>
      </c>
      <c r="C612" t="s">
        <v>16</v>
      </c>
      <c r="D612" t="s">
        <v>29</v>
      </c>
      <c r="E612">
        <v>5</v>
      </c>
      <c r="F612">
        <v>7</v>
      </c>
      <c r="G612">
        <v>1</v>
      </c>
      <c r="H612" s="1">
        <v>7.1527777777777779E-3</v>
      </c>
      <c r="I612" t="s">
        <v>18</v>
      </c>
      <c r="J612" s="2" t="str">
        <f>HYPERLINK("https://www.nba.com/stats/events?CFID=&amp;CFPARAMS=&amp;GameEventID=10&amp;GameID=0041500233&amp;Season=2015-16&amp;flag=1&amp;title=Leonard%2024'%203PT%20Pullup%20Jump%20Shot%20(3%20PTS)", "Leonard 24' 3PT Pullup Jump Shot (3 PTS)")</f>
        <v>Leonard 24' 3PT Pullup Jump Shot (3 PTS)</v>
      </c>
      <c r="K612" s="2" t="str">
        <f>HYPERLINK("https://www.nba.com/game/...-vs-...-0041500233/play-by-play?watchFullGame=true", "SAS vs OKC - Q1 10:18.00")</f>
        <v>SAS vs OKC - Q1 10:18.00</v>
      </c>
      <c r="L612">
        <v>24</v>
      </c>
      <c r="M612">
        <v>-109</v>
      </c>
      <c r="N612">
        <v>219</v>
      </c>
      <c r="O612">
        <v>-109</v>
      </c>
      <c r="P612">
        <v>219</v>
      </c>
    </row>
    <row r="613" spans="1:16" x14ac:dyDescent="0.25">
      <c r="A613">
        <v>21401001</v>
      </c>
      <c r="B613">
        <v>2014</v>
      </c>
      <c r="C613" t="s">
        <v>16</v>
      </c>
      <c r="D613" t="s">
        <v>19</v>
      </c>
      <c r="E613">
        <v>20</v>
      </c>
      <c r="F613">
        <v>25</v>
      </c>
      <c r="G613">
        <v>1</v>
      </c>
      <c r="H613" s="1">
        <v>1.6087962962962963E-3</v>
      </c>
      <c r="I613" t="s">
        <v>18</v>
      </c>
      <c r="J613" s="2" t="str">
        <f>HYPERLINK("https://www.nba.com/stats/events?CFID=&amp;CFPARAMS=&amp;GameEventID=103&amp;GameID=0021401001&amp;Season=2014-15&amp;flag=1&amp;title=Leonard%2025'%203PT%20Jump%20Shot%20(7%20PTS)%20(Diaw%201%20AST)", "Leonard 25' 3PT Jump Shot (7 PTS) (Diaw 1 AST)")</f>
        <v>Leonard 25' 3PT Jump Shot (7 PTS) (Diaw 1 AST)</v>
      </c>
      <c r="K613" s="2" t="str">
        <f>HYPERLINK("https://www.nba.com/game/...-vs-...-0021401001/play-by-play?watchFullGame=true", "SAS vs NYK - Q1 02:19.00")</f>
        <v>SAS vs NYK - Q1 02:19.00</v>
      </c>
      <c r="L613">
        <v>25</v>
      </c>
      <c r="M613">
        <v>-108</v>
      </c>
      <c r="N613">
        <v>227</v>
      </c>
      <c r="O613">
        <v>-108</v>
      </c>
      <c r="P613">
        <v>227</v>
      </c>
    </row>
    <row r="614" spans="1:16" x14ac:dyDescent="0.25">
      <c r="A614">
        <v>21600309</v>
      </c>
      <c r="B614">
        <v>2016</v>
      </c>
      <c r="C614" t="s">
        <v>32</v>
      </c>
      <c r="D614" t="s">
        <v>34</v>
      </c>
      <c r="E614">
        <v>85</v>
      </c>
      <c r="F614">
        <v>87</v>
      </c>
      <c r="G614">
        <v>4</v>
      </c>
      <c r="H614" s="1">
        <v>3.6458333333333334E-3</v>
      </c>
      <c r="I614" t="s">
        <v>18</v>
      </c>
      <c r="J614" s="2" t="str">
        <f>HYPERLINK("https://www.nba.com/stats/events?CFID=&amp;CFPARAMS=&amp;GameEventID=514&amp;GameID=0021600309&amp;Season=2016-17&amp;flag=1&amp;title=Leonard%2011'%20Turnaround%20Fadeaway%20(15%20PTS)", "Leonard 11' Turnaround Fadeaway (15 PTS)")</f>
        <v>Leonard 11' Turnaround Fadeaway (15 PTS)</v>
      </c>
      <c r="K614" s="2" t="str">
        <f>HYPERLINK("https://www.nba.com/game/...-vs-...-0021600309/play-by-play?watchFullGame=true", "SAS vs MIL - Q4 05:15.00")</f>
        <v>SAS vs MIL - Q4 05:15.00</v>
      </c>
      <c r="L614">
        <v>11</v>
      </c>
      <c r="M614">
        <v>-107</v>
      </c>
      <c r="N614">
        <v>0</v>
      </c>
      <c r="O614">
        <v>-107</v>
      </c>
      <c r="P614">
        <v>0</v>
      </c>
    </row>
    <row r="615" spans="1:16" x14ac:dyDescent="0.25">
      <c r="A615">
        <v>22000308</v>
      </c>
      <c r="B615">
        <v>2020</v>
      </c>
      <c r="C615" t="s">
        <v>32</v>
      </c>
      <c r="D615" t="s">
        <v>19</v>
      </c>
      <c r="E615">
        <v>107</v>
      </c>
      <c r="F615">
        <v>116</v>
      </c>
      <c r="G615">
        <v>4</v>
      </c>
      <c r="H615" s="1">
        <v>2.8009259259259259E-3</v>
      </c>
      <c r="I615" t="s">
        <v>23</v>
      </c>
      <c r="J615" s="2" t="str">
        <f>HYPERLINK("https://www.nba.com/stats/events?CFID=&amp;CFPARAMS=&amp;GameEventID=544&amp;GameID=0022000308&amp;Season=2020-21&amp;flag=1&amp;title=Leonard%2010'%20pullup%20Jump%20Shot%20(26%20PTS)", "10' pullup Jump Shot (26 PTS)")</f>
        <v>10' pullup Jump Shot (26 PTS)</v>
      </c>
      <c r="K615" s="2" t="str">
        <f>HYPERLINK("https://www.nba.com/game/...-vs-...-0022000308/play-by-play?watchFullGame=true", "LAC vs NYK - Q4 04:02.00")</f>
        <v>LAC vs NYK - Q4 04:02.00</v>
      </c>
      <c r="L615">
        <v>10.89</v>
      </c>
      <c r="M615">
        <v>92.59</v>
      </c>
      <c r="N615">
        <v>28.5</v>
      </c>
      <c r="O615">
        <v>-107</v>
      </c>
      <c r="P615">
        <v>17</v>
      </c>
    </row>
    <row r="616" spans="1:16" x14ac:dyDescent="0.25">
      <c r="A616">
        <v>22200945</v>
      </c>
      <c r="B616">
        <v>2022</v>
      </c>
      <c r="C616" t="s">
        <v>32</v>
      </c>
      <c r="D616" t="s">
        <v>19</v>
      </c>
      <c r="E616">
        <v>70</v>
      </c>
      <c r="F616">
        <v>68</v>
      </c>
      <c r="G616">
        <v>3</v>
      </c>
      <c r="H616" s="1">
        <v>2.6967592592592594E-3</v>
      </c>
      <c r="I616" t="s">
        <v>23</v>
      </c>
      <c r="J616" s="2" t="str">
        <f>HYPERLINK("https://www.nba.com/stats/events?CFID=&amp;CFPARAMS=&amp;GameEventID=484&amp;GameID=0022200945&amp;Season=2022-23&amp;flag=1&amp;title=Leonard%2011'%20Jump%20Shot%20(20%20PTS)", "11' Jump Shot (20 PTS)")</f>
        <v>11' Jump Shot (20 PTS)</v>
      </c>
      <c r="K616" s="2" t="str">
        <f>HYPERLINK("https://www.nba.com/game/...-vs-...-0022200945/play-by-play?watchFullGame=true", "LAC vs GSW - Q3 03:53.00")</f>
        <v>LAC vs GSW - Q3 03:53.00</v>
      </c>
      <c r="L616">
        <v>11.38</v>
      </c>
      <c r="M616">
        <v>9.81</v>
      </c>
      <c r="N616">
        <v>71.319999999999993</v>
      </c>
      <c r="O616">
        <v>-107</v>
      </c>
      <c r="P616">
        <v>40</v>
      </c>
    </row>
    <row r="617" spans="1:16" x14ac:dyDescent="0.25">
      <c r="A617">
        <v>21600834</v>
      </c>
      <c r="B617">
        <v>2016</v>
      </c>
      <c r="C617" t="s">
        <v>32</v>
      </c>
      <c r="D617" t="s">
        <v>29</v>
      </c>
      <c r="E617">
        <v>39</v>
      </c>
      <c r="F617">
        <v>58</v>
      </c>
      <c r="G617">
        <v>3</v>
      </c>
      <c r="H617" s="1">
        <v>7.5462962962962966E-3</v>
      </c>
      <c r="I617" t="s">
        <v>18</v>
      </c>
      <c r="J617" s="2" t="str">
        <f>HYPERLINK("https://www.nba.com/stats/events?CFID=&amp;CFPARAMS=&amp;GameEventID=280&amp;GameID=0021600834&amp;Season=2016-17&amp;flag=1&amp;title=Leonard%2021'%20Pullup%20Jump%20Shot%20(17%20PTS)%20(Aldridge%202%20AST)", "Leonard 21' Pullup Jump Shot (17 PTS) (Aldridge 2 AST)")</f>
        <v>Leonard 21' Pullup Jump Shot (17 PTS) (Aldridge 2 AST)</v>
      </c>
      <c r="K617" s="2" t="str">
        <f>HYPERLINK("https://www.nba.com/game/...-vs-...-0021600834/play-by-play?watchFullGame=true", "SAS vs ORL - Q3 10:52.00")</f>
        <v>SAS vs ORL - Q3 10:52.00</v>
      </c>
      <c r="L617">
        <v>21</v>
      </c>
      <c r="M617">
        <v>-107</v>
      </c>
      <c r="N617">
        <v>178</v>
      </c>
      <c r="O617">
        <v>-107</v>
      </c>
      <c r="P617">
        <v>178</v>
      </c>
    </row>
    <row r="618" spans="1:16" x14ac:dyDescent="0.25">
      <c r="A618">
        <v>21900035</v>
      </c>
      <c r="B618">
        <v>2019</v>
      </c>
      <c r="C618" t="s">
        <v>32</v>
      </c>
      <c r="D618" t="s">
        <v>22</v>
      </c>
      <c r="E618">
        <v>55</v>
      </c>
      <c r="F618">
        <v>57</v>
      </c>
      <c r="G618">
        <v>3</v>
      </c>
      <c r="H618" s="1">
        <v>8.0902777777777778E-3</v>
      </c>
      <c r="I618" t="s">
        <v>23</v>
      </c>
      <c r="J618" s="2" t="str">
        <f>HYPERLINK("https://www.nba.com/stats/events?CFID=&amp;CFPARAMS=&amp;GameEventID=388&amp;GameID=0021900035&amp;Season=2019-20&amp;flag=1&amp;title=[LAC]%20Leonard%20jumpshot:%20Made%20(8%20PTS)", "[LAC] Leonard jumpshot: Made (8 PTS)")</f>
        <v>[LAC] Leonard jumpshot: Made (8 PTS)</v>
      </c>
      <c r="K618" s="2" t="str">
        <f>HYPERLINK("https://www.nba.com/game/...-vs-...-0021900035/play-by-play?watchFullGame=true", "LAC vs PHX - Q3 11:39.00")</f>
        <v>LAC vs PHX - Q3 11:39.00</v>
      </c>
      <c r="L618">
        <v>22.1</v>
      </c>
      <c r="M618">
        <v>74.459999999999994</v>
      </c>
      <c r="N618">
        <v>28.5</v>
      </c>
      <c r="O618">
        <v>-107</v>
      </c>
      <c r="P618">
        <v>188</v>
      </c>
    </row>
    <row r="619" spans="1:16" x14ac:dyDescent="0.25">
      <c r="A619">
        <v>21600558</v>
      </c>
      <c r="B619">
        <v>2016</v>
      </c>
      <c r="C619" t="s">
        <v>16</v>
      </c>
      <c r="D619" t="s">
        <v>19</v>
      </c>
      <c r="E619">
        <v>7</v>
      </c>
      <c r="F619">
        <v>2</v>
      </c>
      <c r="G619">
        <v>1</v>
      </c>
      <c r="H619" s="1">
        <v>7.2337962962962963E-3</v>
      </c>
      <c r="I619" t="s">
        <v>18</v>
      </c>
      <c r="J619" s="2" t="str">
        <f>HYPERLINK("https://www.nba.com/stats/events?CFID=&amp;CFPARAMS=&amp;GameEventID=6&amp;GameID=0021600558&amp;Season=2016-17&amp;flag=1&amp;title=Leonard%2025'%203PT%20Jump%20Shot%20(5%20PTS)%20(Aldridge%201%20AST)", "Leonard 25' 3PT Jump Shot (5 PTS) (Aldridge 1 AST)")</f>
        <v>Leonard 25' 3PT Jump Shot (5 PTS) (Aldridge 1 AST)</v>
      </c>
      <c r="K619" s="2" t="str">
        <f>HYPERLINK("https://www.nba.com/game/...-vs-...-0021600558/play-by-play?watchFullGame=true", "SAS vs CHA - Q1 10:25.00")</f>
        <v>SAS vs CHA - Q1 10:25.00</v>
      </c>
      <c r="L619">
        <v>25</v>
      </c>
      <c r="M619">
        <v>-106</v>
      </c>
      <c r="N619">
        <v>223</v>
      </c>
      <c r="O619">
        <v>-106</v>
      </c>
      <c r="P619">
        <v>223</v>
      </c>
    </row>
    <row r="620" spans="1:16" x14ac:dyDescent="0.25">
      <c r="A620">
        <v>22000366</v>
      </c>
      <c r="B620">
        <v>2020</v>
      </c>
      <c r="C620" t="s">
        <v>32</v>
      </c>
      <c r="D620" t="s">
        <v>19</v>
      </c>
      <c r="E620">
        <v>106</v>
      </c>
      <c r="F620">
        <v>107</v>
      </c>
      <c r="G620">
        <v>4</v>
      </c>
      <c r="H620" s="1">
        <v>8.6805555555555551E-4</v>
      </c>
      <c r="I620" t="s">
        <v>23</v>
      </c>
      <c r="J620" s="2" t="str">
        <f>HYPERLINK("https://www.nba.com/stats/events?CFID=&amp;CFPARAMS=&amp;GameEventID=622&amp;GameID=0022000366&amp;Season=2020-21&amp;flag=1&amp;title=Leonard%2010'%20turnaround%20Jump%20Shot%20(18%20PTS)%20(N.%20Batum%203%20AST)", "10' turnaround Jump Shot (18 PTS) (N. Batum 3 AST)")</f>
        <v>10' turnaround Jump Shot (18 PTS) (N. Batum 3 AST)</v>
      </c>
      <c r="K620" s="2" t="str">
        <f>HYPERLINK("https://www.nba.com/game/...-vs-...-0022000366/play-by-play?watchFullGame=true", "LAC vs SAC - Q4 01:15.00")</f>
        <v>LAC vs SAC - Q4 01:15.00</v>
      </c>
      <c r="L620">
        <v>10.54</v>
      </c>
      <c r="M620">
        <v>7.05</v>
      </c>
      <c r="N620">
        <v>70.900000000000006</v>
      </c>
      <c r="O620">
        <v>-105</v>
      </c>
      <c r="P620">
        <v>14</v>
      </c>
    </row>
    <row r="621" spans="1:16" x14ac:dyDescent="0.25">
      <c r="A621">
        <v>21401181</v>
      </c>
      <c r="B621">
        <v>2014</v>
      </c>
      <c r="C621" t="s">
        <v>32</v>
      </c>
      <c r="D621" t="s">
        <v>34</v>
      </c>
      <c r="E621">
        <v>45</v>
      </c>
      <c r="F621">
        <v>44</v>
      </c>
      <c r="G621">
        <v>2</v>
      </c>
      <c r="H621" s="1">
        <v>4.5254629629629632E-4</v>
      </c>
      <c r="I621" t="s">
        <v>18</v>
      </c>
      <c r="J621" s="2" t="str">
        <f>HYPERLINK("https://www.nba.com/stats/events?CFID=&amp;CFPARAMS=&amp;GameEventID=270&amp;GameID=0021401181&amp;Season=2014-15&amp;flag=1&amp;title=Leonard%2013'%20Turnaround%20Fadeaway%20(6%20PTS)", "Leonard 13' Turnaround Fadeaway (6 PTS)")</f>
        <v>Leonard 13' Turnaround Fadeaway (6 PTS)</v>
      </c>
      <c r="K621" s="2" t="str">
        <f>HYPERLINK("https://www.nba.com/game/...-vs-...-0021401181/play-by-play?watchFullGame=true", "SAS vs HOU - Q2 00:39.10")</f>
        <v>SAS vs HOU - Q2 00:39.10</v>
      </c>
      <c r="L621">
        <v>13</v>
      </c>
      <c r="M621">
        <v>-105</v>
      </c>
      <c r="N621">
        <v>80</v>
      </c>
      <c r="O621">
        <v>-105</v>
      </c>
      <c r="P621">
        <v>80</v>
      </c>
    </row>
    <row r="622" spans="1:16" x14ac:dyDescent="0.25">
      <c r="A622">
        <v>21300965</v>
      </c>
      <c r="B622">
        <v>2013</v>
      </c>
      <c r="C622" t="s">
        <v>32</v>
      </c>
      <c r="D622" t="s">
        <v>19</v>
      </c>
      <c r="E622">
        <v>88</v>
      </c>
      <c r="F622">
        <v>73</v>
      </c>
      <c r="G622">
        <v>4</v>
      </c>
      <c r="H622" s="1">
        <v>5.1504629629629626E-3</v>
      </c>
      <c r="I622" t="s">
        <v>18</v>
      </c>
      <c r="J622" s="2" t="str">
        <f>HYPERLINK("https://www.nba.com/stats/events?CFID=&amp;CFPARAMS=&amp;GameEventID=468&amp;GameID=0021300965&amp;Season=2013-14&amp;flag=1&amp;title=Leonard%2019'%20Jump%20Shot%20(10%20PTS)", "Leonard 19' Jump Shot (10 PTS)")</f>
        <v>Leonard 19' Jump Shot (10 PTS)</v>
      </c>
      <c r="K622" s="2" t="str">
        <f>HYPERLINK("https://www.nba.com/game/...-vs-...-0021300965/play-by-play?watchFullGame=true", "SAS vs POR - Q4 07:25.00")</f>
        <v>SAS vs POR - Q4 07:25.00</v>
      </c>
      <c r="L622">
        <v>19</v>
      </c>
      <c r="M622">
        <v>-105</v>
      </c>
      <c r="N622">
        <v>157</v>
      </c>
      <c r="O622">
        <v>-105</v>
      </c>
      <c r="P622">
        <v>157</v>
      </c>
    </row>
    <row r="623" spans="1:16" x14ac:dyDescent="0.25">
      <c r="A623">
        <v>21500689</v>
      </c>
      <c r="B623">
        <v>2015</v>
      </c>
      <c r="C623" t="s">
        <v>32</v>
      </c>
      <c r="D623" t="s">
        <v>19</v>
      </c>
      <c r="E623">
        <v>66</v>
      </c>
      <c r="F623">
        <v>49</v>
      </c>
      <c r="G623">
        <v>2</v>
      </c>
      <c r="H623" s="1">
        <v>1.2152777777777778E-3</v>
      </c>
      <c r="I623" t="s">
        <v>18</v>
      </c>
      <c r="J623" s="2" t="str">
        <f>HYPERLINK("https://www.nba.com/stats/events?CFID=&amp;CFPARAMS=&amp;GameEventID=291&amp;GameID=0021500689&amp;Season=2015-16&amp;flag=1&amp;title=Leonard%2010'%20Jump%20Shot%20(14%20PTS)%20(Parker%205%20AST)", "Leonard 10' Jump Shot (14 PTS) (Parker 5 AST)")</f>
        <v>Leonard 10' Jump Shot (14 PTS) (Parker 5 AST)</v>
      </c>
      <c r="K623" s="2" t="str">
        <f>HYPERLINK("https://www.nba.com/game/...-vs-...-0021500689/play-by-play?watchFullGame=true", "SAS vs HOU - Q2 01:45.00")</f>
        <v>SAS vs HOU - Q2 01:45.00</v>
      </c>
      <c r="L623">
        <v>10</v>
      </c>
      <c r="M623">
        <v>-104</v>
      </c>
      <c r="N623">
        <v>3</v>
      </c>
      <c r="O623">
        <v>-104</v>
      </c>
      <c r="P623">
        <v>3</v>
      </c>
    </row>
    <row r="624" spans="1:16" x14ac:dyDescent="0.25">
      <c r="A624">
        <v>21600825</v>
      </c>
      <c r="B624">
        <v>2016</v>
      </c>
      <c r="C624" t="s">
        <v>32</v>
      </c>
      <c r="D624" t="s">
        <v>24</v>
      </c>
      <c r="E624">
        <v>87</v>
      </c>
      <c r="F624">
        <v>86</v>
      </c>
      <c r="G624">
        <v>4</v>
      </c>
      <c r="H624" s="1">
        <v>5.9490740740740745E-3</v>
      </c>
      <c r="I624" t="s">
        <v>18</v>
      </c>
      <c r="J624" s="2" t="str">
        <f>HYPERLINK("https://www.nba.com/stats/events?CFID=&amp;CFPARAMS=&amp;GameEventID=416&amp;GameID=0021600825&amp;Season=2016-17&amp;flag=1&amp;title=Leonard%2011'%20Turnaround%20Jump%20Shot%20(27%20PTS)%20(Green%203%20AST)", "Leonard 11' Turnaround Jump Shot (27 PTS) (Green 3 AST)")</f>
        <v>Leonard 11' Turnaround Jump Shot (27 PTS) (Green 3 AST)</v>
      </c>
      <c r="K624" s="2" t="str">
        <f>HYPERLINK("https://www.nba.com/game/...-vs-...-0021600825/play-by-play?watchFullGame=true", "SAS vs IND - Q4 08:34.00")</f>
        <v>SAS vs IND - Q4 08:34.00</v>
      </c>
      <c r="L624">
        <v>11</v>
      </c>
      <c r="M624">
        <v>-104</v>
      </c>
      <c r="N624">
        <v>33</v>
      </c>
      <c r="O624">
        <v>-104</v>
      </c>
      <c r="P624">
        <v>33</v>
      </c>
    </row>
    <row r="625" spans="1:16" x14ac:dyDescent="0.25">
      <c r="A625">
        <v>21500123</v>
      </c>
      <c r="B625">
        <v>2015</v>
      </c>
      <c r="C625" t="s">
        <v>32</v>
      </c>
      <c r="D625" t="s">
        <v>24</v>
      </c>
      <c r="E625">
        <v>0</v>
      </c>
      <c r="F625">
        <v>2</v>
      </c>
      <c r="G625">
        <v>1</v>
      </c>
      <c r="H625" s="1">
        <v>7.951388888888888E-3</v>
      </c>
      <c r="I625" t="s">
        <v>18</v>
      </c>
      <c r="J625" s="2" t="str">
        <f>HYPERLINK("https://www.nba.com/stats/events?CFID=&amp;CFPARAMS=&amp;GameEventID=4&amp;GameID=0021500123&amp;Season=2015-16&amp;flag=1&amp;title=Leonard%2018'%20Turnaround%20Jump%20Shot%20(2%20PTS)%20(Parker%201%20AST)", "Leonard 18' Turnaround Jump Shot (2 PTS) (Parker 1 AST)")</f>
        <v>Leonard 18' Turnaround Jump Shot (2 PTS) (Parker 1 AST)</v>
      </c>
      <c r="K625" s="2" t="str">
        <f>HYPERLINK("https://www.nba.com/game/...-vs-...-0021500123/play-by-play?watchFullGame=true", "SAS vs POR - Q1 11:27.00")</f>
        <v>SAS vs POR - Q1 11:27.00</v>
      </c>
      <c r="L625">
        <v>18</v>
      </c>
      <c r="M625">
        <v>-104</v>
      </c>
      <c r="N625">
        <v>144</v>
      </c>
      <c r="O625">
        <v>-104</v>
      </c>
      <c r="P625">
        <v>144</v>
      </c>
    </row>
    <row r="626" spans="1:16" x14ac:dyDescent="0.25">
      <c r="A626">
        <v>41800301</v>
      </c>
      <c r="B626" t="s">
        <v>20</v>
      </c>
      <c r="C626" t="s">
        <v>32</v>
      </c>
      <c r="D626" t="s">
        <v>29</v>
      </c>
      <c r="E626">
        <v>53</v>
      </c>
      <c r="F626">
        <v>61</v>
      </c>
      <c r="G626">
        <v>3</v>
      </c>
      <c r="H626" s="1">
        <v>7.7777777777777776E-3</v>
      </c>
      <c r="I626" t="s">
        <v>21</v>
      </c>
      <c r="J626" s="2" t="str">
        <f>HYPERLINK("https://www.nba.com/stats/events?CFID=&amp;CFPARAMS=&amp;GameEventID=327&amp;GameID=0041800301&amp;Season=2018-19&amp;flag=1&amp;title=Leonard%2018'%20Pullup%20Jump%20Shot%20(17%20PTS)", "Leonard 18' Pullup Jump Shot (17 PTS)")</f>
        <v>Leonard 18' Pullup Jump Shot (17 PTS)</v>
      </c>
      <c r="K626" s="2" t="str">
        <f>HYPERLINK("https://www.nba.com/game/...-vs-...-0041800301/play-by-play?watchFullGame=true", "TOR vs MIL - Q3 11:12.00")</f>
        <v>TOR vs MIL - Q3 11:12.00</v>
      </c>
      <c r="L626">
        <v>18</v>
      </c>
      <c r="M626">
        <v>-104</v>
      </c>
      <c r="N626">
        <v>149</v>
      </c>
      <c r="O626">
        <v>-104</v>
      </c>
      <c r="P626">
        <v>149</v>
      </c>
    </row>
    <row r="627" spans="1:16" x14ac:dyDescent="0.25">
      <c r="A627">
        <v>22400842</v>
      </c>
      <c r="B627">
        <v>2024</v>
      </c>
      <c r="C627" t="s">
        <v>32</v>
      </c>
      <c r="D627" t="s">
        <v>19</v>
      </c>
      <c r="E627">
        <v>60</v>
      </c>
      <c r="F627">
        <v>61</v>
      </c>
      <c r="G627">
        <v>3</v>
      </c>
      <c r="H627" s="1">
        <v>8.1712962962962963E-3</v>
      </c>
      <c r="I627" t="s">
        <v>23</v>
      </c>
      <c r="J627" s="2" t="str">
        <f>HYPERLINK("https://www.nba.com/stats/events?CFID=&amp;CFPARAMS=&amp;GameEventID=327&amp;GameID=0022400842&amp;Season=2024-25&amp;flag=1&amp;title=Leonard%2021'%20Jump%20Shot%20(10%20PTS)", "21' Jump Shot (10 PTS)")</f>
        <v>21' Jump Shot (10 PTS)</v>
      </c>
      <c r="K627" s="2" t="str">
        <f>HYPERLINK("https://www.nba.com/game/...-vs-...-0022400842/play-by-play?watchFullGame=true", "LAC vs CHI - Q3 11:46.00")</f>
        <v>LAC vs CHI - Q3 11:46.00</v>
      </c>
      <c r="L627">
        <v>21.03</v>
      </c>
      <c r="M627">
        <v>74.98</v>
      </c>
      <c r="N627">
        <v>29.17</v>
      </c>
      <c r="O627">
        <v>-104</v>
      </c>
      <c r="P627">
        <v>183</v>
      </c>
    </row>
    <row r="628" spans="1:16" x14ac:dyDescent="0.25">
      <c r="A628">
        <v>21600625</v>
      </c>
      <c r="B628">
        <v>2016</v>
      </c>
      <c r="C628" t="s">
        <v>16</v>
      </c>
      <c r="D628" t="s">
        <v>29</v>
      </c>
      <c r="E628">
        <v>91</v>
      </c>
      <c r="F628">
        <v>90</v>
      </c>
      <c r="G628">
        <v>3</v>
      </c>
      <c r="H628" s="1">
        <v>4.4675925925925927E-4</v>
      </c>
      <c r="I628" t="s">
        <v>18</v>
      </c>
      <c r="J628" s="2" t="str">
        <f>HYPERLINK("https://www.nba.com/stats/events?CFID=&amp;CFPARAMS=&amp;GameEventID=421&amp;GameID=0021600625&amp;Season=2016-17&amp;flag=1&amp;title=Leonard%2025'%203PT%20Pullup%20Jump%20Shot%20(24%20PTS)", "Leonard 25' 3PT Pullup Jump Shot (24 PTS)")</f>
        <v>Leonard 25' 3PT Pullup Jump Shot (24 PTS)</v>
      </c>
      <c r="K628" s="2" t="str">
        <f>HYPERLINK("https://www.nba.com/game/...-vs-...-0021600625/play-by-play?watchFullGame=true", "SAS vs MIN - Q3 00:38.60")</f>
        <v>SAS vs MIN - Q3 00:38.60</v>
      </c>
      <c r="L628">
        <v>25</v>
      </c>
      <c r="M628">
        <v>-104</v>
      </c>
      <c r="N628">
        <v>232</v>
      </c>
      <c r="O628">
        <v>-104</v>
      </c>
      <c r="P628">
        <v>232</v>
      </c>
    </row>
    <row r="629" spans="1:16" x14ac:dyDescent="0.25">
      <c r="A629">
        <v>21400354</v>
      </c>
      <c r="B629">
        <v>2014</v>
      </c>
      <c r="C629" t="s">
        <v>32</v>
      </c>
      <c r="D629" t="s">
        <v>19</v>
      </c>
      <c r="E629">
        <v>63</v>
      </c>
      <c r="F629">
        <v>73</v>
      </c>
      <c r="G629">
        <v>4</v>
      </c>
      <c r="H629" s="1">
        <v>7.7546296296296295E-3</v>
      </c>
      <c r="I629" t="s">
        <v>18</v>
      </c>
      <c r="J629" s="2" t="str">
        <f>HYPERLINK("https://www.nba.com/stats/events?CFID=&amp;CFPARAMS=&amp;GameEventID=406&amp;GameID=0021400354&amp;Season=2014-15&amp;flag=1&amp;title=Leonard%2010'%20Jump%20Shot%20(14%20PTS)%20(Ginobili%206%20AST)", "Leonard 10' Jump Shot (14 PTS) (Ginobili 6 AST)")</f>
        <v>Leonard 10' Jump Shot (14 PTS) (Ginobili 6 AST)</v>
      </c>
      <c r="K629" s="2" t="str">
        <f>HYPERLINK("https://www.nba.com/game/...-vs-...-0021400354/play-by-play?watchFullGame=true", "SAS vs DEN - Q4 11:10.00")</f>
        <v>SAS vs DEN - Q4 11:10.00</v>
      </c>
      <c r="L629">
        <v>10</v>
      </c>
      <c r="M629">
        <v>-103</v>
      </c>
      <c r="N629">
        <v>4</v>
      </c>
      <c r="O629">
        <v>-103</v>
      </c>
      <c r="P629">
        <v>4</v>
      </c>
    </row>
    <row r="630" spans="1:16" x14ac:dyDescent="0.25">
      <c r="A630">
        <v>22301003</v>
      </c>
      <c r="B630">
        <v>2023</v>
      </c>
      <c r="C630" t="s">
        <v>32</v>
      </c>
      <c r="D630" t="s">
        <v>19</v>
      </c>
      <c r="E630">
        <v>20</v>
      </c>
      <c r="F630">
        <v>22</v>
      </c>
      <c r="G630">
        <v>1</v>
      </c>
      <c r="H630" s="1">
        <v>1.7708333333333332E-3</v>
      </c>
      <c r="I630" t="s">
        <v>23</v>
      </c>
      <c r="J630" s="2" t="str">
        <f>HYPERLINK("https://www.nba.com/stats/events?CFID=&amp;CFPARAMS=&amp;GameEventID=102&amp;GameID=0022301003&amp;Season=2023-24&amp;flag=1&amp;title=Leonard%2010'%20fadeaway%20Jump%20Shot%20(4%20PTS)%20(B.%20Hyland%202%20AST)", "10' fadeaway Jump Shot (4 PTS) (B. Hyland 2 AST)")</f>
        <v>10' fadeaway Jump Shot (4 PTS) (B. Hyland 2 AST)</v>
      </c>
      <c r="K630" s="2" t="str">
        <f>HYPERLINK("https://www.nba.com/game/...-vs-...-0022301003/play-by-play?watchFullGame=true", "LAC vs POR - Q1 02:33.00")</f>
        <v>LAC vs POR - Q1 02:33.00</v>
      </c>
      <c r="L630">
        <v>10.34</v>
      </c>
      <c r="M630">
        <v>93.38</v>
      </c>
      <c r="N630">
        <v>29.41</v>
      </c>
      <c r="O630">
        <v>-103</v>
      </c>
      <c r="P630">
        <v>10</v>
      </c>
    </row>
    <row r="631" spans="1:16" x14ac:dyDescent="0.25">
      <c r="A631">
        <v>41200154</v>
      </c>
      <c r="B631" t="s">
        <v>27</v>
      </c>
      <c r="C631" t="s">
        <v>32</v>
      </c>
      <c r="D631" t="s">
        <v>19</v>
      </c>
      <c r="E631">
        <v>29</v>
      </c>
      <c r="F631">
        <v>42</v>
      </c>
      <c r="G631">
        <v>2</v>
      </c>
      <c r="H631" s="1">
        <v>3.9467592592592592E-3</v>
      </c>
      <c r="I631" t="s">
        <v>18</v>
      </c>
      <c r="J631" s="2" t="str">
        <f>HYPERLINK("https://www.nba.com/stats/events?CFID=&amp;CFPARAMS=&amp;GameEventID=183&amp;GameID=0041200154&amp;Season=2012-13&amp;flag=1&amp;title=Leonard%2010'%20Jump%20Shot%20(4%20PTS)%20(Neal%201%20AST)", "Leonard 10' Jump Shot (4 PTS) (Neal 1 AST)")</f>
        <v>Leonard 10' Jump Shot (4 PTS) (Neal 1 AST)</v>
      </c>
      <c r="K631" s="2" t="str">
        <f>HYPERLINK("https://www.nba.com/game/...-vs-...-0041200154/play-by-play?watchFullGame=true", "SAS vs LAL - Q2 05:41.00")</f>
        <v>SAS vs LAL - Q2 05:41.00</v>
      </c>
      <c r="L631">
        <v>10</v>
      </c>
      <c r="M631">
        <v>-103</v>
      </c>
      <c r="N631">
        <v>12</v>
      </c>
      <c r="O631">
        <v>-103</v>
      </c>
      <c r="P631">
        <v>12</v>
      </c>
    </row>
    <row r="632" spans="1:16" x14ac:dyDescent="0.25">
      <c r="A632">
        <v>22200668</v>
      </c>
      <c r="B632">
        <v>2022</v>
      </c>
      <c r="C632" t="s">
        <v>32</v>
      </c>
      <c r="D632" t="s">
        <v>19</v>
      </c>
      <c r="E632">
        <v>67</v>
      </c>
      <c r="F632">
        <v>70</v>
      </c>
      <c r="G632">
        <v>3</v>
      </c>
      <c r="H632" s="1">
        <v>5.8564814814814816E-3</v>
      </c>
      <c r="I632" t="s">
        <v>23</v>
      </c>
      <c r="J632" s="2" t="str">
        <f>HYPERLINK("https://www.nba.com/stats/events?CFID=&amp;CFPARAMS=&amp;GameEventID=353&amp;GameID=0022200668&amp;Season=2022-23&amp;flag=1&amp;title=Leonard%2020'%20pullup%20Jump%20Shot%20(21%20PTS)%20(T.%20Mann%203%20AST)", "20' pullup Jump Shot (21 PTS) (T. Mann 3 AST)")</f>
        <v>20' pullup Jump Shot (21 PTS) (T. Mann 3 AST)</v>
      </c>
      <c r="K632" s="2" t="str">
        <f>HYPERLINK("https://www.nba.com/game/...-vs-...-0022200668/play-by-play?watchFullGame=true", "LAC vs PHI - Q3 08:26.00")</f>
        <v>LAC vs PHI - Q3 08:26.00</v>
      </c>
      <c r="L632">
        <v>20.43</v>
      </c>
      <c r="M632">
        <v>24.36</v>
      </c>
      <c r="N632">
        <v>70.59</v>
      </c>
      <c r="O632">
        <v>-103</v>
      </c>
      <c r="P632">
        <v>176</v>
      </c>
    </row>
    <row r="633" spans="1:16" x14ac:dyDescent="0.25">
      <c r="A633">
        <v>22000576</v>
      </c>
      <c r="B633">
        <v>2020</v>
      </c>
      <c r="C633" t="s">
        <v>32</v>
      </c>
      <c r="D633" t="s">
        <v>19</v>
      </c>
      <c r="E633">
        <v>20</v>
      </c>
      <c r="F633">
        <v>17</v>
      </c>
      <c r="G633">
        <v>1</v>
      </c>
      <c r="H633" s="1">
        <v>2.488425925925926E-3</v>
      </c>
      <c r="I633" t="s">
        <v>23</v>
      </c>
      <c r="J633" s="2" t="str">
        <f>HYPERLINK("https://www.nba.com/stats/events?CFID=&amp;CFPARAMS=&amp;GameEventID=110&amp;GameID=0022000576&amp;Season=2020-21&amp;flag=1&amp;title=Leonard%2020'%20pullup%20Jump%20Shot%20(6%20PTS)", "20' pullup Jump Shot (6 PTS)")</f>
        <v>20' pullup Jump Shot (6 PTS)</v>
      </c>
      <c r="K633" s="2" t="str">
        <f>HYPERLINK("https://www.nba.com/game/...-vs-...-0022000576/play-by-play?watchFullGame=true", "LAC vs GSW - Q1 03:35.00")</f>
        <v>LAC vs GSW - Q1 03:35.00</v>
      </c>
      <c r="L633">
        <v>20.74</v>
      </c>
      <c r="M633">
        <v>75.25</v>
      </c>
      <c r="N633">
        <v>29.48</v>
      </c>
      <c r="O633">
        <v>-103</v>
      </c>
      <c r="P633">
        <v>180</v>
      </c>
    </row>
    <row r="634" spans="1:16" x14ac:dyDescent="0.25">
      <c r="A634">
        <v>22200480</v>
      </c>
      <c r="B634">
        <v>2022</v>
      </c>
      <c r="C634" t="s">
        <v>16</v>
      </c>
      <c r="D634" t="s">
        <v>19</v>
      </c>
      <c r="E634">
        <v>47</v>
      </c>
      <c r="F634">
        <v>61</v>
      </c>
      <c r="G634">
        <v>2</v>
      </c>
      <c r="H634" s="1">
        <v>8.3333333333333339E-4</v>
      </c>
      <c r="I634" t="s">
        <v>23</v>
      </c>
      <c r="J634" s="2" t="str">
        <f>HYPERLINK("https://www.nba.com/stats/events?CFID=&amp;CFPARAMS=&amp;GameEventID=270&amp;GameID=0022200480&amp;Season=2022-23&amp;flag=1&amp;title=Leonard%2025'%203PT%20pullup%20(13%20PTS)%20(N.%20Batum%201%20AST)", "25' 3PT pullup (13 PTS) (N. Batum 1 AST)")</f>
        <v>25' 3PT pullup (13 PTS) (N. Batum 1 AST)</v>
      </c>
      <c r="K634" s="2" t="str">
        <f>HYPERLINK("https://www.nba.com/game/...-vs-...-0022200480/play-by-play?watchFullGame=true", "LAC vs PHI - Q2 01:12.00")</f>
        <v>LAC vs PHI - Q2 01:12.00</v>
      </c>
      <c r="L634">
        <v>25.64</v>
      </c>
      <c r="M634">
        <v>69.430000000000007</v>
      </c>
      <c r="N634">
        <v>29.41</v>
      </c>
      <c r="O634">
        <v>-103</v>
      </c>
      <c r="P634">
        <v>235</v>
      </c>
    </row>
    <row r="635" spans="1:16" x14ac:dyDescent="0.25">
      <c r="A635">
        <v>41200151</v>
      </c>
      <c r="B635" t="s">
        <v>27</v>
      </c>
      <c r="C635" t="s">
        <v>16</v>
      </c>
      <c r="D635" t="s">
        <v>19</v>
      </c>
      <c r="E635">
        <v>33</v>
      </c>
      <c r="F635">
        <v>26</v>
      </c>
      <c r="G635">
        <v>2</v>
      </c>
      <c r="H635" s="1">
        <v>3.6111111111111109E-3</v>
      </c>
      <c r="I635" t="s">
        <v>18</v>
      </c>
      <c r="J635" s="2" t="str">
        <f>HYPERLINK("https://www.nba.com/stats/events?CFID=&amp;CFPARAMS=&amp;GameEventID=185&amp;GameID=0041200151&amp;Season=2012-13&amp;flag=1&amp;title=Leonard%2026'%203PT%20Jump%20Shot%20(3%20PTS)%20(Parker%204%20AST)", "Leonard 26' 3PT Jump Shot (3 PTS) (Parker 4 AST)")</f>
        <v>Leonard 26' 3PT Jump Shot (3 PTS) (Parker 4 AST)</v>
      </c>
      <c r="K635" s="2" t="str">
        <f>HYPERLINK("https://www.nba.com/game/...-vs-...-0041200151/play-by-play?watchFullGame=true", "SAS vs LAL - Q2 05:12.00")</f>
        <v>SAS vs LAL - Q2 05:12.00</v>
      </c>
      <c r="L635">
        <v>26</v>
      </c>
      <c r="M635">
        <v>-103</v>
      </c>
      <c r="N635">
        <v>238</v>
      </c>
      <c r="O635">
        <v>-103</v>
      </c>
      <c r="P635">
        <v>238</v>
      </c>
    </row>
    <row r="636" spans="1:16" x14ac:dyDescent="0.25">
      <c r="A636">
        <v>21600003</v>
      </c>
      <c r="B636">
        <v>2016</v>
      </c>
      <c r="C636" t="s">
        <v>32</v>
      </c>
      <c r="D636" t="s">
        <v>17</v>
      </c>
      <c r="E636">
        <v>44</v>
      </c>
      <c r="F636">
        <v>61</v>
      </c>
      <c r="G636">
        <v>2</v>
      </c>
      <c r="H636" s="1">
        <v>2.2569444444444443E-4</v>
      </c>
      <c r="I636" t="s">
        <v>18</v>
      </c>
      <c r="J636" s="2" t="str">
        <f>HYPERLINK("https://www.nba.com/stats/events?CFID=&amp;CFPARAMS=&amp;GameEventID=255&amp;GameID=0021600003&amp;Season=2016-17&amp;flag=1&amp;title=Leonard%2010'%20Running%20Jump%20Shot%20(18%20PTS)%20(Ginobili%201%20AST)", "Leonard 10' Running Jump Shot (18 PTS) (Ginobili 1 AST)")</f>
        <v>Leonard 10' Running Jump Shot (18 PTS) (Ginobili 1 AST)</v>
      </c>
      <c r="K636" s="2" t="str">
        <f>HYPERLINK("https://www.nba.com/game/...-vs-...-0021600003/play-by-play?watchFullGame=true", "SAS vs GSW - Q2 00:19.50")</f>
        <v>SAS vs GSW - Q2 00:19.50</v>
      </c>
      <c r="L636">
        <v>10</v>
      </c>
      <c r="M636">
        <v>-102</v>
      </c>
      <c r="N636">
        <v>21</v>
      </c>
      <c r="O636">
        <v>-102</v>
      </c>
      <c r="P636">
        <v>21</v>
      </c>
    </row>
    <row r="637" spans="1:16" x14ac:dyDescent="0.25">
      <c r="A637">
        <v>41500153</v>
      </c>
      <c r="B637" t="s">
        <v>25</v>
      </c>
      <c r="C637" t="s">
        <v>32</v>
      </c>
      <c r="D637" t="s">
        <v>24</v>
      </c>
      <c r="E637">
        <v>82</v>
      </c>
      <c r="F637">
        <v>91</v>
      </c>
      <c r="G637">
        <v>4</v>
      </c>
      <c r="H637" s="1">
        <v>1.7939814814814815E-3</v>
      </c>
      <c r="I637" t="s">
        <v>18</v>
      </c>
      <c r="J637" s="2" t="str">
        <f>HYPERLINK("https://www.nba.com/stats/events?CFID=&amp;CFPARAMS=&amp;GameEventID=472&amp;GameID=0041500153&amp;Season=2015-16&amp;flag=1&amp;title=Leonard%2011'%20Turnaround%20Jump%20Shot%20(29%20PTS)", "Leonard 11' Turnaround Jump Shot (29 PTS)")</f>
        <v>Leonard 11' Turnaround Jump Shot (29 PTS)</v>
      </c>
      <c r="K637" s="2" t="str">
        <f>HYPERLINK("https://www.nba.com/game/...-vs-...-0041500153/play-by-play?watchFullGame=true", "SAS vs MEM - Q4 02:35.00")</f>
        <v>SAS vs MEM - Q4 02:35.00</v>
      </c>
      <c r="L637">
        <v>11</v>
      </c>
      <c r="M637">
        <v>-102</v>
      </c>
      <c r="N637">
        <v>46</v>
      </c>
      <c r="O637">
        <v>-102</v>
      </c>
      <c r="P637">
        <v>46</v>
      </c>
    </row>
    <row r="638" spans="1:16" x14ac:dyDescent="0.25">
      <c r="A638">
        <v>21600917</v>
      </c>
      <c r="B638">
        <v>2016</v>
      </c>
      <c r="C638" t="s">
        <v>32</v>
      </c>
      <c r="D638" t="s">
        <v>37</v>
      </c>
      <c r="E638">
        <v>20</v>
      </c>
      <c r="F638">
        <v>16</v>
      </c>
      <c r="G638">
        <v>1</v>
      </c>
      <c r="H638" s="1">
        <v>3.1597222222222222E-3</v>
      </c>
      <c r="I638" t="s">
        <v>18</v>
      </c>
      <c r="J638" s="2" t="str">
        <f>HYPERLINK("https://www.nba.com/stats/events?CFID=&amp;CFPARAMS=&amp;GameEventID=79&amp;GameID=0021600917&amp;Season=2016-17&amp;flag=1&amp;title=Leonard%2014'%20Floating%20Jump%20Shot%20(8%20PTS)%20(Ginobili%201%20AST)", "Leonard 14' Floating Jump Shot (8 PTS) (Ginobili 1 AST)")</f>
        <v>Leonard 14' Floating Jump Shot (8 PTS) (Ginobili 1 AST)</v>
      </c>
      <c r="K638" s="2" t="str">
        <f>HYPERLINK("https://www.nba.com/game/...-vs-...-0021600917/play-by-play?watchFullGame=true", "SAS vs NOP - Q1 04:33.00")</f>
        <v>SAS vs NOP - Q1 04:33.00</v>
      </c>
      <c r="L638">
        <v>14</v>
      </c>
      <c r="M638">
        <v>-102</v>
      </c>
      <c r="N638">
        <v>101</v>
      </c>
      <c r="O638">
        <v>-102</v>
      </c>
      <c r="P638">
        <v>101</v>
      </c>
    </row>
    <row r="639" spans="1:16" x14ac:dyDescent="0.25">
      <c r="A639">
        <v>21600657</v>
      </c>
      <c r="B639">
        <v>2016</v>
      </c>
      <c r="C639" t="s">
        <v>32</v>
      </c>
      <c r="D639" t="s">
        <v>29</v>
      </c>
      <c r="E639">
        <v>8</v>
      </c>
      <c r="F639">
        <v>4</v>
      </c>
      <c r="G639">
        <v>1</v>
      </c>
      <c r="H639" s="1">
        <v>6.3888888888888893E-3</v>
      </c>
      <c r="I639" t="s">
        <v>18</v>
      </c>
      <c r="J639" s="2" t="str">
        <f>HYPERLINK("https://www.nba.com/stats/events?CFID=&amp;CFPARAMS=&amp;GameEventID=23&amp;GameID=0021600657&amp;Season=2016-17&amp;flag=1&amp;title=Leonard%2017'%20Pullup%20Jump%20Shot%20(2%20PTS)%20(Aldridge%201%20AST)", "Leonard 17' Pullup Jump Shot (2 PTS) (Aldridge 1 AST)")</f>
        <v>Leonard 17' Pullup Jump Shot (2 PTS) (Aldridge 1 AST)</v>
      </c>
      <c r="K639" s="2" t="str">
        <f>HYPERLINK("https://www.nba.com/game/...-vs-...-0021600657/play-by-play?watchFullGame=true", "SAS vs CLE - Q1 09:12.00")</f>
        <v>SAS vs CLE - Q1 09:12.00</v>
      </c>
      <c r="L639">
        <v>17</v>
      </c>
      <c r="M639">
        <v>-102</v>
      </c>
      <c r="N639">
        <v>141</v>
      </c>
      <c r="O639">
        <v>-102</v>
      </c>
      <c r="P639">
        <v>141</v>
      </c>
    </row>
    <row r="640" spans="1:16" x14ac:dyDescent="0.25">
      <c r="A640">
        <v>21500790</v>
      </c>
      <c r="B640">
        <v>2015</v>
      </c>
      <c r="C640" t="s">
        <v>32</v>
      </c>
      <c r="D640" t="s">
        <v>19</v>
      </c>
      <c r="E640">
        <v>87</v>
      </c>
      <c r="F640">
        <v>80</v>
      </c>
      <c r="G640">
        <v>4</v>
      </c>
      <c r="H640" s="1">
        <v>4.6643518518518518E-3</v>
      </c>
      <c r="I640" t="s">
        <v>18</v>
      </c>
      <c r="J640" s="2" t="str">
        <f>HYPERLINK("https://www.nba.com/stats/events?CFID=&amp;CFPARAMS=&amp;GameEventID=425&amp;GameID=0021500790&amp;Season=2015-16&amp;flag=1&amp;title=Leonard%2020'%20Jump%20Shot%20(22%20PTS)%20(Mills%207%20AST)", "Leonard 20' Jump Shot (22 PTS) (Mills 7 AST)")</f>
        <v>Leonard 20' Jump Shot (22 PTS) (Mills 7 AST)</v>
      </c>
      <c r="K640" s="2" t="str">
        <f>HYPERLINK("https://www.nba.com/game/...-vs-...-0021500790/play-by-play?watchFullGame=true", "SAS vs ORL - Q4 06:43.00")</f>
        <v>SAS vs ORL - Q4 06:43.00</v>
      </c>
      <c r="L640">
        <v>20</v>
      </c>
      <c r="M640">
        <v>-102</v>
      </c>
      <c r="N640">
        <v>174</v>
      </c>
      <c r="O640">
        <v>-102</v>
      </c>
      <c r="P640">
        <v>174</v>
      </c>
    </row>
    <row r="641" spans="1:16" x14ac:dyDescent="0.25">
      <c r="A641">
        <v>21600114</v>
      </c>
      <c r="B641">
        <v>2016</v>
      </c>
      <c r="C641" t="s">
        <v>32</v>
      </c>
      <c r="D641" t="s">
        <v>29</v>
      </c>
      <c r="E641">
        <v>80</v>
      </c>
      <c r="F641">
        <v>85</v>
      </c>
      <c r="G641">
        <v>3</v>
      </c>
      <c r="H641" s="1">
        <v>3.3564814814814815E-5</v>
      </c>
      <c r="I641" t="s">
        <v>18</v>
      </c>
      <c r="J641" s="2" t="str">
        <f>HYPERLINK("https://www.nba.com/stats/events?CFID=&amp;CFPARAMS=&amp;GameEventID=428&amp;GameID=0021600114&amp;Season=2016-17&amp;flag=1&amp;title=Leonard%2015'%20Pullup%20Jump%20Shot%20(27%20PTS)", "Leonard 15' Pullup Jump Shot (27 PTS)")</f>
        <v>Leonard 15' Pullup Jump Shot (27 PTS)</v>
      </c>
      <c r="K641" s="2" t="str">
        <f>HYPERLINK("https://www.nba.com/game/...-vs-...-0021600114/play-by-play?watchFullGame=true", "SAS vs HOU - Q3 00:02.90")</f>
        <v>SAS vs HOU - Q3 00:02.90</v>
      </c>
      <c r="L641">
        <v>15</v>
      </c>
      <c r="M641">
        <v>-101</v>
      </c>
      <c r="N641">
        <v>110</v>
      </c>
      <c r="O641">
        <v>-101</v>
      </c>
      <c r="P641">
        <v>110</v>
      </c>
    </row>
    <row r="642" spans="1:16" x14ac:dyDescent="0.25">
      <c r="A642">
        <v>21600319</v>
      </c>
      <c r="B642">
        <v>2016</v>
      </c>
      <c r="C642" t="s">
        <v>32</v>
      </c>
      <c r="D642" t="s">
        <v>29</v>
      </c>
      <c r="E642">
        <v>32</v>
      </c>
      <c r="F642">
        <v>25</v>
      </c>
      <c r="G642">
        <v>2</v>
      </c>
      <c r="H642" s="1">
        <v>6.5162037037037037E-3</v>
      </c>
      <c r="I642" t="s">
        <v>18</v>
      </c>
      <c r="J642" s="2" t="str">
        <f>HYPERLINK("https://www.nba.com/stats/events?CFID=&amp;CFPARAMS=&amp;GameEventID=132&amp;GameID=0021600319&amp;Season=2016-17&amp;flag=1&amp;title=Leonard%2018'%20Pullup%20Jump%20Shot%20(4%20PTS)", "Leonard 18' Pullup Jump Shot (4 PTS)")</f>
        <v>Leonard 18' Pullup Jump Shot (4 PTS)</v>
      </c>
      <c r="K642" s="2" t="str">
        <f>HYPERLINK("https://www.nba.com/game/...-vs-...-0021600319/play-by-play?watchFullGame=true", "SAS vs MIN - Q2 09:23.00")</f>
        <v>SAS vs MIN - Q2 09:23.00</v>
      </c>
      <c r="L642">
        <v>18</v>
      </c>
      <c r="M642">
        <v>-101</v>
      </c>
      <c r="N642">
        <v>151</v>
      </c>
      <c r="O642">
        <v>-101</v>
      </c>
      <c r="P642">
        <v>151</v>
      </c>
    </row>
    <row r="643" spans="1:16" x14ac:dyDescent="0.25">
      <c r="A643">
        <v>21400624</v>
      </c>
      <c r="B643">
        <v>2014</v>
      </c>
      <c r="C643" t="s">
        <v>16</v>
      </c>
      <c r="D643" t="s">
        <v>19</v>
      </c>
      <c r="E643">
        <v>76</v>
      </c>
      <c r="F643">
        <v>85</v>
      </c>
      <c r="G643">
        <v>4</v>
      </c>
      <c r="H643" s="1">
        <v>7.4537037037037037E-3</v>
      </c>
      <c r="I643" t="s">
        <v>18</v>
      </c>
      <c r="J643" s="2" t="str">
        <f>HYPERLINK("https://www.nba.com/stats/events?CFID=&amp;CFPARAMS=&amp;GameEventID=429&amp;GameID=0021400624&amp;Season=2014-15&amp;flag=1&amp;title=Leonard%2025'%203PT%20Jump%20Shot%20(14%20PTS)%20(Ginobili%208%20AST)", "Leonard 25' 3PT Jump Shot (14 PTS) (Ginobili 8 AST)")</f>
        <v>Leonard 25' 3PT Jump Shot (14 PTS) (Ginobili 8 AST)</v>
      </c>
      <c r="K643" s="2" t="str">
        <f>HYPERLINK("https://www.nba.com/game/...-vs-...-0021400624/play-by-play?watchFullGame=true", "SAS vs DEN - Q4 10:44.00")</f>
        <v>SAS vs DEN - Q4 10:44.00</v>
      </c>
      <c r="L643">
        <v>25</v>
      </c>
      <c r="M643">
        <v>-101</v>
      </c>
      <c r="N643">
        <v>231</v>
      </c>
      <c r="O643">
        <v>-101</v>
      </c>
      <c r="P643">
        <v>231</v>
      </c>
    </row>
    <row r="644" spans="1:16" x14ac:dyDescent="0.25">
      <c r="A644">
        <v>41800211</v>
      </c>
      <c r="B644" t="s">
        <v>20</v>
      </c>
      <c r="C644" t="s">
        <v>16</v>
      </c>
      <c r="D644" t="s">
        <v>29</v>
      </c>
      <c r="E644">
        <v>18</v>
      </c>
      <c r="F644">
        <v>11</v>
      </c>
      <c r="G644">
        <v>1</v>
      </c>
      <c r="H644" s="1">
        <v>4.3750000000000004E-3</v>
      </c>
      <c r="I644" t="s">
        <v>21</v>
      </c>
      <c r="J644" s="2" t="str">
        <f>HYPERLINK("https://www.nba.com/stats/events?CFID=&amp;CFPARAMS=&amp;GameEventID=64&amp;GameID=0041800211&amp;Season=2018-19&amp;flag=1&amp;title=Leonard%2026'%203PT%20Pullup%20Jump%20Shot%20(9%20PTS)", "Leonard 26' 3PT Pullup Jump Shot (9 PTS)")</f>
        <v>Leonard 26' 3PT Pullup Jump Shot (9 PTS)</v>
      </c>
      <c r="K644" s="2" t="str">
        <f>HYPERLINK("https://www.nba.com/game/...-vs-...-0041800211/play-by-play?watchFullGame=true", "TOR vs PHI - Q1 06:18.00")</f>
        <v>TOR vs PHI - Q1 06:18.00</v>
      </c>
      <c r="L644">
        <v>26</v>
      </c>
      <c r="M644">
        <v>-101</v>
      </c>
      <c r="N644">
        <v>239</v>
      </c>
      <c r="O644">
        <v>-101</v>
      </c>
      <c r="P644">
        <v>239</v>
      </c>
    </row>
    <row r="645" spans="1:16" x14ac:dyDescent="0.25">
      <c r="A645">
        <v>41200231</v>
      </c>
      <c r="B645" t="s">
        <v>27</v>
      </c>
      <c r="C645" t="s">
        <v>32</v>
      </c>
      <c r="D645" t="s">
        <v>19</v>
      </c>
      <c r="E645">
        <v>33</v>
      </c>
      <c r="F645">
        <v>36</v>
      </c>
      <c r="G645">
        <v>2</v>
      </c>
      <c r="H645" s="1">
        <v>5.115740740740741E-3</v>
      </c>
      <c r="I645" t="s">
        <v>18</v>
      </c>
      <c r="J645" s="2" t="str">
        <f>HYPERLINK("https://www.nba.com/stats/events?CFID=&amp;CFPARAMS=&amp;GameEventID=165&amp;GameID=0041200231&amp;Season=2012-13&amp;flag=1&amp;title=Leonard%2010'%20Jump%20Shot%20(2%20PTS)", "Leonard 10' Jump Shot (2 PTS)")</f>
        <v>Leonard 10' Jump Shot (2 PTS)</v>
      </c>
      <c r="K645" s="2" t="str">
        <f>HYPERLINK("https://www.nba.com/game/...-vs-...-0041200231/play-by-play?watchFullGame=true", "SAS vs GSW - Q2 07:22.00")</f>
        <v>SAS vs GSW - Q2 07:22.00</v>
      </c>
      <c r="L645">
        <v>10</v>
      </c>
      <c r="M645">
        <v>-100</v>
      </c>
      <c r="N645">
        <v>-3</v>
      </c>
      <c r="O645">
        <v>-100</v>
      </c>
      <c r="P645">
        <v>-3</v>
      </c>
    </row>
    <row r="646" spans="1:16" x14ac:dyDescent="0.25">
      <c r="A646">
        <v>22000625</v>
      </c>
      <c r="B646">
        <v>2020</v>
      </c>
      <c r="C646" t="s">
        <v>32</v>
      </c>
      <c r="D646" t="s">
        <v>19</v>
      </c>
      <c r="E646">
        <v>84</v>
      </c>
      <c r="F646">
        <v>75</v>
      </c>
      <c r="G646">
        <v>4</v>
      </c>
      <c r="H646" s="1">
        <v>5.8101851851851856E-3</v>
      </c>
      <c r="I646" t="s">
        <v>23</v>
      </c>
      <c r="J646" s="2" t="str">
        <f>HYPERLINK("https://www.nba.com/stats/events?CFID=&amp;CFPARAMS=&amp;GameEventID=529&amp;GameID=0022000625&amp;Season=2020-21&amp;flag=1&amp;title=Leonard%2010'%20turnaround%20fadeaway%20Jump%20Shot%20(18%20PTS)", "10' turnaround fadeaway Jump Shot (18 PTS)")</f>
        <v>10' turnaround fadeaway Jump Shot (18 PTS)</v>
      </c>
      <c r="K646" s="2" t="str">
        <f>HYPERLINK("https://www.nba.com/game/...-vs-...-0022000625/play-by-play?watchFullGame=true", "LAC vs DAL - Q4 08:22.00")</f>
        <v>LAC vs DAL - Q4 08:22.00</v>
      </c>
      <c r="L646">
        <v>10.02</v>
      </c>
      <c r="M646">
        <v>6.78</v>
      </c>
      <c r="N646">
        <v>69.92</v>
      </c>
      <c r="O646">
        <v>-100</v>
      </c>
      <c r="P646">
        <v>11</v>
      </c>
    </row>
    <row r="647" spans="1:16" x14ac:dyDescent="0.25">
      <c r="A647">
        <v>22300897</v>
      </c>
      <c r="B647">
        <v>2023</v>
      </c>
      <c r="C647" t="s">
        <v>32</v>
      </c>
      <c r="D647" t="s">
        <v>19</v>
      </c>
      <c r="E647">
        <v>106</v>
      </c>
      <c r="F647">
        <v>103</v>
      </c>
      <c r="G647">
        <v>4</v>
      </c>
      <c r="H647" s="1">
        <v>3.4837962962962965E-3</v>
      </c>
      <c r="I647" t="s">
        <v>23</v>
      </c>
      <c r="J647" s="2" t="str">
        <f>HYPERLINK("https://www.nba.com/stats/events?CFID=&amp;CFPARAMS=&amp;GameEventID=533&amp;GameID=0022300897&amp;Season=2023-24&amp;flag=1&amp;title=Leonard%2010'%20pullup%20Jump%20Shot%20(23%20PTS)", "10' pullup Jump Shot (23 PTS)")</f>
        <v>10' pullup Jump Shot (23 PTS)</v>
      </c>
      <c r="K647" s="2" t="str">
        <f>HYPERLINK("https://www.nba.com/game/...-vs-...-0022300897/play-by-play?watchFullGame=true", "LAC vs HOU - Q4 05:01.00")</f>
        <v>LAC vs HOU - Q4 05:01.00</v>
      </c>
      <c r="L647">
        <v>10.16</v>
      </c>
      <c r="M647">
        <v>7.18</v>
      </c>
      <c r="N647">
        <v>70.099999999999994</v>
      </c>
      <c r="O647">
        <v>-100</v>
      </c>
      <c r="P647">
        <v>15</v>
      </c>
    </row>
    <row r="648" spans="1:16" x14ac:dyDescent="0.25">
      <c r="A648">
        <v>22000554</v>
      </c>
      <c r="B648">
        <v>2020</v>
      </c>
      <c r="C648" t="s">
        <v>32</v>
      </c>
      <c r="D648" t="s">
        <v>19</v>
      </c>
      <c r="E648">
        <v>37</v>
      </c>
      <c r="F648">
        <v>38</v>
      </c>
      <c r="G648">
        <v>2</v>
      </c>
      <c r="H648" s="1">
        <v>5.162037037037037E-3</v>
      </c>
      <c r="I648" t="s">
        <v>23</v>
      </c>
      <c r="J648" s="2" t="str">
        <f>HYPERLINK("https://www.nba.com/stats/events?CFID=&amp;CFPARAMS=&amp;GameEventID=221&amp;GameID=0022000554&amp;Season=2020-21&amp;flag=1&amp;title=Leonard%2010'%20fadeaway%20Jump%20Shot%20(12%20PTS)", "10' fadeaway Jump Shot (12 PTS)")</f>
        <v>10' fadeaway Jump Shot (12 PTS)</v>
      </c>
      <c r="K648" s="2" t="str">
        <f>HYPERLINK("https://www.nba.com/game/...-vs-...-0022000554/play-by-play?watchFullGame=true", "LAC vs WAS - Q2 07:26.00")</f>
        <v>LAC vs WAS - Q2 07:26.00</v>
      </c>
      <c r="L648">
        <v>10.63</v>
      </c>
      <c r="M648">
        <v>9.5399999999999991</v>
      </c>
      <c r="N648">
        <v>69.92</v>
      </c>
      <c r="O648">
        <v>-100</v>
      </c>
      <c r="P648">
        <v>37</v>
      </c>
    </row>
    <row r="649" spans="1:16" x14ac:dyDescent="0.25">
      <c r="A649">
        <v>41800213</v>
      </c>
      <c r="B649" t="s">
        <v>20</v>
      </c>
      <c r="C649" t="s">
        <v>32</v>
      </c>
      <c r="D649" t="s">
        <v>29</v>
      </c>
      <c r="E649">
        <v>81</v>
      </c>
      <c r="F649">
        <v>70</v>
      </c>
      <c r="G649">
        <v>3</v>
      </c>
      <c r="H649" s="1">
        <v>3.0208333333333333E-3</v>
      </c>
      <c r="I649" t="s">
        <v>21</v>
      </c>
      <c r="J649" s="2" t="str">
        <f>HYPERLINK("https://www.nba.com/stats/events?CFID=&amp;CFPARAMS=&amp;GameEventID=425&amp;GameID=0041800213&amp;Season=2018-19&amp;flag=1&amp;title=Leonard%2016'%20Pullup%20Jump%20Shot%20(24%20PTS)", "Leonard 16' Pullup Jump Shot (24 PTS)")</f>
        <v>Leonard 16' Pullup Jump Shot (24 PTS)</v>
      </c>
      <c r="K649" s="2" t="str">
        <f>HYPERLINK("https://www.nba.com/game/...-vs-...-0041800213/play-by-play?watchFullGame=true", "TOR vs PHI - Q3 04:21.00")</f>
        <v>TOR vs PHI - Q3 04:21.00</v>
      </c>
      <c r="L649">
        <v>16</v>
      </c>
      <c r="M649">
        <v>-100</v>
      </c>
      <c r="N649">
        <v>119</v>
      </c>
      <c r="O649">
        <v>-100</v>
      </c>
      <c r="P649">
        <v>119</v>
      </c>
    </row>
    <row r="650" spans="1:16" x14ac:dyDescent="0.25">
      <c r="A650">
        <v>22201129</v>
      </c>
      <c r="B650">
        <v>2022</v>
      </c>
      <c r="C650" t="s">
        <v>32</v>
      </c>
      <c r="D650" t="s">
        <v>19</v>
      </c>
      <c r="E650">
        <v>27</v>
      </c>
      <c r="F650">
        <v>30</v>
      </c>
      <c r="G650">
        <v>1</v>
      </c>
      <c r="H650" s="1">
        <v>1.4699074074074075E-4</v>
      </c>
      <c r="I650" t="s">
        <v>23</v>
      </c>
      <c r="J650" s="2" t="str">
        <f>HYPERLINK("https://www.nba.com/stats/events?CFID=&amp;CFPARAMS=&amp;GameEventID=131&amp;GameID=0022201129&amp;Season=2022-23&amp;flag=1&amp;title=Leonard%2016'%20Jump%20Shot%20(5%20PTS)%20(M.%20Plumlee%201%20AST)", "16' Jump Shot (5 PTS) (M. Plumlee 1 AST)")</f>
        <v>16' Jump Shot (5 PTS) (M. Plumlee 1 AST)</v>
      </c>
      <c r="K650" s="2" t="str">
        <f>HYPERLINK("https://www.nba.com/game/...-vs-...-0022201129/play-by-play?watchFullGame=true", "LAC vs CHI - Q1 00:12.70")</f>
        <v>LAC vs CHI - Q1 00:12.70</v>
      </c>
      <c r="L650">
        <v>16.89</v>
      </c>
      <c r="M650">
        <v>20.02</v>
      </c>
      <c r="N650">
        <v>70.099999999999994</v>
      </c>
      <c r="O650">
        <v>-100</v>
      </c>
      <c r="P650">
        <v>136</v>
      </c>
    </row>
    <row r="651" spans="1:16" x14ac:dyDescent="0.25">
      <c r="A651">
        <v>21900419</v>
      </c>
      <c r="B651">
        <v>2019</v>
      </c>
      <c r="C651" t="s">
        <v>32</v>
      </c>
      <c r="D651" t="s">
        <v>22</v>
      </c>
      <c r="E651">
        <v>22</v>
      </c>
      <c r="F651">
        <v>19</v>
      </c>
      <c r="G651">
        <v>1</v>
      </c>
      <c r="H651" s="1">
        <v>2.662037037037037E-3</v>
      </c>
      <c r="I651" t="s">
        <v>23</v>
      </c>
      <c r="J651" s="2" t="str">
        <f>HYPERLINK("https://www.nba.com/stats/events?CFID=&amp;CFPARAMS=&amp;GameEventID=95&amp;GameID=0021900419&amp;Season=2019-20&amp;flag=1&amp;title=Leonard%2018'%20jumpshot%20(9%20PTS)", "18' jumpshot (9 PTS)")</f>
        <v>18' jumpshot (9 PTS)</v>
      </c>
      <c r="K651" s="2" t="str">
        <f>HYPERLINK("https://www.nba.com/game/...-vs-...-0021900419/play-by-play?watchFullGame=true", "LAC vs HOU - Q1 03:50.00")</f>
        <v>LAC vs HOU - Q1 03:50.00</v>
      </c>
      <c r="L651">
        <v>18.12</v>
      </c>
      <c r="M651">
        <v>78.89</v>
      </c>
      <c r="N651">
        <v>30.08</v>
      </c>
      <c r="O651">
        <v>-100</v>
      </c>
      <c r="P651">
        <v>146</v>
      </c>
    </row>
    <row r="652" spans="1:16" x14ac:dyDescent="0.25">
      <c r="A652">
        <v>22000472</v>
      </c>
      <c r="B652">
        <v>2020</v>
      </c>
      <c r="C652" t="s">
        <v>16</v>
      </c>
      <c r="D652" t="s">
        <v>19</v>
      </c>
      <c r="E652">
        <v>6</v>
      </c>
      <c r="F652">
        <v>5</v>
      </c>
      <c r="G652">
        <v>1</v>
      </c>
      <c r="H652" s="1">
        <v>6.7129629629629631E-3</v>
      </c>
      <c r="I652" t="s">
        <v>23</v>
      </c>
      <c r="J652" s="2" t="str">
        <f>HYPERLINK("https://www.nba.com/stats/events?CFID=&amp;CFPARAMS=&amp;GameEventID=26&amp;GameID=0022000472&amp;Season=2020-21&amp;flag=1&amp;title=Leonard%2027'%203PT%20%20(6%20PTS)%20(Ibaka%201%20AST)", "27' 3PT  (6 PTS) (S. Ibaka 1 AST)")</f>
        <v>27' 3PT  (6 PTS) (S. Ibaka 1 AST)</v>
      </c>
      <c r="K652" s="2" t="str">
        <f>HYPERLINK("https://www.nba.com/game/...-vs-...-0022000472/play-by-play?watchFullGame=true", "LAC vs BKN - Q1 09:40.00")</f>
        <v>LAC vs BKN - Q1 09:40.00</v>
      </c>
      <c r="L652">
        <v>27.44</v>
      </c>
      <c r="M652">
        <v>67.23</v>
      </c>
      <c r="N652">
        <v>29.97</v>
      </c>
      <c r="O652">
        <v>-100</v>
      </c>
      <c r="P652">
        <v>256</v>
      </c>
    </row>
    <row r="653" spans="1:16" x14ac:dyDescent="0.25">
      <c r="A653">
        <v>22200795</v>
      </c>
      <c r="B653">
        <v>2022</v>
      </c>
      <c r="C653" t="s">
        <v>32</v>
      </c>
      <c r="D653" t="s">
        <v>19</v>
      </c>
      <c r="E653">
        <v>97</v>
      </c>
      <c r="F653">
        <v>108</v>
      </c>
      <c r="G653">
        <v>4</v>
      </c>
      <c r="H653" s="1">
        <v>3.9236111111111112E-3</v>
      </c>
      <c r="I653" t="s">
        <v>23</v>
      </c>
      <c r="J653" s="2" t="str">
        <f>HYPERLINK("https://www.nba.com/stats/events?CFID=&amp;CFPARAMS=&amp;GameEventID=526&amp;GameID=0022200795&amp;Season=2022-23&amp;flag=1&amp;title=Leonard%209'%20fadeaway%20Jump%20Shot%20(27%20PTS)", "9' fadeaway Jump Shot (27 PTS)")</f>
        <v>9' fadeaway Jump Shot (27 PTS)</v>
      </c>
      <c r="K653" s="2" t="str">
        <f>HYPERLINK("https://www.nba.com/game/...-vs-...-0022200795/play-by-play?watchFullGame=true", "LAC vs NYK - Q4 05:39.00")</f>
        <v>LAC vs NYK - Q4 05:39.00</v>
      </c>
      <c r="L653">
        <v>9.93</v>
      </c>
      <c r="M653">
        <v>5.73</v>
      </c>
      <c r="N653">
        <v>69.849999999999994</v>
      </c>
      <c r="O653">
        <v>-99</v>
      </c>
      <c r="P653">
        <v>1</v>
      </c>
    </row>
    <row r="654" spans="1:16" x14ac:dyDescent="0.25">
      <c r="A654">
        <v>21501001</v>
      </c>
      <c r="B654">
        <v>2015</v>
      </c>
      <c r="C654" t="s">
        <v>32</v>
      </c>
      <c r="D654" t="s">
        <v>29</v>
      </c>
      <c r="E654">
        <v>60</v>
      </c>
      <c r="F654">
        <v>54</v>
      </c>
      <c r="G654">
        <v>3</v>
      </c>
      <c r="H654" s="1">
        <v>3.5763888888888889E-3</v>
      </c>
      <c r="I654" t="s">
        <v>18</v>
      </c>
      <c r="J654" s="2" t="str">
        <f>HYPERLINK("https://www.nba.com/stats/events?CFID=&amp;CFPARAMS=&amp;GameEventID=309&amp;GameID=0021501001&amp;Season=2015-16&amp;flag=1&amp;title=Leonard%2010'%20Pullup%20Jump%20Shot%20(16%20PTS)%20(Aldridge%201%20AST)", "Leonard 10' Pullup Jump Shot (16 PTS) (Aldridge 1 AST)")</f>
        <v>Leonard 10' Pullup Jump Shot (16 PTS) (Aldridge 1 AST)</v>
      </c>
      <c r="K654" s="2" t="str">
        <f>HYPERLINK("https://www.nba.com/game/...-vs-...-0021501001/play-by-play?watchFullGame=true", "SAS vs LAC - Q3 05:09.00")</f>
        <v>SAS vs LAC - Q3 05:09.00</v>
      </c>
      <c r="L654">
        <v>10</v>
      </c>
      <c r="M654">
        <v>-99</v>
      </c>
      <c r="N654">
        <v>11</v>
      </c>
      <c r="O654">
        <v>-99</v>
      </c>
      <c r="P654">
        <v>11</v>
      </c>
    </row>
    <row r="655" spans="1:16" x14ac:dyDescent="0.25">
      <c r="A655">
        <v>22300658</v>
      </c>
      <c r="B655">
        <v>2023</v>
      </c>
      <c r="C655" t="s">
        <v>32</v>
      </c>
      <c r="D655" t="s">
        <v>19</v>
      </c>
      <c r="E655">
        <v>44</v>
      </c>
      <c r="F655">
        <v>51</v>
      </c>
      <c r="G655">
        <v>2</v>
      </c>
      <c r="H655" s="1">
        <v>1.9675925925925924E-3</v>
      </c>
      <c r="I655" t="s">
        <v>23</v>
      </c>
      <c r="J655" s="2" t="str">
        <f>HYPERLINK("https://www.nba.com/stats/events?CFID=&amp;CFPARAMS=&amp;GameEventID=276&amp;GameID=0022300658&amp;Season=2023-24&amp;flag=1&amp;title=Leonard%2010'%20fadeaway%20Jump%20Shot%20(14%20PTS)", "10' fadeaway Jump Shot (14 PTS)")</f>
        <v>10' fadeaway Jump Shot (14 PTS)</v>
      </c>
      <c r="K655" s="2" t="str">
        <f>HYPERLINK("https://www.nba.com/game/...-vs-...-0022300658/play-by-play?watchFullGame=true", "LAC vs CLE - Q2 02:50.00")</f>
        <v>LAC vs CLE - Q2 02:50.00</v>
      </c>
      <c r="L655">
        <v>10.36</v>
      </c>
      <c r="M655">
        <v>91.28</v>
      </c>
      <c r="N655">
        <v>30.15</v>
      </c>
      <c r="O655">
        <v>-99</v>
      </c>
      <c r="P655">
        <v>29</v>
      </c>
    </row>
    <row r="656" spans="1:16" x14ac:dyDescent="0.25">
      <c r="A656">
        <v>22200795</v>
      </c>
      <c r="B656">
        <v>2022</v>
      </c>
      <c r="C656" t="s">
        <v>32</v>
      </c>
      <c r="D656" t="s">
        <v>19</v>
      </c>
      <c r="E656">
        <v>11</v>
      </c>
      <c r="F656">
        <v>18</v>
      </c>
      <c r="G656">
        <v>1</v>
      </c>
      <c r="H656" s="1">
        <v>5.1041666666666666E-3</v>
      </c>
      <c r="I656" t="s">
        <v>23</v>
      </c>
      <c r="J656" s="2" t="str">
        <f>HYPERLINK("https://www.nba.com/stats/events?CFID=&amp;CFPARAMS=&amp;GameEventID=40&amp;GameID=0022200795&amp;Season=2022-23&amp;flag=1&amp;title=Leonard%2013'%20pullup%20Jump%20Shot%20(2%20PTS)", "13' pullup Jump Shot (2 PTS)")</f>
        <v>13' pullup Jump Shot (2 PTS)</v>
      </c>
      <c r="K656" s="2" t="str">
        <f>HYPERLINK("https://www.nba.com/game/...-vs-...-0022200795/play-by-play?watchFullGame=true", "LAC vs NYK - Q1 07:21.00")</f>
        <v>LAC vs NYK - Q1 07:21.00</v>
      </c>
      <c r="L656">
        <v>13.32</v>
      </c>
      <c r="M656">
        <v>84.97</v>
      </c>
      <c r="N656">
        <v>30.15</v>
      </c>
      <c r="O656">
        <v>-99</v>
      </c>
      <c r="P656">
        <v>89</v>
      </c>
    </row>
    <row r="657" spans="1:16" x14ac:dyDescent="0.25">
      <c r="A657">
        <v>21600037</v>
      </c>
      <c r="B657">
        <v>2016</v>
      </c>
      <c r="C657" t="s">
        <v>32</v>
      </c>
      <c r="D657" t="s">
        <v>33</v>
      </c>
      <c r="E657">
        <v>3</v>
      </c>
      <c r="F657">
        <v>4</v>
      </c>
      <c r="G657">
        <v>1</v>
      </c>
      <c r="H657" s="1">
        <v>7.1875000000000003E-3</v>
      </c>
      <c r="I657" t="s">
        <v>18</v>
      </c>
      <c r="J657" s="2" t="str">
        <f>HYPERLINK("https://www.nba.com/stats/events?CFID=&amp;CFPARAMS=&amp;GameEventID=11&amp;GameID=0021600037&amp;Season=2016-17&amp;flag=1&amp;title=Leonard%2017'%20Fadeaway%20Jumper%20(2%20PTS)", "Leonard 17' Fadeaway Jumper (2 PTS)")</f>
        <v>Leonard 17' Fadeaway Jumper (2 PTS)</v>
      </c>
      <c r="K657" s="2" t="str">
        <f>HYPERLINK("https://www.nba.com/game/...-vs-...-0021600037/play-by-play?watchFullGame=true", "SAS vs MIA - Q1 10:21.00")</f>
        <v>SAS vs MIA - Q1 10:21.00</v>
      </c>
      <c r="L657">
        <v>17</v>
      </c>
      <c r="M657">
        <v>-99</v>
      </c>
      <c r="N657">
        <v>139</v>
      </c>
      <c r="O657">
        <v>-99</v>
      </c>
      <c r="P657">
        <v>139</v>
      </c>
    </row>
    <row r="658" spans="1:16" x14ac:dyDescent="0.25">
      <c r="A658">
        <v>21500048</v>
      </c>
      <c r="B658">
        <v>2015</v>
      </c>
      <c r="C658" t="s">
        <v>32</v>
      </c>
      <c r="D658" t="s">
        <v>19</v>
      </c>
      <c r="E658">
        <v>15</v>
      </c>
      <c r="F658">
        <v>16</v>
      </c>
      <c r="G658">
        <v>1</v>
      </c>
      <c r="H658" s="1">
        <v>2.3611111111111111E-3</v>
      </c>
      <c r="I658" t="s">
        <v>18</v>
      </c>
      <c r="J658" s="2" t="str">
        <f>HYPERLINK("https://www.nba.com/stats/events?CFID=&amp;CFPARAMS=&amp;GameEventID=76&amp;GameID=0021500048&amp;Season=2015-16&amp;flag=1&amp;title=Leonard%2017'%20Jump%20Shot%20(5%20PTS)%20(Mills%201%20AST)", "Leonard 17' Jump Shot (5 PTS) (Mills 1 AST)")</f>
        <v>Leonard 17' Jump Shot (5 PTS) (Mills 1 AST)</v>
      </c>
      <c r="K658" s="2" t="str">
        <f>HYPERLINK("https://www.nba.com/game/...-vs-...-0021500048/play-by-play?watchFullGame=true", "SAS vs NYK - Q1 03:24.00")</f>
        <v>SAS vs NYK - Q1 03:24.00</v>
      </c>
      <c r="L658">
        <v>17</v>
      </c>
      <c r="M658">
        <v>-99</v>
      </c>
      <c r="N658">
        <v>141</v>
      </c>
      <c r="O658">
        <v>-99</v>
      </c>
      <c r="P658">
        <v>141</v>
      </c>
    </row>
    <row r="659" spans="1:16" x14ac:dyDescent="0.25">
      <c r="A659">
        <v>21500860</v>
      </c>
      <c r="B659">
        <v>2015</v>
      </c>
      <c r="C659" t="s">
        <v>16</v>
      </c>
      <c r="D659" t="s">
        <v>19</v>
      </c>
      <c r="E659">
        <v>65</v>
      </c>
      <c r="F659">
        <v>76</v>
      </c>
      <c r="G659">
        <v>4</v>
      </c>
      <c r="H659" s="1">
        <v>5.4166666666666669E-3</v>
      </c>
      <c r="I659" t="s">
        <v>18</v>
      </c>
      <c r="J659" s="2" t="str">
        <f>HYPERLINK("https://www.nba.com/stats/events?CFID=&amp;CFPARAMS=&amp;GameEventID=370&amp;GameID=0021500860&amp;Season=2015-16&amp;flag=1&amp;title=Leonard%2025'%203PT%20Jump%20Shot%20(24%20PTS)%20(Parker%205%20AST)", "Leonard 25' 3PT Jump Shot (24 PTS) (Parker 5 AST)")</f>
        <v>Leonard 25' 3PT Jump Shot (24 PTS) (Parker 5 AST)</v>
      </c>
      <c r="K659" s="2" t="str">
        <f>HYPERLINK("https://www.nba.com/game/...-vs-...-0021500860/play-by-play?watchFullGame=true", "SAS vs UTA - Q4 07:48.00")</f>
        <v>SAS vs UTA - Q4 07:48.00</v>
      </c>
      <c r="L659">
        <v>25</v>
      </c>
      <c r="M659">
        <v>-99</v>
      </c>
      <c r="N659">
        <v>228</v>
      </c>
      <c r="O659">
        <v>-99</v>
      </c>
      <c r="P659">
        <v>228</v>
      </c>
    </row>
    <row r="660" spans="1:16" x14ac:dyDescent="0.25">
      <c r="A660">
        <v>41800403</v>
      </c>
      <c r="B660" t="s">
        <v>20</v>
      </c>
      <c r="C660" t="s">
        <v>32</v>
      </c>
      <c r="D660" t="s">
        <v>19</v>
      </c>
      <c r="E660">
        <v>97</v>
      </c>
      <c r="F660">
        <v>113</v>
      </c>
      <c r="G660">
        <v>4</v>
      </c>
      <c r="H660" s="1">
        <v>3.4837962962962965E-3</v>
      </c>
      <c r="I660" t="s">
        <v>21</v>
      </c>
      <c r="J660" s="2" t="str">
        <f>HYPERLINK("https://www.nba.com/stats/events?CFID=&amp;CFPARAMS=&amp;GameEventID=606&amp;GameID=0041800403&amp;Season=2018-19&amp;flag=1&amp;title=Leonard%2010'%20Jump%20Shot%20(30%20PTS)%20(Lowry%207%20AST)", "Leonard 10' Jump Shot (30 PTS) (Lowry 7 AST)")</f>
        <v>Leonard 10' Jump Shot (30 PTS) (Lowry 7 AST)</v>
      </c>
      <c r="K660" s="2" t="str">
        <f>HYPERLINK("https://www.nba.com/game/...-vs-...-0041800403/play-by-play?watchFullGame=true", "TOR vs GSW - Q4 05:01.00")</f>
        <v>TOR vs GSW - Q4 05:01.00</v>
      </c>
      <c r="L660">
        <v>10</v>
      </c>
      <c r="M660">
        <v>-98</v>
      </c>
      <c r="N660">
        <v>11</v>
      </c>
      <c r="O660">
        <v>-98</v>
      </c>
      <c r="P660">
        <v>11</v>
      </c>
    </row>
    <row r="661" spans="1:16" x14ac:dyDescent="0.25">
      <c r="A661">
        <v>22400596</v>
      </c>
      <c r="B661">
        <v>2024</v>
      </c>
      <c r="C661" t="s">
        <v>32</v>
      </c>
      <c r="D661" t="s">
        <v>19</v>
      </c>
      <c r="E661">
        <v>22</v>
      </c>
      <c r="F661">
        <v>17</v>
      </c>
      <c r="G661">
        <v>1</v>
      </c>
      <c r="H661" s="1">
        <v>3.3796296296296296E-3</v>
      </c>
      <c r="I661" t="s">
        <v>23</v>
      </c>
      <c r="J661" s="2" t="str">
        <f>HYPERLINK("https://www.nba.com/stats/events?CFID=&amp;CFPARAMS=&amp;GameEventID=72&amp;GameID=0022400596&amp;Season=2024-25&amp;flag=1&amp;title=Leonard%2013'%20fadeaway%20Jump%20Shot%20(5%20PTS)", "13' fadeaway Jump Shot (5 PTS)")</f>
        <v>13' fadeaway Jump Shot (5 PTS)</v>
      </c>
      <c r="K661" s="2" t="str">
        <f>HYPERLINK("https://www.nba.com/game/...-vs-...-0022400596/play-by-play?watchFullGame=true", "LAC vs LAL - Q1 04:52.00")</f>
        <v>LAC vs LAL - Q1 04:52.00</v>
      </c>
      <c r="L661">
        <v>13.87</v>
      </c>
      <c r="M661">
        <v>83.97</v>
      </c>
      <c r="N661">
        <v>30.43</v>
      </c>
      <c r="O661">
        <v>-98</v>
      </c>
      <c r="P661">
        <v>98</v>
      </c>
    </row>
    <row r="662" spans="1:16" x14ac:dyDescent="0.25">
      <c r="A662">
        <v>22000188</v>
      </c>
      <c r="B662">
        <v>2020</v>
      </c>
      <c r="C662" t="s">
        <v>32</v>
      </c>
      <c r="D662" t="s">
        <v>19</v>
      </c>
      <c r="E662">
        <v>71</v>
      </c>
      <c r="F662">
        <v>101</v>
      </c>
      <c r="G662">
        <v>3</v>
      </c>
      <c r="H662" s="1">
        <v>1.6203703703703703E-3</v>
      </c>
      <c r="I662" t="s">
        <v>23</v>
      </c>
      <c r="J662" s="2" t="str">
        <f>HYPERLINK("https://www.nba.com/stats/events?CFID=&amp;CFPARAMS=&amp;GameEventID=438&amp;GameID=0022000188&amp;Season=2020-21&amp;flag=1&amp;title=Leonard%2022'%20Jump%20Shot%20(27%20PTS)", "22' Jump Shot (27 PTS)")</f>
        <v>22' Jump Shot (27 PTS)</v>
      </c>
      <c r="K662" s="2" t="str">
        <f>HYPERLINK("https://www.nba.com/game/...-vs-...-0022000188/play-by-play?watchFullGame=true", "LAC vs SAC - Q3 02:20.00")</f>
        <v>LAC vs SAC - Q3 02:20.00</v>
      </c>
      <c r="L662">
        <v>22.42</v>
      </c>
      <c r="M662">
        <v>27.02</v>
      </c>
      <c r="N662">
        <v>69.680000000000007</v>
      </c>
      <c r="O662">
        <v>-98</v>
      </c>
      <c r="P662">
        <v>201</v>
      </c>
    </row>
    <row r="663" spans="1:16" x14ac:dyDescent="0.25">
      <c r="A663">
        <v>22000601</v>
      </c>
      <c r="B663">
        <v>2020</v>
      </c>
      <c r="C663" t="s">
        <v>32</v>
      </c>
      <c r="D663" t="s">
        <v>19</v>
      </c>
      <c r="E663">
        <v>55</v>
      </c>
      <c r="F663">
        <v>44</v>
      </c>
      <c r="G663">
        <v>2</v>
      </c>
      <c r="H663" s="1">
        <v>2.627314814814815E-3</v>
      </c>
      <c r="I663" t="s">
        <v>23</v>
      </c>
      <c r="J663" s="2" t="str">
        <f>HYPERLINK("https://www.nba.com/stats/events?CFID=&amp;CFPARAMS=&amp;GameEventID=270&amp;GameID=0022000601&amp;Season=2020-21&amp;flag=1&amp;title=Leonard%209'%20pullup%20Jump%20Shot%20(12%20PTS)", "9' pullup Jump Shot (12 PTS)")</f>
        <v>9' pullup Jump Shot (12 PTS)</v>
      </c>
      <c r="K663" s="2" t="str">
        <f>HYPERLINK("https://www.nba.com/game/...-vs-...-0022000601/play-by-play?watchFullGame=true", "LAC vs NOP - Q2 03:47.00")</f>
        <v>LAC vs NOP - Q2 03:47.00</v>
      </c>
      <c r="L663">
        <v>9.7799999999999994</v>
      </c>
      <c r="M663">
        <v>4.42</v>
      </c>
      <c r="N663">
        <v>69.430000000000007</v>
      </c>
      <c r="O663">
        <v>-97</v>
      </c>
      <c r="P663">
        <v>-11</v>
      </c>
    </row>
    <row r="664" spans="1:16" x14ac:dyDescent="0.25">
      <c r="A664">
        <v>21500784</v>
      </c>
      <c r="B664">
        <v>2015</v>
      </c>
      <c r="C664" t="s">
        <v>32</v>
      </c>
      <c r="D664" t="s">
        <v>24</v>
      </c>
      <c r="E664">
        <v>58</v>
      </c>
      <c r="F664">
        <v>65</v>
      </c>
      <c r="G664">
        <v>3</v>
      </c>
      <c r="H664" s="1">
        <v>5.2314814814814811E-3</v>
      </c>
      <c r="I664" t="s">
        <v>18</v>
      </c>
      <c r="J664" s="2" t="str">
        <f>HYPERLINK("https://www.nba.com/stats/events?CFID=&amp;CFPARAMS=&amp;GameEventID=287&amp;GameID=0021500784&amp;Season=2015-16&amp;flag=1&amp;title=Leonard%2010'%20Turnaround%20Jump%20Shot%20(13%20PTS)", "Leonard 10' Turnaround Jump Shot (13 PTS)")</f>
        <v>Leonard 10' Turnaround Jump Shot (13 PTS)</v>
      </c>
      <c r="K664" s="2" t="str">
        <f>HYPERLINK("https://www.nba.com/game/...-vs-...-0021500784/play-by-play?watchFullGame=true", "SAS vs MIA - Q3 07:32.00")</f>
        <v>SAS vs MIA - Q3 07:32.00</v>
      </c>
      <c r="L664">
        <v>10</v>
      </c>
      <c r="M664">
        <v>-97</v>
      </c>
      <c r="N664">
        <v>26</v>
      </c>
      <c r="O664">
        <v>-97</v>
      </c>
      <c r="P664">
        <v>26</v>
      </c>
    </row>
    <row r="665" spans="1:16" x14ac:dyDescent="0.25">
      <c r="A665">
        <v>21601070</v>
      </c>
      <c r="B665">
        <v>2016</v>
      </c>
      <c r="C665" t="s">
        <v>32</v>
      </c>
      <c r="D665" t="s">
        <v>34</v>
      </c>
      <c r="E665">
        <v>82</v>
      </c>
      <c r="F665">
        <v>74</v>
      </c>
      <c r="G665">
        <v>4</v>
      </c>
      <c r="H665" s="1">
        <v>4.5254629629629629E-3</v>
      </c>
      <c r="I665" t="s">
        <v>18</v>
      </c>
      <c r="J665" s="2" t="str">
        <f>HYPERLINK("https://www.nba.com/stats/events?CFID=&amp;CFPARAMS=&amp;GameEventID=412&amp;GameID=0021601070&amp;Season=2016-17&amp;flag=1&amp;title=Leonard%2011'%20Turnaround%20Fadeaway%20(17%20PTS)", "Leonard 11' Turnaround Fadeaway (17 PTS)")</f>
        <v>Leonard 11' Turnaround Fadeaway (17 PTS)</v>
      </c>
      <c r="K665" s="2" t="str">
        <f>HYPERLINK("https://www.nba.com/game/...-vs-...-0021601070/play-by-play?watchFullGame=true", "SAS vs MEM - Q4 06:31.00")</f>
        <v>SAS vs MEM - Q4 06:31.00</v>
      </c>
      <c r="L665">
        <v>11</v>
      </c>
      <c r="M665">
        <v>-97</v>
      </c>
      <c r="N665">
        <v>41</v>
      </c>
      <c r="O665">
        <v>-97</v>
      </c>
      <c r="P665">
        <v>41</v>
      </c>
    </row>
    <row r="666" spans="1:16" x14ac:dyDescent="0.25">
      <c r="A666">
        <v>41500233</v>
      </c>
      <c r="B666" t="s">
        <v>25</v>
      </c>
      <c r="C666" t="s">
        <v>32</v>
      </c>
      <c r="D666" t="s">
        <v>24</v>
      </c>
      <c r="E666">
        <v>83</v>
      </c>
      <c r="F666">
        <v>81</v>
      </c>
      <c r="G666">
        <v>4</v>
      </c>
      <c r="H666" s="1">
        <v>4.3518518518518515E-3</v>
      </c>
      <c r="I666" t="s">
        <v>18</v>
      </c>
      <c r="J666" s="2" t="str">
        <f>HYPERLINK("https://www.nba.com/stats/events?CFID=&amp;CFPARAMS=&amp;GameEventID=447&amp;GameID=0041500233&amp;Season=2015-16&amp;flag=1&amp;title=Leonard%2011'%20Turnaround%20Jump%20Shot%20(23%20PTS)%20(Green%201%20AST)", "Leonard 11' Turnaround Jump Shot (23 PTS) (Green 1 AST)")</f>
        <v>Leonard 11' Turnaround Jump Shot (23 PTS) (Green 1 AST)</v>
      </c>
      <c r="K666" s="2" t="str">
        <f>HYPERLINK("https://www.nba.com/game/...-vs-...-0041500233/play-by-play?watchFullGame=true", "SAS vs OKC - Q4 06:16.00")</f>
        <v>SAS vs OKC - Q4 06:16.00</v>
      </c>
      <c r="L666">
        <v>11</v>
      </c>
      <c r="M666">
        <v>-97</v>
      </c>
      <c r="N666">
        <v>43</v>
      </c>
      <c r="O666">
        <v>-97</v>
      </c>
      <c r="P666">
        <v>43</v>
      </c>
    </row>
    <row r="667" spans="1:16" x14ac:dyDescent="0.25">
      <c r="A667">
        <v>21600639</v>
      </c>
      <c r="B667">
        <v>2016</v>
      </c>
      <c r="C667" t="s">
        <v>32</v>
      </c>
      <c r="D667" t="s">
        <v>24</v>
      </c>
      <c r="E667">
        <v>112</v>
      </c>
      <c r="F667">
        <v>98</v>
      </c>
      <c r="G667">
        <v>4</v>
      </c>
      <c r="H667" s="1">
        <v>2.2569444444444442E-3</v>
      </c>
      <c r="I667" t="s">
        <v>18</v>
      </c>
      <c r="J667" s="2" t="str">
        <f>HYPERLINK("https://www.nba.com/stats/events?CFID=&amp;CFPARAMS=&amp;GameEventID=503&amp;GameID=0021600639&amp;Season=2016-17&amp;flag=1&amp;title=Leonard%2011'%20Turnaround%20Jump%20Shot%20(31%20PTS)", "Leonard 11' Turnaround Jump Shot (31 PTS)")</f>
        <v>Leonard 11' Turnaround Jump Shot (31 PTS)</v>
      </c>
      <c r="K667" s="2" t="str">
        <f>HYPERLINK("https://www.nba.com/game/...-vs-...-0021600639/play-by-play?watchFullGame=true", "SAS vs DEN - Q4 03:15.00")</f>
        <v>SAS vs DEN - Q4 03:15.00</v>
      </c>
      <c r="L667">
        <v>11</v>
      </c>
      <c r="M667">
        <v>-97</v>
      </c>
      <c r="N667">
        <v>43</v>
      </c>
      <c r="O667">
        <v>-97</v>
      </c>
      <c r="P667">
        <v>43</v>
      </c>
    </row>
    <row r="668" spans="1:16" x14ac:dyDescent="0.25">
      <c r="A668">
        <v>21500960</v>
      </c>
      <c r="B668">
        <v>2015</v>
      </c>
      <c r="C668" t="s">
        <v>32</v>
      </c>
      <c r="D668" t="s">
        <v>29</v>
      </c>
      <c r="E668">
        <v>66</v>
      </c>
      <c r="F668">
        <v>60</v>
      </c>
      <c r="G668">
        <v>3</v>
      </c>
      <c r="H668" s="1">
        <v>4.5254629629629629E-3</v>
      </c>
      <c r="I668" t="s">
        <v>18</v>
      </c>
      <c r="J668" s="2" t="str">
        <f>HYPERLINK("https://www.nba.com/stats/events?CFID=&amp;CFPARAMS=&amp;GameEventID=311&amp;GameID=0021500960&amp;Season=2015-16&amp;flag=1&amp;title=Leonard%2021'%20Pullup%20Jump%20Shot%20(16%20PTS)%20(Duncan%203%20AST)", "Leonard 21' Pullup Jump Shot (16 PTS) (Duncan 3 AST)")</f>
        <v>Leonard 21' Pullup Jump Shot (16 PTS) (Duncan 3 AST)</v>
      </c>
      <c r="K668" s="2" t="str">
        <f>HYPERLINK("https://www.nba.com/game/...-vs-...-0021500960/play-by-play?watchFullGame=true", "SAS vs CHI - Q3 06:31.00")</f>
        <v>SAS vs CHI - Q3 06:31.00</v>
      </c>
      <c r="L668">
        <v>21</v>
      </c>
      <c r="M668">
        <v>-97</v>
      </c>
      <c r="N668">
        <v>183</v>
      </c>
      <c r="O668">
        <v>-97</v>
      </c>
      <c r="P668">
        <v>183</v>
      </c>
    </row>
    <row r="669" spans="1:16" x14ac:dyDescent="0.25">
      <c r="A669">
        <v>21500156</v>
      </c>
      <c r="B669">
        <v>2015</v>
      </c>
      <c r="C669" t="s">
        <v>16</v>
      </c>
      <c r="D669" t="s">
        <v>19</v>
      </c>
      <c r="E669">
        <v>54</v>
      </c>
      <c r="F669">
        <v>40</v>
      </c>
      <c r="G669">
        <v>3</v>
      </c>
      <c r="H669" s="1">
        <v>3.9004629629629628E-3</v>
      </c>
      <c r="I669" t="s">
        <v>18</v>
      </c>
      <c r="J669" s="2" t="str">
        <f>HYPERLINK("https://www.nba.com/stats/events?CFID=&amp;CFPARAMS=&amp;GameEventID=297&amp;GameID=0021500156&amp;Season=2015-16&amp;flag=1&amp;title=Leonard%2026'%203PT%20Jump%20Shot%20(14%20PTS)%20(Duncan%201%20AST)", "Leonard 26' 3PT Jump Shot (14 PTS) (Duncan 1 AST)")</f>
        <v>Leonard 26' 3PT Jump Shot (14 PTS) (Duncan 1 AST)</v>
      </c>
      <c r="K669" s="2" t="str">
        <f>HYPERLINK("https://www.nba.com/game/...-vs-...-0021500156/play-by-play?watchFullGame=true", "SAS vs POR - Q3 05:37.00")</f>
        <v>SAS vs POR - Q3 05:37.00</v>
      </c>
      <c r="L669">
        <v>26</v>
      </c>
      <c r="M669">
        <v>-97</v>
      </c>
      <c r="N669">
        <v>237</v>
      </c>
      <c r="O669">
        <v>-97</v>
      </c>
      <c r="P669">
        <v>237</v>
      </c>
    </row>
    <row r="670" spans="1:16" x14ac:dyDescent="0.25">
      <c r="A670">
        <v>22000660</v>
      </c>
      <c r="B670">
        <v>2020</v>
      </c>
      <c r="C670" t="s">
        <v>16</v>
      </c>
      <c r="D670" t="s">
        <v>19</v>
      </c>
      <c r="E670">
        <v>116</v>
      </c>
      <c r="F670">
        <v>108</v>
      </c>
      <c r="G670">
        <v>4</v>
      </c>
      <c r="H670" s="1">
        <v>9.6064814814814819E-4</v>
      </c>
      <c r="I670" t="s">
        <v>23</v>
      </c>
      <c r="J670" s="2" t="str">
        <f>HYPERLINK("https://www.nba.com/stats/events?CFID=&amp;CFPARAMS=&amp;GameEventID=590&amp;GameID=0022000660&amp;Season=2020-21&amp;flag=1&amp;title=Leonard%2028'%203PT%20%20(22%20PTS)", "28' 3PT  (22 PTS)")</f>
        <v>28' 3PT  (22 PTS)</v>
      </c>
      <c r="K670" s="2" t="str">
        <f>HYPERLINK("https://www.nba.com/game/...-vs-...-0022000660/play-by-play?watchFullGame=true", "LAC vs ATL - Q4 01:23.00")</f>
        <v>LAC vs ATL - Q4 01:23.00</v>
      </c>
      <c r="L670">
        <v>28.53</v>
      </c>
      <c r="M670">
        <v>65.88</v>
      </c>
      <c r="N670">
        <v>30.57</v>
      </c>
      <c r="O670">
        <v>-97</v>
      </c>
      <c r="P670">
        <v>268</v>
      </c>
    </row>
    <row r="671" spans="1:16" x14ac:dyDescent="0.25">
      <c r="A671">
        <v>22300865</v>
      </c>
      <c r="B671">
        <v>2023</v>
      </c>
      <c r="C671" t="s">
        <v>32</v>
      </c>
      <c r="D671" t="s">
        <v>19</v>
      </c>
      <c r="E671">
        <v>98</v>
      </c>
      <c r="F671">
        <v>75</v>
      </c>
      <c r="G671">
        <v>3</v>
      </c>
      <c r="H671" s="1">
        <v>2.8703703703703703E-3</v>
      </c>
      <c r="I671" t="s">
        <v>23</v>
      </c>
      <c r="J671" s="2" t="str">
        <f>HYPERLINK("https://www.nba.com/stats/events?CFID=&amp;CFPARAMS=&amp;GameEventID=424&amp;GameID=0022300865&amp;Season=2023-24&amp;flag=1&amp;title=Leonard%209'%20turnaround%20fadeaway%20Jump%20Shot%20(19%20PTS)", "9' turnaround fadeaway Jump Shot (19 PTS)")</f>
        <v>9' turnaround fadeaway Jump Shot (19 PTS)</v>
      </c>
      <c r="K671" s="2" t="str">
        <f>HYPERLINK("https://www.nba.com/game/...-vs-...-0022300865/play-by-play?watchFullGame=true", "LAC vs WAS - Q3 04:08.00")</f>
        <v>LAC vs WAS - Q3 04:08.00</v>
      </c>
      <c r="L671">
        <v>9.58</v>
      </c>
      <c r="M671">
        <v>6.23</v>
      </c>
      <c r="N671">
        <v>69.12</v>
      </c>
      <c r="O671">
        <v>-96</v>
      </c>
      <c r="P671">
        <v>6</v>
      </c>
    </row>
    <row r="672" spans="1:16" x14ac:dyDescent="0.25">
      <c r="A672">
        <v>22200810</v>
      </c>
      <c r="B672">
        <v>2022</v>
      </c>
      <c r="C672" t="s">
        <v>32</v>
      </c>
      <c r="D672" t="s">
        <v>19</v>
      </c>
      <c r="E672">
        <v>17</v>
      </c>
      <c r="F672">
        <v>12</v>
      </c>
      <c r="G672">
        <v>1</v>
      </c>
      <c r="H672" s="1">
        <v>4.2245370370370371E-3</v>
      </c>
      <c r="I672" t="s">
        <v>23</v>
      </c>
      <c r="J672" s="2" t="str">
        <f>HYPERLINK("https://www.nba.com/stats/events?CFID=&amp;CFPARAMS=&amp;GameEventID=51&amp;GameID=0022200810&amp;Season=2022-23&amp;flag=1&amp;title=Leonard%2011'%20fadeaway%20Jump%20Shot%20(5%20PTS)%20(P.%20George%202%20AST)", "11' fadeaway Jump Shot (5 PTS) (P. George 2 AST)")</f>
        <v>11' fadeaway Jump Shot (5 PTS) (P. George 2 AST)</v>
      </c>
      <c r="K672" s="2" t="str">
        <f>HYPERLINK("https://www.nba.com/game/...-vs-...-0022200810/play-by-play?watchFullGame=true", "LAC vs BKN - Q1 06:05.00")</f>
        <v>LAC vs BKN - Q1 06:05.00</v>
      </c>
      <c r="L672">
        <v>11.79</v>
      </c>
      <c r="M672">
        <v>87.07</v>
      </c>
      <c r="N672">
        <v>30.88</v>
      </c>
      <c r="O672">
        <v>-96</v>
      </c>
      <c r="P672">
        <v>69</v>
      </c>
    </row>
    <row r="673" spans="1:16" x14ac:dyDescent="0.25">
      <c r="A673">
        <v>21500784</v>
      </c>
      <c r="B673">
        <v>2015</v>
      </c>
      <c r="C673" t="s">
        <v>32</v>
      </c>
      <c r="D673" t="s">
        <v>29</v>
      </c>
      <c r="E673">
        <v>41</v>
      </c>
      <c r="F673">
        <v>42</v>
      </c>
      <c r="G673">
        <v>2</v>
      </c>
      <c r="H673" s="1">
        <v>3.0092592592592593E-3</v>
      </c>
      <c r="I673" t="s">
        <v>18</v>
      </c>
      <c r="J673" s="2" t="str">
        <f>HYPERLINK("https://www.nba.com/stats/events?CFID=&amp;CFPARAMS=&amp;GameEventID=205&amp;GameID=0021500784&amp;Season=2015-16&amp;flag=1&amp;title=Leonard%2019'%20Pullup%20Jump%20Shot%20(4%20PTS)", "Leonard 19' Pullup Jump Shot (4 PTS)")</f>
        <v>Leonard 19' Pullup Jump Shot (4 PTS)</v>
      </c>
      <c r="K673" s="2" t="str">
        <f>HYPERLINK("https://www.nba.com/game/...-vs-...-0021500784/play-by-play?watchFullGame=true", "SAS vs MIA - Q2 04:20.00")</f>
        <v>SAS vs MIA - Q2 04:20.00</v>
      </c>
      <c r="L673">
        <v>19</v>
      </c>
      <c r="M673">
        <v>-96</v>
      </c>
      <c r="N673">
        <v>159</v>
      </c>
      <c r="O673">
        <v>-96</v>
      </c>
      <c r="P673">
        <v>159</v>
      </c>
    </row>
    <row r="674" spans="1:16" x14ac:dyDescent="0.25">
      <c r="A674">
        <v>21900068</v>
      </c>
      <c r="B674">
        <v>2019</v>
      </c>
      <c r="C674" t="s">
        <v>32</v>
      </c>
      <c r="D674" t="s">
        <v>22</v>
      </c>
      <c r="E674">
        <v>95</v>
      </c>
      <c r="F674">
        <v>83</v>
      </c>
      <c r="G674">
        <v>4</v>
      </c>
      <c r="H674" s="1">
        <v>4.2245370370370371E-3</v>
      </c>
      <c r="I674" t="s">
        <v>23</v>
      </c>
      <c r="J674" s="2" t="str">
        <f>HYPERLINK("https://www.nba.com/stats/events?CFID=&amp;CFPARAMS=&amp;GameEventID=609&amp;GameID=0021900068&amp;Season=2019-20&amp;flag=1&amp;title=[LAC]%20Leonard%20jumpshot:%20Made%20(36%20PTS)", "[LAC] Leonard jumpshot: Made (36 PTS)")</f>
        <v>[LAC] Leonard jumpshot: Made (36 PTS)</v>
      </c>
      <c r="K674" s="2" t="str">
        <f>HYPERLINK("https://www.nba.com/game/...-vs-...-0021900068/play-by-play?watchFullGame=true", "LAC vs SAS - Q4 06:05.00")</f>
        <v>LAC vs SAS - Q4 06:05.00</v>
      </c>
      <c r="L674">
        <v>19.73</v>
      </c>
      <c r="M674">
        <v>76.66</v>
      </c>
      <c r="N674">
        <v>30.81</v>
      </c>
      <c r="O674">
        <v>-96</v>
      </c>
      <c r="P674">
        <v>167</v>
      </c>
    </row>
    <row r="675" spans="1:16" x14ac:dyDescent="0.25">
      <c r="A675">
        <v>22000308</v>
      </c>
      <c r="B675">
        <v>2020</v>
      </c>
      <c r="C675" t="s">
        <v>32</v>
      </c>
      <c r="D675" t="s">
        <v>19</v>
      </c>
      <c r="E675">
        <v>84</v>
      </c>
      <c r="F675">
        <v>96</v>
      </c>
      <c r="G675">
        <v>3</v>
      </c>
      <c r="H675" s="1">
        <v>1.9675925925925924E-3</v>
      </c>
      <c r="I675" t="s">
        <v>23</v>
      </c>
      <c r="J675" s="2" t="str">
        <f>HYPERLINK("https://www.nba.com/stats/events?CFID=&amp;CFPARAMS=&amp;GameEventID=403&amp;GameID=0022000308&amp;Season=2020-21&amp;flag=1&amp;title=Leonard%2019'%20pullup%20Jump%20Shot%20(22%20PTS)", "19' pullup Jump Shot (22 PTS)")</f>
        <v>19' pullup Jump Shot (22 PTS)</v>
      </c>
      <c r="K675" s="2" t="str">
        <f>HYPERLINK("https://www.nba.com/game/...-vs-...-0022000308/play-by-play?watchFullGame=true", "LAC vs NYK - Q3 02:50.00")</f>
        <v>LAC vs NYK - Q3 02:50.00</v>
      </c>
      <c r="L675">
        <v>19.68</v>
      </c>
      <c r="M675">
        <v>76.17</v>
      </c>
      <c r="N675">
        <v>30.71</v>
      </c>
      <c r="O675">
        <v>-96</v>
      </c>
      <c r="P675">
        <v>172</v>
      </c>
    </row>
    <row r="676" spans="1:16" x14ac:dyDescent="0.25">
      <c r="A676">
        <v>22200745</v>
      </c>
      <c r="B676">
        <v>2022</v>
      </c>
      <c r="C676" t="s">
        <v>32</v>
      </c>
      <c r="D676" t="s">
        <v>19</v>
      </c>
      <c r="E676">
        <v>62</v>
      </c>
      <c r="F676">
        <v>65</v>
      </c>
      <c r="G676">
        <v>3</v>
      </c>
      <c r="H676" s="1">
        <v>6.1574074074074074E-3</v>
      </c>
      <c r="I676" t="s">
        <v>23</v>
      </c>
      <c r="J676" s="2" t="str">
        <f>HYPERLINK("https://www.nba.com/stats/events?CFID=&amp;CFPARAMS=&amp;GameEventID=323&amp;GameID=0022200745&amp;Season=2022-23&amp;flag=1&amp;title=Leonard%2020'%20pullup%20Jump%20Shot%20(14%20PTS)%20(P.%20George%205%20AST)", "20' pullup Jump Shot (14 PTS) (P. George 5 AST)")</f>
        <v>20' pullup Jump Shot (14 PTS) (P. George 5 AST)</v>
      </c>
      <c r="K676" s="2" t="str">
        <f>HYPERLINK("https://www.nba.com/game/...-vs-...-0022200745/play-by-play?watchFullGame=true", "LAC vs ATL - Q3 08:52.00")</f>
        <v>LAC vs ATL - Q3 08:52.00</v>
      </c>
      <c r="L676">
        <v>20.100000000000001</v>
      </c>
      <c r="M676">
        <v>24.39</v>
      </c>
      <c r="N676">
        <v>69.12</v>
      </c>
      <c r="O676">
        <v>-96</v>
      </c>
      <c r="P676">
        <v>177</v>
      </c>
    </row>
    <row r="677" spans="1:16" x14ac:dyDescent="0.25">
      <c r="A677">
        <v>22300873</v>
      </c>
      <c r="B677">
        <v>2023</v>
      </c>
      <c r="C677" t="s">
        <v>16</v>
      </c>
      <c r="D677" t="s">
        <v>19</v>
      </c>
      <c r="E677">
        <v>16</v>
      </c>
      <c r="F677">
        <v>5</v>
      </c>
      <c r="G677">
        <v>1</v>
      </c>
      <c r="H677" s="1">
        <v>5.1273148148148146E-3</v>
      </c>
      <c r="I677" t="s">
        <v>23</v>
      </c>
      <c r="J677" s="2" t="str">
        <f>HYPERLINK("https://www.nba.com/stats/events?CFID=&amp;CFPARAMS=&amp;GameEventID=42&amp;GameID=0022300873&amp;Season=2023-24&amp;flag=1&amp;title=Leonard%2025'%203PT%20%20(5%20PTS)%20(J.%20Harden%201%20AST)", "25' 3PT  (5 PTS) (J. Harden 1 AST)")</f>
        <v>25' 3PT  (5 PTS) (J. Harden 1 AST)</v>
      </c>
      <c r="K677" s="2" t="str">
        <f>HYPERLINK("https://www.nba.com/game/...-vs-...-0022300873/play-by-play?watchFullGame=true", "LAC vs MIN - Q1 07:23.00")</f>
        <v>LAC vs MIN - Q1 07:23.00</v>
      </c>
      <c r="L677">
        <v>25.13</v>
      </c>
      <c r="M677">
        <v>30.31</v>
      </c>
      <c r="N677">
        <v>69.12</v>
      </c>
      <c r="O677">
        <v>-96</v>
      </c>
      <c r="P677">
        <v>232</v>
      </c>
    </row>
    <row r="678" spans="1:16" x14ac:dyDescent="0.25">
      <c r="A678">
        <v>21900339</v>
      </c>
      <c r="B678">
        <v>2019</v>
      </c>
      <c r="C678" t="s">
        <v>16</v>
      </c>
      <c r="D678" t="s">
        <v>22</v>
      </c>
      <c r="E678">
        <v>2</v>
      </c>
      <c r="F678">
        <v>9</v>
      </c>
      <c r="G678">
        <v>1</v>
      </c>
      <c r="H678" s="1">
        <v>6.9444444444444441E-3</v>
      </c>
      <c r="I678" t="s">
        <v>23</v>
      </c>
      <c r="J678" s="2" t="str">
        <f>HYPERLINK("https://www.nba.com/stats/events?CFID=&amp;CFPARAMS=&amp;GameEventID=28&amp;GameID=0021900339&amp;Season=2019-20&amp;flag=1&amp;title=Leonard%2026'%203PT%20%20(3%20PTS)%20(P.%20George%201%20AST)", "26' 3PT  (3 PTS) (P. George 1 AST)")</f>
        <v>26' 3PT  (3 PTS) (P. George 1 AST)</v>
      </c>
      <c r="K678" s="2" t="str">
        <f>HYPERLINK("https://www.nba.com/game/...-vs-...-0021900339/play-by-play?watchFullGame=true", "LAC vs WAS - Q1 10:00.00")</f>
        <v>LAC vs WAS - Q1 10:00.00</v>
      </c>
      <c r="L678">
        <v>26.11</v>
      </c>
      <c r="M678">
        <v>69.17</v>
      </c>
      <c r="N678">
        <v>30.81</v>
      </c>
      <c r="O678">
        <v>-96</v>
      </c>
      <c r="P678">
        <v>237</v>
      </c>
    </row>
    <row r="679" spans="1:16" x14ac:dyDescent="0.25">
      <c r="A679">
        <v>22300473</v>
      </c>
      <c r="B679">
        <v>2023</v>
      </c>
      <c r="C679" t="s">
        <v>16</v>
      </c>
      <c r="D679" t="s">
        <v>19</v>
      </c>
      <c r="E679">
        <v>37</v>
      </c>
      <c r="F679">
        <v>51</v>
      </c>
      <c r="G679">
        <v>2</v>
      </c>
      <c r="H679" s="1">
        <v>4.3981481481481484E-3</v>
      </c>
      <c r="I679" t="s">
        <v>23</v>
      </c>
      <c r="J679" s="2" t="str">
        <f>HYPERLINK("https://www.nba.com/stats/events?CFID=&amp;CFPARAMS=&amp;GameEventID=217&amp;GameID=0022300473&amp;Season=2023-24&amp;flag=1&amp;title=Leonard%2025'%203PT%20%20(6%20PTS)%20(J.%20Harden%206%20AST)", "25' 3PT  (6 PTS) (J. Harden 6 AST)")</f>
        <v>25' 3PT  (6 PTS) (J. Harden 6 AST)</v>
      </c>
      <c r="K679" s="2" t="str">
        <f>HYPERLINK("https://www.nba.com/game/...-vs-...-0022300473/play-by-play?watchFullGame=true", "LAC vs PHX - Q2 06:20.00")</f>
        <v>LAC vs PHX - Q2 06:20.00</v>
      </c>
      <c r="L679">
        <v>25.9</v>
      </c>
      <c r="M679">
        <v>68.81</v>
      </c>
      <c r="N679">
        <v>30.88</v>
      </c>
      <c r="O679">
        <v>-96</v>
      </c>
      <c r="P679">
        <v>241</v>
      </c>
    </row>
    <row r="680" spans="1:16" x14ac:dyDescent="0.25">
      <c r="A680">
        <v>22300600</v>
      </c>
      <c r="B680">
        <v>2023</v>
      </c>
      <c r="C680" t="s">
        <v>16</v>
      </c>
      <c r="D680" t="s">
        <v>19</v>
      </c>
      <c r="E680">
        <v>120</v>
      </c>
      <c r="F680">
        <v>114</v>
      </c>
      <c r="G680">
        <v>4</v>
      </c>
      <c r="H680" s="1">
        <v>7.407407407407407E-4</v>
      </c>
      <c r="I680" t="s">
        <v>23</v>
      </c>
      <c r="J680" s="2" t="str">
        <f>HYPERLINK("https://www.nba.com/stats/events?CFID=&amp;CFPARAMS=&amp;GameEventID=621&amp;GameID=0022300600&amp;Season=2023-24&amp;flag=1&amp;title=Leonard%2026'%203PT%20step%20back%20(18%20PTS)", "26' 3PT step back (18 PTS)")</f>
        <v>26' 3PT step back (18 PTS)</v>
      </c>
      <c r="K680" s="2" t="str">
        <f>HYPERLINK("https://www.nba.com/game/...-vs-...-0022300600/play-by-play?watchFullGame=true", "LAC vs BKN - Q4 01:04.00")</f>
        <v>LAC vs BKN - Q4 01:04.00</v>
      </c>
      <c r="L680">
        <v>26.05</v>
      </c>
      <c r="M680">
        <v>68.64</v>
      </c>
      <c r="N680">
        <v>30.88</v>
      </c>
      <c r="O680">
        <v>-96</v>
      </c>
      <c r="P680">
        <v>242</v>
      </c>
    </row>
    <row r="681" spans="1:16" x14ac:dyDescent="0.25">
      <c r="A681">
        <v>21900653</v>
      </c>
      <c r="B681">
        <v>2019</v>
      </c>
      <c r="C681" t="s">
        <v>32</v>
      </c>
      <c r="D681" t="s">
        <v>22</v>
      </c>
      <c r="E681">
        <v>9</v>
      </c>
      <c r="F681">
        <v>9</v>
      </c>
      <c r="G681">
        <v>1</v>
      </c>
      <c r="H681" s="1">
        <v>4.0393518518518521E-3</v>
      </c>
      <c r="I681" t="s">
        <v>23</v>
      </c>
      <c r="J681" s="2" t="str">
        <f>HYPERLINK("https://www.nba.com/stats/events?CFID=&amp;CFPARAMS=&amp;GameEventID=80&amp;GameID=0021900653&amp;Season=2019-20&amp;flag=1&amp;title=Leonard%2011'%20jumpshot%20(6%20PTS)%20(P.%20Beverley%201%20AST)", "11' jumpshot (6 PTS) (P. Beverley 1 AST)")</f>
        <v>11' jumpshot (6 PTS) (P. Beverley 1 AST)</v>
      </c>
      <c r="K681" s="2" t="str">
        <f>HYPERLINK("https://www.nba.com/game/...-vs-...-0021900653/play-by-play?watchFullGame=true", "LAC vs DAL - Q1 05:49.00")</f>
        <v>LAC vs DAL - Q1 05:49.00</v>
      </c>
      <c r="L681">
        <v>11.15</v>
      </c>
      <c r="M681">
        <v>11.25</v>
      </c>
      <c r="N681">
        <v>68.94</v>
      </c>
      <c r="O681">
        <v>-95</v>
      </c>
      <c r="P681">
        <v>53</v>
      </c>
    </row>
    <row r="682" spans="1:16" x14ac:dyDescent="0.25">
      <c r="A682">
        <v>21401110</v>
      </c>
      <c r="B682">
        <v>2014</v>
      </c>
      <c r="C682" t="s">
        <v>32</v>
      </c>
      <c r="D682" t="s">
        <v>33</v>
      </c>
      <c r="E682">
        <v>35</v>
      </c>
      <c r="F682">
        <v>39</v>
      </c>
      <c r="G682">
        <v>2</v>
      </c>
      <c r="H682" s="1">
        <v>2.488425925925926E-3</v>
      </c>
      <c r="I682" t="s">
        <v>18</v>
      </c>
      <c r="J682" s="2" t="str">
        <f>HYPERLINK("https://www.nba.com/stats/events?CFID=&amp;CFPARAMS=&amp;GameEventID=201&amp;GameID=0021401110&amp;Season=2014-15&amp;flag=1&amp;title=Leonard%2011'%20Fadeaway%20Jumper%20(12%20PTS)", "Leonard 11' Fadeaway Jumper (12 PTS)")</f>
        <v>Leonard 11' Fadeaway Jumper (12 PTS)</v>
      </c>
      <c r="K682" s="2" t="str">
        <f>HYPERLINK("https://www.nba.com/game/...-vs-...-0021401110/play-by-play?watchFullGame=true", "SAS vs MIA - Q2 03:35.00")</f>
        <v>SAS vs MIA - Q2 03:35.00</v>
      </c>
      <c r="L682">
        <v>11</v>
      </c>
      <c r="M682">
        <v>-95</v>
      </c>
      <c r="N682">
        <v>61</v>
      </c>
      <c r="O682">
        <v>-95</v>
      </c>
      <c r="P682">
        <v>61</v>
      </c>
    </row>
    <row r="683" spans="1:16" x14ac:dyDescent="0.25">
      <c r="A683">
        <v>21400964</v>
      </c>
      <c r="B683">
        <v>2014</v>
      </c>
      <c r="C683" t="s">
        <v>32</v>
      </c>
      <c r="D683" t="s">
        <v>29</v>
      </c>
      <c r="E683">
        <v>77</v>
      </c>
      <c r="F683">
        <v>71</v>
      </c>
      <c r="G683">
        <v>3</v>
      </c>
      <c r="H683" s="1">
        <v>3.4837962962962965E-3</v>
      </c>
      <c r="I683" t="s">
        <v>18</v>
      </c>
      <c r="J683" s="2" t="str">
        <f>HYPERLINK("https://www.nba.com/stats/events?CFID=&amp;CFPARAMS=&amp;GameEventID=323&amp;GameID=0021400964&amp;Season=2014-15&amp;flag=1&amp;title=Leonard%2012'%20Pullup%20Jump%20Shot%20(18%20PTS)%20(Ginobili%202%20AST)", "Leonard 12' Pullup Jump Shot (18 PTS) (Ginobili 2 AST)")</f>
        <v>Leonard 12' Pullup Jump Shot (18 PTS) (Ginobili 2 AST)</v>
      </c>
      <c r="K683" s="2" t="str">
        <f>HYPERLINK("https://www.nba.com/game/...-vs-...-0021400964/play-by-play?watchFullGame=true", "SAS vs CLE - Q3 05:01.00")</f>
        <v>SAS vs CLE - Q3 05:01.00</v>
      </c>
      <c r="L683">
        <v>12</v>
      </c>
      <c r="M683">
        <v>-95</v>
      </c>
      <c r="N683">
        <v>69</v>
      </c>
      <c r="O683">
        <v>-95</v>
      </c>
      <c r="P683">
        <v>69</v>
      </c>
    </row>
    <row r="684" spans="1:16" x14ac:dyDescent="0.25">
      <c r="A684">
        <v>21400714</v>
      </c>
      <c r="B684">
        <v>2014</v>
      </c>
      <c r="C684" t="s">
        <v>32</v>
      </c>
      <c r="D684" t="s">
        <v>29</v>
      </c>
      <c r="E684">
        <v>39</v>
      </c>
      <c r="F684">
        <v>47</v>
      </c>
      <c r="G684">
        <v>2</v>
      </c>
      <c r="H684" s="1">
        <v>1.4930555555555556E-3</v>
      </c>
      <c r="I684" t="s">
        <v>18</v>
      </c>
      <c r="J684" s="2" t="str">
        <f>HYPERLINK("https://www.nba.com/stats/events?CFID=&amp;CFPARAMS=&amp;GameEventID=221&amp;GameID=0021400714&amp;Season=2014-15&amp;flag=1&amp;title=Leonard%2022'%20Pullup%20Jump%20Shot%20(9%20PTS)%20(Parker%205%20AST)", "Leonard 22' Pullup Jump Shot (9 PTS) (Parker 5 AST)")</f>
        <v>Leonard 22' Pullup Jump Shot (9 PTS) (Parker 5 AST)</v>
      </c>
      <c r="K684" s="2" t="str">
        <f>HYPERLINK("https://www.nba.com/game/...-vs-...-0021400714/play-by-play?watchFullGame=true", "SAS vs LAC - Q2 02:09.00")</f>
        <v>SAS vs LAC - Q2 02:09.00</v>
      </c>
      <c r="L684">
        <v>22</v>
      </c>
      <c r="M684">
        <v>-95</v>
      </c>
      <c r="N684">
        <v>194</v>
      </c>
      <c r="O684">
        <v>-95</v>
      </c>
      <c r="P684">
        <v>194</v>
      </c>
    </row>
    <row r="685" spans="1:16" x14ac:dyDescent="0.25">
      <c r="A685">
        <v>21900051</v>
      </c>
      <c r="B685">
        <v>2019</v>
      </c>
      <c r="C685" t="s">
        <v>16</v>
      </c>
      <c r="D685" t="s">
        <v>22</v>
      </c>
      <c r="E685">
        <v>8</v>
      </c>
      <c r="F685">
        <v>0</v>
      </c>
      <c r="G685">
        <v>1</v>
      </c>
      <c r="H685" s="1">
        <v>7.2800925925925923E-3</v>
      </c>
      <c r="I685" t="s">
        <v>23</v>
      </c>
      <c r="J685" s="2" t="str">
        <f>HYPERLINK("https://www.nba.com/stats/events?CFID=&amp;CFPARAMS=&amp;GameEventID=24&amp;GameID=0021900051&amp;Season=2019-20&amp;flag=1&amp;title=[LAC]%20Leonard%203pt%20shot:%20Made%20(5%20PTS)%20assist:%20Zubac%20(1%20AST)", "[LAC] Leonard 3pt shot: Made (5 PTS) assist: Zubac (1 AST)")</f>
        <v>[LAC] Leonard 3pt shot: Made (5 PTS) assist: Zubac (1 AST)</v>
      </c>
      <c r="K685" s="2" t="str">
        <f>HYPERLINK("https://www.nba.com/game/...-vs-...-0021900051/play-by-play?watchFullGame=true", "LAC vs CHA - Q1 10:29.00")</f>
        <v>LAC vs CHA - Q1 10:29.00</v>
      </c>
      <c r="L685">
        <v>27.68</v>
      </c>
      <c r="M685">
        <v>67.33</v>
      </c>
      <c r="N685">
        <v>31.06</v>
      </c>
      <c r="O685">
        <v>-95</v>
      </c>
      <c r="P685">
        <v>255</v>
      </c>
    </row>
    <row r="686" spans="1:16" x14ac:dyDescent="0.25">
      <c r="A686">
        <v>41500235</v>
      </c>
      <c r="B686" t="s">
        <v>25</v>
      </c>
      <c r="C686" t="s">
        <v>32</v>
      </c>
      <c r="D686" t="s">
        <v>24</v>
      </c>
      <c r="E686">
        <v>85</v>
      </c>
      <c r="F686">
        <v>80</v>
      </c>
      <c r="G686">
        <v>4</v>
      </c>
      <c r="H686" s="1">
        <v>3.3912037037037036E-3</v>
      </c>
      <c r="I686" t="s">
        <v>18</v>
      </c>
      <c r="J686" s="2" t="str">
        <f>HYPERLINK("https://www.nba.com/stats/events?CFID=&amp;CFPARAMS=&amp;GameEventID=467&amp;GameID=0041500235&amp;Season=2015-16&amp;flag=1&amp;title=Leonard%2010'%20Turnaround%20Jump%20Shot%20(23%20PTS)", "Leonard 10' Turnaround Jump Shot (23 PTS)")</f>
        <v>Leonard 10' Turnaround Jump Shot (23 PTS)</v>
      </c>
      <c r="K686" s="2" t="str">
        <f>HYPERLINK("https://www.nba.com/game/...-vs-...-0041500235/play-by-play?watchFullGame=true", "SAS vs OKC - Q4 04:53.00")</f>
        <v>SAS vs OKC - Q4 04:53.00</v>
      </c>
      <c r="L686">
        <v>10</v>
      </c>
      <c r="M686">
        <v>-94</v>
      </c>
      <c r="N686">
        <v>-15</v>
      </c>
      <c r="O686">
        <v>-94</v>
      </c>
      <c r="P686">
        <v>-15</v>
      </c>
    </row>
    <row r="687" spans="1:16" x14ac:dyDescent="0.25">
      <c r="A687">
        <v>21500784</v>
      </c>
      <c r="B687">
        <v>2015</v>
      </c>
      <c r="C687" t="s">
        <v>32</v>
      </c>
      <c r="D687" t="s">
        <v>19</v>
      </c>
      <c r="E687">
        <v>43</v>
      </c>
      <c r="F687">
        <v>44</v>
      </c>
      <c r="G687">
        <v>2</v>
      </c>
      <c r="H687" s="1">
        <v>2.4537037037037036E-3</v>
      </c>
      <c r="I687" t="s">
        <v>18</v>
      </c>
      <c r="J687" s="2" t="str">
        <f>HYPERLINK("https://www.nba.com/stats/events?CFID=&amp;CFPARAMS=&amp;GameEventID=216&amp;GameID=0021500784&amp;Season=2015-16&amp;flag=1&amp;title=Leonard%209'%20Jump%20Shot%20(6%20PTS)%20(Parker%203%20AST)", "Leonard 9' Jump Shot (6 PTS) (Parker 3 AST)")</f>
        <v>Leonard 9' Jump Shot (6 PTS) (Parker 3 AST)</v>
      </c>
      <c r="K687" s="2" t="str">
        <f>HYPERLINK("https://www.nba.com/game/...-vs-...-0021500784/play-by-play?watchFullGame=true", "SAS vs MIA - Q2 03:32.00")</f>
        <v>SAS vs MIA - Q2 03:32.00</v>
      </c>
      <c r="L687">
        <v>9</v>
      </c>
      <c r="M687">
        <v>-94</v>
      </c>
      <c r="N687">
        <v>0</v>
      </c>
      <c r="O687">
        <v>-94</v>
      </c>
      <c r="P687">
        <v>0</v>
      </c>
    </row>
    <row r="688" spans="1:16" x14ac:dyDescent="0.25">
      <c r="A688">
        <v>22300486</v>
      </c>
      <c r="B688">
        <v>2023</v>
      </c>
      <c r="C688" t="s">
        <v>32</v>
      </c>
      <c r="D688" t="s">
        <v>19</v>
      </c>
      <c r="E688">
        <v>54</v>
      </c>
      <c r="F688">
        <v>76</v>
      </c>
      <c r="G688">
        <v>3</v>
      </c>
      <c r="H688" s="1">
        <v>3.6921296296296298E-3</v>
      </c>
      <c r="I688" t="s">
        <v>23</v>
      </c>
      <c r="J688" s="2" t="str">
        <f>HYPERLINK("https://www.nba.com/stats/events?CFID=&amp;CFPARAMS=&amp;GameEventID=409&amp;GameID=0022300486&amp;Season=2023-24&amp;flag=1&amp;title=Leonard%209'%20fadeaway%20Jump%20Shot%20(17%20PTS)", "9' fadeaway Jump Shot (17 PTS)")</f>
        <v>9' fadeaway Jump Shot (17 PTS)</v>
      </c>
      <c r="K688" s="2" t="str">
        <f>HYPERLINK("https://www.nba.com/game/...-vs-...-0022300486/play-by-play?watchFullGame=true", "LAC vs NOP - Q3 05:19.00")</f>
        <v>LAC vs NOP - Q3 05:19.00</v>
      </c>
      <c r="L688">
        <v>9.44</v>
      </c>
      <c r="M688">
        <v>5.73</v>
      </c>
      <c r="N688">
        <v>68.87</v>
      </c>
      <c r="O688">
        <v>-94</v>
      </c>
      <c r="P688">
        <v>1</v>
      </c>
    </row>
    <row r="689" spans="1:16" x14ac:dyDescent="0.25">
      <c r="A689">
        <v>21600727</v>
      </c>
      <c r="B689">
        <v>2016</v>
      </c>
      <c r="C689" t="s">
        <v>32</v>
      </c>
      <c r="D689" t="s">
        <v>29</v>
      </c>
      <c r="E689">
        <v>88</v>
      </c>
      <c r="F689">
        <v>77</v>
      </c>
      <c r="G689">
        <v>4</v>
      </c>
      <c r="H689" s="1">
        <v>6.4236111111111108E-3</v>
      </c>
      <c r="I689" t="s">
        <v>18</v>
      </c>
      <c r="J689" s="2" t="str">
        <f>HYPERLINK("https://www.nba.com/stats/events?CFID=&amp;CFPARAMS=&amp;GameEventID=532&amp;GameID=0021600727&amp;Season=2016-17&amp;flag=1&amp;title=Leonard%2017'%20Pullup%20Jump%20Shot%20(26%20PTS)", "Leonard 17' Pullup Jump Shot (26 PTS)")</f>
        <v>Leonard 17' Pullup Jump Shot (26 PTS)</v>
      </c>
      <c r="K689" s="2" t="str">
        <f>HYPERLINK("https://www.nba.com/game/...-vs-...-0021600727/play-by-play?watchFullGame=true", "SAS vs OKC - Q4 09:15.00")</f>
        <v>SAS vs OKC - Q4 09:15.00</v>
      </c>
      <c r="L689">
        <v>17</v>
      </c>
      <c r="M689">
        <v>-94</v>
      </c>
      <c r="N689">
        <v>144</v>
      </c>
      <c r="O689">
        <v>-94</v>
      </c>
      <c r="P689">
        <v>144</v>
      </c>
    </row>
    <row r="690" spans="1:16" x14ac:dyDescent="0.25">
      <c r="A690">
        <v>21500040</v>
      </c>
      <c r="B690">
        <v>2015</v>
      </c>
      <c r="C690" t="s">
        <v>32</v>
      </c>
      <c r="D690" t="s">
        <v>19</v>
      </c>
      <c r="E690">
        <v>82</v>
      </c>
      <c r="F690">
        <v>88</v>
      </c>
      <c r="G690">
        <v>4</v>
      </c>
      <c r="H690" s="1">
        <v>1.6203703703703703E-3</v>
      </c>
      <c r="I690" t="s">
        <v>18</v>
      </c>
      <c r="J690" s="2" t="str">
        <f>HYPERLINK("https://www.nba.com/stats/events?CFID=&amp;CFPARAMS=&amp;GameEventID=544&amp;GameID=0021500040&amp;Season=2015-16&amp;flag=1&amp;title=Leonard%2019'%20Jump%20Shot%20(17%20PTS)%20(Duncan%205%20AST)", "Leonard 19' Jump Shot (17 PTS) (Duncan 5 AST)")</f>
        <v>Leonard 19' Jump Shot (17 PTS) (Duncan 5 AST)</v>
      </c>
      <c r="K690" s="2" t="str">
        <f>HYPERLINK("https://www.nba.com/game/...-vs-...-0021500040/play-by-play?watchFullGame=true", "SAS vs BOS - Q4 02:20.00")</f>
        <v>SAS vs BOS - Q4 02:20.00</v>
      </c>
      <c r="L690">
        <v>19</v>
      </c>
      <c r="M690">
        <v>-94</v>
      </c>
      <c r="N690">
        <v>164</v>
      </c>
      <c r="O690">
        <v>-94</v>
      </c>
      <c r="P690">
        <v>164</v>
      </c>
    </row>
    <row r="691" spans="1:16" x14ac:dyDescent="0.25">
      <c r="A691">
        <v>21900016</v>
      </c>
      <c r="B691">
        <v>2019</v>
      </c>
      <c r="C691" t="s">
        <v>16</v>
      </c>
      <c r="D691" t="s">
        <v>22</v>
      </c>
      <c r="E691">
        <v>65</v>
      </c>
      <c r="F691">
        <v>86</v>
      </c>
      <c r="G691">
        <v>3</v>
      </c>
      <c r="H691" s="1">
        <v>5.1041666666666666E-3</v>
      </c>
      <c r="I691" t="s">
        <v>23</v>
      </c>
      <c r="J691" s="2" t="str">
        <f>HYPERLINK("https://www.nba.com/stats/events?CFID=&amp;CFPARAMS=&amp;GameEventID=446&amp;GameID=0021900016&amp;Season=2019-20&amp;flag=1&amp;title=[LAC]%20Leonard%203pt%20shot:%20Made%20(21%20PTS)", "[LAC] Leonard 3pt shot: Made (21 PTS)")</f>
        <v>[LAC] Leonard 3pt shot: Made (21 PTS)</v>
      </c>
      <c r="K691" s="2" t="str">
        <f>HYPERLINK("https://www.nba.com/game/...-vs-...-0021900016/play-by-play?watchFullGame=true", "LAC vs GSW - Q3 07:21.00")</f>
        <v>LAC vs GSW - Q3 07:21.00</v>
      </c>
      <c r="L691">
        <v>25.43</v>
      </c>
      <c r="M691">
        <v>69.86</v>
      </c>
      <c r="N691">
        <v>31.2</v>
      </c>
      <c r="O691">
        <v>-94</v>
      </c>
      <c r="P691">
        <v>231</v>
      </c>
    </row>
    <row r="692" spans="1:16" x14ac:dyDescent="0.25">
      <c r="A692">
        <v>22200918</v>
      </c>
      <c r="B692">
        <v>2022</v>
      </c>
      <c r="C692" t="s">
        <v>16</v>
      </c>
      <c r="D692" t="s">
        <v>19</v>
      </c>
      <c r="E692">
        <v>58</v>
      </c>
      <c r="F692">
        <v>49</v>
      </c>
      <c r="G692">
        <v>2</v>
      </c>
      <c r="H692" s="1">
        <v>2.0138888888888888E-3</v>
      </c>
      <c r="I692" t="s">
        <v>23</v>
      </c>
      <c r="J692" s="2" t="str">
        <f>HYPERLINK("https://www.nba.com/stats/events?CFID=&amp;CFPARAMS=&amp;GameEventID=268&amp;GameID=0022200918&amp;Season=2022-23&amp;flag=1&amp;title=Leonard%2025'%203PT%20pullup%20(12%20PTS)", "25' 3PT pullup (12 PTS)")</f>
        <v>25' 3PT pullup (12 PTS)</v>
      </c>
      <c r="K692" s="2" t="str">
        <f>HYPERLINK("https://www.nba.com/game/...-vs-...-0022200918/play-by-play?watchFullGame=true", "LAC vs DEN - Q2 02:54.00")</f>
        <v>LAC vs DEN - Q2 02:54.00</v>
      </c>
      <c r="L692">
        <v>25.74</v>
      </c>
      <c r="M692">
        <v>68.94</v>
      </c>
      <c r="N692">
        <v>31.13</v>
      </c>
      <c r="O692">
        <v>-94</v>
      </c>
      <c r="P692">
        <v>239</v>
      </c>
    </row>
    <row r="693" spans="1:16" x14ac:dyDescent="0.25">
      <c r="A693">
        <v>22300235</v>
      </c>
      <c r="B693">
        <v>2023</v>
      </c>
      <c r="C693" t="s">
        <v>16</v>
      </c>
      <c r="D693" t="s">
        <v>19</v>
      </c>
      <c r="E693">
        <v>52</v>
      </c>
      <c r="F693">
        <v>59</v>
      </c>
      <c r="G693">
        <v>3</v>
      </c>
      <c r="H693" s="1">
        <v>7.1643518518518514E-3</v>
      </c>
      <c r="I693" t="s">
        <v>23</v>
      </c>
      <c r="J693" s="2" t="str">
        <f>HYPERLINK("https://www.nba.com/stats/events?CFID=&amp;CFPARAMS=&amp;GameEventID=373&amp;GameID=0022300235&amp;Season=2023-24&amp;flag=1&amp;title=Leonard%2026'%203PT%20%20(14%20PTS)%20(P.%20George%202%20AST)", "26' 3PT  (14 PTS) (P. George 2 AST)")</f>
        <v>26' 3PT  (14 PTS) (P. George 2 AST)</v>
      </c>
      <c r="K693" s="2" t="str">
        <f>HYPERLINK("https://www.nba.com/game/...-vs-...-0022300235/play-by-play?watchFullGame=true", "LAC vs SAS - Q3 10:19.00")</f>
        <v>LAC vs SAS - Q3 10:19.00</v>
      </c>
      <c r="L693">
        <v>26.46</v>
      </c>
      <c r="M693">
        <v>31.88</v>
      </c>
      <c r="N693">
        <v>68.87</v>
      </c>
      <c r="O693">
        <v>-94</v>
      </c>
      <c r="P693">
        <v>247</v>
      </c>
    </row>
    <row r="694" spans="1:16" x14ac:dyDescent="0.25">
      <c r="A694">
        <v>21900002</v>
      </c>
      <c r="B694">
        <v>2019</v>
      </c>
      <c r="C694" t="s">
        <v>32</v>
      </c>
      <c r="D694" t="s">
        <v>19</v>
      </c>
      <c r="E694">
        <v>65</v>
      </c>
      <c r="F694">
        <v>56</v>
      </c>
      <c r="G694">
        <v>3</v>
      </c>
      <c r="H694" s="1">
        <v>7.6388888888888886E-3</v>
      </c>
      <c r="I694" t="s">
        <v>23</v>
      </c>
      <c r="J694" s="2" t="str">
        <f>HYPERLINK("https://www.nba.com/stats/events?CFID=&amp;CFPARAMS=&amp;GameEventID=372&amp;GameID=0021900002&amp;Season=2019-20&amp;flag=1&amp;title=Leonard%2013'%20pullup%20Jump%20Shot%20(23%20PTS)", "13' pullup Jump Shot (23 PTS)")</f>
        <v>13' pullup Jump Shot (23 PTS)</v>
      </c>
      <c r="K694" s="2" t="str">
        <f>HYPERLINK("https://www.nba.com/game/...-vs-...-0021900002/play-by-play?watchFullGame=true", "LAC vs LAL - Q3 11:00.00")</f>
        <v>LAC vs LAL - Q3 11:00.00</v>
      </c>
      <c r="L694">
        <v>12.63</v>
      </c>
      <c r="M694">
        <v>14.11</v>
      </c>
      <c r="N694">
        <v>68.56</v>
      </c>
      <c r="O694">
        <v>-93</v>
      </c>
      <c r="P694">
        <v>80</v>
      </c>
    </row>
    <row r="695" spans="1:16" x14ac:dyDescent="0.25">
      <c r="A695">
        <v>41300223</v>
      </c>
      <c r="B695" t="s">
        <v>26</v>
      </c>
      <c r="C695" t="s">
        <v>32</v>
      </c>
      <c r="D695" t="s">
        <v>17</v>
      </c>
      <c r="E695">
        <v>5</v>
      </c>
      <c r="F695">
        <v>12</v>
      </c>
      <c r="G695">
        <v>1</v>
      </c>
      <c r="H695" s="1">
        <v>5.6018518518518518E-3</v>
      </c>
      <c r="I695" t="s">
        <v>18</v>
      </c>
      <c r="J695" s="2" t="str">
        <f>HYPERLINK("https://www.nba.com/stats/events?CFID=&amp;CFPARAMS=&amp;GameEventID=23&amp;GameID=0041300223&amp;Season=2013-14&amp;flag=1&amp;title=Leonard%2013'%20Running%20Jump%20Shot%20(2%20PTS)", "Leonard 13' Running Jump Shot (2 PTS)")</f>
        <v>Leonard 13' Running Jump Shot (2 PTS)</v>
      </c>
      <c r="K695" s="2" t="str">
        <f>HYPERLINK("https://www.nba.com/game/...-vs-...-0041300223/play-by-play?watchFullGame=true", "SAS vs POR - Q1 08:04.00")</f>
        <v>SAS vs POR - Q1 08:04.00</v>
      </c>
      <c r="L695">
        <v>13</v>
      </c>
      <c r="M695">
        <v>-93</v>
      </c>
      <c r="N695">
        <v>85</v>
      </c>
      <c r="O695">
        <v>-93</v>
      </c>
      <c r="P695">
        <v>85</v>
      </c>
    </row>
    <row r="696" spans="1:16" x14ac:dyDescent="0.25">
      <c r="A696">
        <v>22300917</v>
      </c>
      <c r="B696">
        <v>2023</v>
      </c>
      <c r="C696" t="s">
        <v>32</v>
      </c>
      <c r="D696" t="s">
        <v>19</v>
      </c>
      <c r="E696">
        <v>14</v>
      </c>
      <c r="F696">
        <v>23</v>
      </c>
      <c r="G696">
        <v>1</v>
      </c>
      <c r="H696" s="1">
        <v>1.724537037037037E-3</v>
      </c>
      <c r="I696" t="s">
        <v>23</v>
      </c>
      <c r="J696" s="2" t="str">
        <f>HYPERLINK("https://www.nba.com/stats/events?CFID=&amp;CFPARAMS=&amp;GameEventID=117&amp;GameID=0022300917&amp;Season=2023-24&amp;flag=1&amp;title=Leonard%2017'%20fadeaway%20Jump%20Shot%20(2%20PTS)", "17' fadeaway Jump Shot (2 PTS)")</f>
        <v>17' fadeaway Jump Shot (2 PTS)</v>
      </c>
      <c r="K696" s="2" t="str">
        <f>HYPERLINK("https://www.nba.com/game/...-vs-...-0022300917/play-by-play?watchFullGame=true", "LAC vs CHI - Q1 02:29.00")</f>
        <v>LAC vs CHI - Q1 02:29.00</v>
      </c>
      <c r="L696">
        <v>17.07</v>
      </c>
      <c r="M696">
        <v>20.81</v>
      </c>
      <c r="N696">
        <v>68.63</v>
      </c>
      <c r="O696">
        <v>-93</v>
      </c>
      <c r="P696">
        <v>143</v>
      </c>
    </row>
    <row r="697" spans="1:16" x14ac:dyDescent="0.25">
      <c r="A697">
        <v>21301186</v>
      </c>
      <c r="B697">
        <v>2013</v>
      </c>
      <c r="C697" t="s">
        <v>32</v>
      </c>
      <c r="D697" t="s">
        <v>19</v>
      </c>
      <c r="E697">
        <v>95</v>
      </c>
      <c r="F697">
        <v>95</v>
      </c>
      <c r="G697">
        <v>4</v>
      </c>
      <c r="H697" s="1">
        <v>3.9351851851851848E-3</v>
      </c>
      <c r="I697" t="s">
        <v>18</v>
      </c>
      <c r="J697" s="2" t="str">
        <f>HYPERLINK("https://www.nba.com/stats/events?CFID=&amp;CFPARAMS=&amp;GameEventID=431&amp;GameID=0021301186&amp;Season=2013-14&amp;flag=1&amp;title=Leonard%2019'%20Jump%20Shot%20(13%20PTS)", "Leonard 19' Jump Shot (13 PTS)")</f>
        <v>Leonard 19' Jump Shot (13 PTS)</v>
      </c>
      <c r="K697" s="2" t="str">
        <f>HYPERLINK("https://www.nba.com/game/...-vs-...-0021301186/play-by-play?watchFullGame=true", "SAS vs PHX - Q4 05:40.00")</f>
        <v>SAS vs PHX - Q4 05:40.00</v>
      </c>
      <c r="L697">
        <v>19</v>
      </c>
      <c r="M697">
        <v>-93</v>
      </c>
      <c r="N697">
        <v>160</v>
      </c>
      <c r="O697">
        <v>-93</v>
      </c>
      <c r="P697">
        <v>160</v>
      </c>
    </row>
    <row r="698" spans="1:16" x14ac:dyDescent="0.25">
      <c r="A698">
        <v>22300037</v>
      </c>
      <c r="B698">
        <v>2023</v>
      </c>
      <c r="C698" t="s">
        <v>16</v>
      </c>
      <c r="D698" t="s">
        <v>19</v>
      </c>
      <c r="E698">
        <v>36</v>
      </c>
      <c r="F698">
        <v>35</v>
      </c>
      <c r="G698">
        <v>2</v>
      </c>
      <c r="H698" s="1">
        <v>4.7453703703703703E-3</v>
      </c>
      <c r="I698" t="s">
        <v>23</v>
      </c>
      <c r="J698" s="2" t="str">
        <f>HYPERLINK("https://www.nba.com/stats/events?CFID=&amp;CFPARAMS=&amp;GameEventID=233&amp;GameID=0022300037&amp;Season=2023-24&amp;flag=1&amp;title=Leonard%2026'%203PT%20%20(6%20PTS)%20(P.%20George%201%20AST)", "26' 3PT  (6 PTS) (P. George 1 AST)")</f>
        <v>26' 3PT  (6 PTS) (P. George 1 AST)</v>
      </c>
      <c r="K698" s="2" t="str">
        <f>HYPERLINK("https://www.nba.com/game/...-vs-...-0022300037/play-by-play?watchFullGame=true", "LAC vs HOU - Q2 06:50.00")</f>
        <v>LAC vs HOU - Q2 06:50.00</v>
      </c>
      <c r="L698">
        <v>26.15</v>
      </c>
      <c r="M698">
        <v>31.59</v>
      </c>
      <c r="N698">
        <v>68.63</v>
      </c>
      <c r="O698">
        <v>-93</v>
      </c>
      <c r="P698">
        <v>244</v>
      </c>
    </row>
    <row r="699" spans="1:16" x14ac:dyDescent="0.25">
      <c r="A699">
        <v>21400108</v>
      </c>
      <c r="B699">
        <v>2014</v>
      </c>
      <c r="C699" t="s">
        <v>16</v>
      </c>
      <c r="D699" t="s">
        <v>29</v>
      </c>
      <c r="E699">
        <v>98</v>
      </c>
      <c r="F699">
        <v>113</v>
      </c>
      <c r="G699">
        <v>4</v>
      </c>
      <c r="H699" s="1">
        <v>6.180555555555555E-4</v>
      </c>
      <c r="I699" t="s">
        <v>18</v>
      </c>
      <c r="J699" s="2" t="str">
        <f>HYPERLINK("https://www.nba.com/stats/events?CFID=&amp;CFPARAMS=&amp;GameEventID=473&amp;GameID=0021400108&amp;Season=2014-15&amp;flag=1&amp;title=Leonard%2027'%203PT%20Pullup%20Jump%20Shot%20(19%20PTS)%20(Ginobili%205%20AST)", "Leonard 27' 3PT Pullup Jump Shot (19 PTS) (Ginobili 5 AST)")</f>
        <v>Leonard 27' 3PT Pullup Jump Shot (19 PTS) (Ginobili 5 AST)</v>
      </c>
      <c r="K699" s="2" t="str">
        <f>HYPERLINK("https://www.nba.com/game/...-vs-...-0021400108/play-by-play?watchFullGame=true", "SAS vs GSW - Q4 00:53.40")</f>
        <v>SAS vs GSW - Q4 00:53.40</v>
      </c>
      <c r="L699">
        <v>27</v>
      </c>
      <c r="M699">
        <v>-93</v>
      </c>
      <c r="N699">
        <v>254</v>
      </c>
      <c r="O699">
        <v>-93</v>
      </c>
      <c r="P699">
        <v>254</v>
      </c>
    </row>
    <row r="700" spans="1:16" x14ac:dyDescent="0.25">
      <c r="A700">
        <v>22300537</v>
      </c>
      <c r="B700">
        <v>2023</v>
      </c>
      <c r="C700" t="s">
        <v>32</v>
      </c>
      <c r="D700" t="s">
        <v>19</v>
      </c>
      <c r="E700">
        <v>9</v>
      </c>
      <c r="F700">
        <v>7</v>
      </c>
      <c r="G700">
        <v>1</v>
      </c>
      <c r="H700" s="1">
        <v>4.7685185185185183E-3</v>
      </c>
      <c r="I700" t="s">
        <v>23</v>
      </c>
      <c r="J700" s="2" t="str">
        <f>HYPERLINK("https://www.nba.com/stats/events?CFID=&amp;CFPARAMS=&amp;GameEventID=67&amp;GameID=0022300537&amp;Season=2023-24&amp;flag=1&amp;title=Leonard%209'%20pullup%20Jump%20Shot%20(2%20PTS)", "9' pullup Jump Shot (2 PTS)")</f>
        <v>9' pullup Jump Shot (2 PTS)</v>
      </c>
      <c r="K700" s="2" t="str">
        <f>HYPERLINK("https://www.nba.com/game/...-vs-...-0022300537/play-by-play?watchFullGame=true", "LAC vs MEM - Q1 06:52.00")</f>
        <v>LAC vs MEM - Q1 06:52.00</v>
      </c>
      <c r="L700">
        <v>9.27</v>
      </c>
      <c r="M700">
        <v>6.92</v>
      </c>
      <c r="N700">
        <v>68.38</v>
      </c>
      <c r="O700">
        <v>-92</v>
      </c>
      <c r="P700">
        <v>13</v>
      </c>
    </row>
    <row r="701" spans="1:16" x14ac:dyDescent="0.25">
      <c r="A701">
        <v>22300014</v>
      </c>
      <c r="B701">
        <v>2023</v>
      </c>
      <c r="C701" t="s">
        <v>32</v>
      </c>
      <c r="D701" t="s">
        <v>19</v>
      </c>
      <c r="E701">
        <v>0</v>
      </c>
      <c r="F701">
        <v>7</v>
      </c>
      <c r="G701">
        <v>1</v>
      </c>
      <c r="H701" s="1">
        <v>7.1990740740740739E-3</v>
      </c>
      <c r="I701" t="s">
        <v>23</v>
      </c>
      <c r="J701" s="2" t="str">
        <f>HYPERLINK("https://www.nba.com/stats/events?CFID=&amp;CFPARAMS=&amp;GameEventID=21&amp;GameID=0022300014&amp;Season=2023-24&amp;flag=1&amp;title=Leonard%209'%20driving%20floating%20Jump%20Shot%20(4%20PTS)", "9' driving floating Jump Shot (4 PTS)")</f>
        <v>9' driving floating Jump Shot (4 PTS)</v>
      </c>
      <c r="K701" s="2" t="str">
        <f>HYPERLINK("https://www.nba.com/game/...-vs-...-0022300014/play-by-play?watchFullGame=true", "LAC vs DAL - Q1 10:22.00")</f>
        <v>LAC vs DAL - Q1 10:22.00</v>
      </c>
      <c r="L701">
        <v>9.35</v>
      </c>
      <c r="M701">
        <v>92.59</v>
      </c>
      <c r="N701">
        <v>31.62</v>
      </c>
      <c r="O701">
        <v>-92</v>
      </c>
      <c r="P701">
        <v>17</v>
      </c>
    </row>
    <row r="702" spans="1:16" x14ac:dyDescent="0.25">
      <c r="A702">
        <v>21600801</v>
      </c>
      <c r="B702">
        <v>2016</v>
      </c>
      <c r="C702" t="s">
        <v>32</v>
      </c>
      <c r="D702" t="s">
        <v>33</v>
      </c>
      <c r="E702">
        <v>57</v>
      </c>
      <c r="F702">
        <v>74</v>
      </c>
      <c r="G702">
        <v>3</v>
      </c>
      <c r="H702" s="1">
        <v>2.6041666666666665E-3</v>
      </c>
      <c r="I702" t="s">
        <v>18</v>
      </c>
      <c r="J702" s="2" t="str">
        <f>HYPERLINK("https://www.nba.com/stats/events?CFID=&amp;CFPARAMS=&amp;GameEventID=318&amp;GameID=0021600801&amp;Season=2016-17&amp;flag=1&amp;title=Leonard%2010'%20Fadeaway%20Jumper%20(25%20PTS)", "Leonard 10' Fadeaway Jumper (25 PTS)")</f>
        <v>Leonard 10' Fadeaway Jumper (25 PTS)</v>
      </c>
      <c r="K702" s="2" t="str">
        <f>HYPERLINK("https://www.nba.com/game/...-vs-...-0021600801/play-by-play?watchFullGame=true", "SAS vs DET - Q3 03:45.00")</f>
        <v>SAS vs DET - Q3 03:45.00</v>
      </c>
      <c r="L702">
        <v>10</v>
      </c>
      <c r="M702">
        <v>-92</v>
      </c>
      <c r="N702">
        <v>26</v>
      </c>
      <c r="O702">
        <v>-92</v>
      </c>
      <c r="P702">
        <v>26</v>
      </c>
    </row>
    <row r="703" spans="1:16" x14ac:dyDescent="0.25">
      <c r="A703">
        <v>21601161</v>
      </c>
      <c r="B703">
        <v>2016</v>
      </c>
      <c r="C703" t="s">
        <v>32</v>
      </c>
      <c r="D703" t="s">
        <v>31</v>
      </c>
      <c r="E703">
        <v>82</v>
      </c>
      <c r="F703">
        <v>82</v>
      </c>
      <c r="G703">
        <v>4</v>
      </c>
      <c r="H703" s="1">
        <v>5.6712962962962965E-5</v>
      </c>
      <c r="I703" t="s">
        <v>18</v>
      </c>
      <c r="J703" s="2" t="str">
        <f>HYPERLINK("https://www.nba.com/stats/events?CFID=&amp;CFPARAMS=&amp;GameEventID=477&amp;GameID=0021601161&amp;Season=2016-17&amp;flag=1&amp;title=Leonard%2015'%20Step%20Back%20Jump%20Shot%20(29%20PTS)", "Leonard 15' Step Back Jump Shot (29 PTS)")</f>
        <v>Leonard 15' Step Back Jump Shot (29 PTS)</v>
      </c>
      <c r="K703" s="2" t="str">
        <f>HYPERLINK("https://www.nba.com/game/...-vs-...-0021601161/play-by-play?watchFullGame=true", "SAS vs MEM - Q4 00:04.90")</f>
        <v>SAS vs MEM - Q4 00:04.90</v>
      </c>
      <c r="L703">
        <v>15</v>
      </c>
      <c r="M703">
        <v>-92</v>
      </c>
      <c r="N703">
        <v>120</v>
      </c>
      <c r="O703">
        <v>-92</v>
      </c>
      <c r="P703">
        <v>120</v>
      </c>
    </row>
    <row r="704" spans="1:16" x14ac:dyDescent="0.25">
      <c r="A704">
        <v>22400646</v>
      </c>
      <c r="B704">
        <v>2024</v>
      </c>
      <c r="C704" t="s">
        <v>32</v>
      </c>
      <c r="D704" t="s">
        <v>19</v>
      </c>
      <c r="E704">
        <v>30</v>
      </c>
      <c r="F704">
        <v>28</v>
      </c>
      <c r="G704">
        <v>2</v>
      </c>
      <c r="H704" s="1">
        <v>8.1134259259259267E-3</v>
      </c>
      <c r="I704" t="s">
        <v>23</v>
      </c>
      <c r="J704" s="2" t="str">
        <f>HYPERLINK("https://www.nba.com/stats/events?CFID=&amp;CFPARAMS=&amp;GameEventID=169&amp;GameID=0022400646&amp;Season=2024-25&amp;flag=1&amp;title=Leonard%2016'%20pullup%20Jump%20Shot%20(4%20PTS)%20(N.%20Batum%201%20AST)", "16' pullup Jump Shot (4 PTS) (N. Batum 1 AST)")</f>
        <v>16' pullup Jump Shot (4 PTS) (N. Batum 1 AST)</v>
      </c>
      <c r="K704" s="2" t="str">
        <f>HYPERLINK("https://www.nba.com/game/...-vs-...-0022400646/play-by-play?watchFullGame=true", "LAC vs MIL - Q2 11:41.00")</f>
        <v>LAC vs MIL - Q2 11:41.00</v>
      </c>
      <c r="L704">
        <v>16.600000000000001</v>
      </c>
      <c r="M704">
        <v>79.709999999999994</v>
      </c>
      <c r="N704">
        <v>31.62</v>
      </c>
      <c r="O704">
        <v>-92</v>
      </c>
      <c r="P704">
        <v>138</v>
      </c>
    </row>
    <row r="705" spans="1:16" x14ac:dyDescent="0.25">
      <c r="A705">
        <v>41200403</v>
      </c>
      <c r="B705" t="s">
        <v>27</v>
      </c>
      <c r="C705" t="s">
        <v>16</v>
      </c>
      <c r="D705" t="s">
        <v>19</v>
      </c>
      <c r="E705">
        <v>5</v>
      </c>
      <c r="F705">
        <v>2</v>
      </c>
      <c r="G705">
        <v>1</v>
      </c>
      <c r="H705" s="1">
        <v>6.8634259259259256E-3</v>
      </c>
      <c r="I705" t="s">
        <v>18</v>
      </c>
      <c r="J705" s="2" t="str">
        <f>HYPERLINK("https://www.nba.com/stats/events?CFID=&amp;CFPARAMS=&amp;GameEventID=20&amp;GameID=0041200403&amp;Season=2012-13&amp;flag=1&amp;title=Leonard%2024'%203PT%20Jump%20Shot%20(3%20PTS)%20(Parker%201%20AST)", "Leonard 24' 3PT Jump Shot (3 PTS) (Parker 1 AST)")</f>
        <v>Leonard 24' 3PT Jump Shot (3 PTS) (Parker 1 AST)</v>
      </c>
      <c r="K705" s="2" t="str">
        <f>HYPERLINK("https://www.nba.com/game/...-vs-...-0041200403/play-by-play?watchFullGame=true", "SAS vs MIA - Q1 09:53.00")</f>
        <v>SAS vs MIA - Q1 09:53.00</v>
      </c>
      <c r="L705">
        <v>24</v>
      </c>
      <c r="M705">
        <v>-92</v>
      </c>
      <c r="N705">
        <v>222</v>
      </c>
      <c r="O705">
        <v>-92</v>
      </c>
      <c r="P705">
        <v>222</v>
      </c>
    </row>
    <row r="706" spans="1:16" x14ac:dyDescent="0.25">
      <c r="A706">
        <v>21901271</v>
      </c>
      <c r="B706">
        <v>2019</v>
      </c>
      <c r="C706" t="s">
        <v>16</v>
      </c>
      <c r="D706" t="s">
        <v>22</v>
      </c>
      <c r="E706">
        <v>55</v>
      </c>
      <c r="F706">
        <v>56</v>
      </c>
      <c r="G706">
        <v>2</v>
      </c>
      <c r="H706" s="1">
        <v>5.7523148148148147E-4</v>
      </c>
      <c r="I706" t="s">
        <v>23</v>
      </c>
      <c r="J706" s="2" t="str">
        <f>HYPERLINK("https://www.nba.com/stats/events?CFID=&amp;CFPARAMS=&amp;GameEventID=321&amp;GameID=0021901271&amp;Season=2019-20&amp;flag=1&amp;title=Leonard%2026'%203PT%20%20(14%20PTS)", "26' 3PT  (14 PTS)")</f>
        <v>26' 3PT  (14 PTS)</v>
      </c>
      <c r="K706" s="2" t="str">
        <f>HYPERLINK("https://www.nba.com/game/...-vs-...-0021901271/play-by-play?watchFullGame=true", "LAC vs DAL - Q2 00:49.70")</f>
        <v>LAC vs DAL - Q2 00:49.70</v>
      </c>
      <c r="L706">
        <v>25.63</v>
      </c>
      <c r="M706">
        <v>30.44</v>
      </c>
      <c r="N706">
        <v>68.45</v>
      </c>
      <c r="O706">
        <v>-92</v>
      </c>
      <c r="P706">
        <v>234</v>
      </c>
    </row>
    <row r="707" spans="1:16" x14ac:dyDescent="0.25">
      <c r="A707">
        <v>22200810</v>
      </c>
      <c r="B707">
        <v>2022</v>
      </c>
      <c r="C707" t="s">
        <v>16</v>
      </c>
      <c r="D707" t="s">
        <v>19</v>
      </c>
      <c r="E707">
        <v>113</v>
      </c>
      <c r="F707">
        <v>114</v>
      </c>
      <c r="G707">
        <v>4</v>
      </c>
      <c r="H707" s="1">
        <v>1.9212962962962964E-3</v>
      </c>
      <c r="I707" t="s">
        <v>23</v>
      </c>
      <c r="J707" s="2" t="str">
        <f>HYPERLINK("https://www.nba.com/stats/events?CFID=&amp;CFPARAMS=&amp;GameEventID=612&amp;GameID=0022200810&amp;Season=2022-23&amp;flag=1&amp;title=Leonard%2026'%203PT%20%20(22%20PTS)%20(R.%20Jackson%201%20AST)", "26' 3PT  (22 PTS) (R. Jackson 1 AST)")</f>
        <v>26' 3PT  (22 PTS) (R. Jackson 1 AST)</v>
      </c>
      <c r="K707" s="2" t="str">
        <f>HYPERLINK("https://www.nba.com/game/...-vs-...-0022200810/play-by-play?watchFullGame=true", "LAC vs BKN - Q4 02:46.00")</f>
        <v>LAC vs BKN - Q4 02:46.00</v>
      </c>
      <c r="L707">
        <v>26.14</v>
      </c>
      <c r="M707">
        <v>31.62</v>
      </c>
      <c r="N707">
        <v>68.38</v>
      </c>
      <c r="O707">
        <v>-92</v>
      </c>
      <c r="P707">
        <v>245</v>
      </c>
    </row>
    <row r="708" spans="1:16" x14ac:dyDescent="0.25">
      <c r="A708">
        <v>22200902</v>
      </c>
      <c r="B708">
        <v>2022</v>
      </c>
      <c r="C708" t="s">
        <v>16</v>
      </c>
      <c r="D708" t="s">
        <v>19</v>
      </c>
      <c r="E708">
        <v>107</v>
      </c>
      <c r="F708">
        <v>100</v>
      </c>
      <c r="G708">
        <v>3</v>
      </c>
      <c r="H708" s="1">
        <v>2.1412037037037038E-3</v>
      </c>
      <c r="I708" t="s">
        <v>23</v>
      </c>
      <c r="J708" s="2" t="str">
        <f>HYPERLINK("https://www.nba.com/stats/events?CFID=&amp;CFPARAMS=&amp;GameEventID=458&amp;GameID=0022200902&amp;Season=2022-23&amp;flag=1&amp;title=Leonard%2026'%203PT%20step%20back%20(36%20PTS)", "26' 3PT step back (36 PTS)")</f>
        <v>26' 3PT step back (36 PTS)</v>
      </c>
      <c r="K708" s="2" t="str">
        <f>HYPERLINK("https://www.nba.com/game/...-vs-...-0022200902/play-by-play?watchFullGame=true", "LAC vs SAC - Q3 03:05.00")</f>
        <v>LAC vs SAC - Q3 03:05.00</v>
      </c>
      <c r="L708">
        <v>26.69</v>
      </c>
      <c r="M708">
        <v>32.24</v>
      </c>
      <c r="N708">
        <v>68.38</v>
      </c>
      <c r="O708">
        <v>-92</v>
      </c>
      <c r="P708">
        <v>251</v>
      </c>
    </row>
    <row r="709" spans="1:16" x14ac:dyDescent="0.25">
      <c r="A709">
        <v>21500872</v>
      </c>
      <c r="B709">
        <v>2015</v>
      </c>
      <c r="C709" t="s">
        <v>32</v>
      </c>
      <c r="D709" t="s">
        <v>31</v>
      </c>
      <c r="E709">
        <v>9</v>
      </c>
      <c r="F709">
        <v>16</v>
      </c>
      <c r="G709">
        <v>1</v>
      </c>
      <c r="H709" s="1">
        <v>2.4074074074074076E-3</v>
      </c>
      <c r="I709" t="s">
        <v>18</v>
      </c>
      <c r="J709" s="2" t="str">
        <f>HYPERLINK("https://www.nba.com/stats/events?CFID=&amp;CFPARAMS=&amp;GameEventID=73&amp;GameID=0021500872&amp;Season=2015-16&amp;flag=1&amp;title=Leonard%209'%20Step%20Back%20Jump%20Shot%20(6%20PTS)", "Leonard 9' Step Back Jump Shot (6 PTS)")</f>
        <v>Leonard 9' Step Back Jump Shot (6 PTS)</v>
      </c>
      <c r="K709" s="2" t="str">
        <f>HYPERLINK("https://www.nba.com/game/...-vs-...-0021500872/play-by-play?watchFullGame=true", "SAS vs HOU - Q1 03:28.00")</f>
        <v>SAS vs HOU - Q1 03:28.00</v>
      </c>
      <c r="L709">
        <v>9</v>
      </c>
      <c r="M709">
        <v>-91</v>
      </c>
      <c r="N709">
        <v>2</v>
      </c>
      <c r="O709">
        <v>-91</v>
      </c>
      <c r="P709">
        <v>2</v>
      </c>
    </row>
    <row r="710" spans="1:16" x14ac:dyDescent="0.25">
      <c r="A710">
        <v>22000239</v>
      </c>
      <c r="B710">
        <v>2020</v>
      </c>
      <c r="C710" t="s">
        <v>32</v>
      </c>
      <c r="D710" t="s">
        <v>19</v>
      </c>
      <c r="E710">
        <v>27</v>
      </c>
      <c r="F710">
        <v>14</v>
      </c>
      <c r="G710">
        <v>1</v>
      </c>
      <c r="H710" s="1">
        <v>1.6435185185185185E-3</v>
      </c>
      <c r="I710" t="s">
        <v>23</v>
      </c>
      <c r="J710" s="2" t="str">
        <f>HYPERLINK("https://www.nba.com/stats/events?CFID=&amp;CFPARAMS=&amp;GameEventID=129&amp;GameID=0022000239&amp;Season=2020-21&amp;flag=1&amp;title=Leonard%209'%20turnaround%20Jump%20Shot%20(9%20PTS)", "9' turnaround Jump Shot (9 PTS)")</f>
        <v>9' turnaround Jump Shot (9 PTS)</v>
      </c>
      <c r="K710" s="2" t="str">
        <f>HYPERLINK("https://www.nba.com/game/...-vs-...-0022000239/play-by-play?watchFullGame=true", "LAC vs OKC - Q1 02:22.00")</f>
        <v>LAC vs OKC - Q1 02:22.00</v>
      </c>
      <c r="L710">
        <v>9.58</v>
      </c>
      <c r="M710">
        <v>91.02</v>
      </c>
      <c r="N710">
        <v>31.93</v>
      </c>
      <c r="O710">
        <v>-90</v>
      </c>
      <c r="P710">
        <v>32</v>
      </c>
    </row>
    <row r="711" spans="1:16" x14ac:dyDescent="0.25">
      <c r="A711">
        <v>21900339</v>
      </c>
      <c r="B711">
        <v>2019</v>
      </c>
      <c r="C711" t="s">
        <v>32</v>
      </c>
      <c r="D711" t="s">
        <v>22</v>
      </c>
      <c r="E711">
        <v>70</v>
      </c>
      <c r="F711">
        <v>84</v>
      </c>
      <c r="G711">
        <v>3</v>
      </c>
      <c r="H711" s="1">
        <v>4.8611111111111112E-3</v>
      </c>
      <c r="I711" t="s">
        <v>23</v>
      </c>
      <c r="J711" s="2" t="str">
        <f>HYPERLINK("https://www.nba.com/stats/events?CFID=&amp;CFPARAMS=&amp;GameEventID=450&amp;GameID=0021900339&amp;Season=2019-20&amp;flag=1&amp;title=Leonard%2016'%20jumpshot%20(22%20PTS)", "16' jumpshot (22 PTS)")</f>
        <v>16' jumpshot (22 PTS)</v>
      </c>
      <c r="K711" s="2" t="str">
        <f>HYPERLINK("https://www.nba.com/game/...-vs-...-0021900339/play-by-play?watchFullGame=true", "LAC vs WAS - Q3 07:00.00")</f>
        <v>LAC vs WAS - Q3 07:00.00</v>
      </c>
      <c r="L711">
        <v>15.63</v>
      </c>
      <c r="M711">
        <v>18.579999999999998</v>
      </c>
      <c r="N711">
        <v>68.069999999999993</v>
      </c>
      <c r="O711">
        <v>-90</v>
      </c>
      <c r="P711">
        <v>122</v>
      </c>
    </row>
    <row r="712" spans="1:16" x14ac:dyDescent="0.25">
      <c r="A712">
        <v>41400162</v>
      </c>
      <c r="B712" t="s">
        <v>28</v>
      </c>
      <c r="C712" t="s">
        <v>32</v>
      </c>
      <c r="D712" t="s">
        <v>24</v>
      </c>
      <c r="E712">
        <v>78</v>
      </c>
      <c r="F712">
        <v>88</v>
      </c>
      <c r="G712">
        <v>4</v>
      </c>
      <c r="H712" s="1">
        <v>4.6412037037037038E-3</v>
      </c>
      <c r="I712" t="s">
        <v>18</v>
      </c>
      <c r="J712" s="2" t="str">
        <f>HYPERLINK("https://www.nba.com/stats/events?CFID=&amp;CFPARAMS=&amp;GameEventID=438&amp;GameID=0041400162&amp;Season=2014-15&amp;flag=1&amp;title=Leonard%2016'%20Turnaround%20Jump%20Shot%20(21%20PTS)", "Leonard 16' Turnaround Jump Shot (21 PTS)")</f>
        <v>Leonard 16' Turnaround Jump Shot (21 PTS)</v>
      </c>
      <c r="K712" s="2" t="str">
        <f>HYPERLINK("https://www.nba.com/game/...-vs-...-0041400162/play-by-play?watchFullGame=true", "SAS vs LAC - Q4 06:41.00")</f>
        <v>SAS vs LAC - Q4 06:41.00</v>
      </c>
      <c r="L712">
        <v>16</v>
      </c>
      <c r="M712">
        <v>-90</v>
      </c>
      <c r="N712">
        <v>137</v>
      </c>
      <c r="O712">
        <v>-90</v>
      </c>
      <c r="P712">
        <v>137</v>
      </c>
    </row>
    <row r="713" spans="1:16" x14ac:dyDescent="0.25">
      <c r="A713">
        <v>21400637</v>
      </c>
      <c r="B713">
        <v>2014</v>
      </c>
      <c r="C713" t="s">
        <v>16</v>
      </c>
      <c r="D713" t="s">
        <v>19</v>
      </c>
      <c r="E713">
        <v>39</v>
      </c>
      <c r="F713">
        <v>36</v>
      </c>
      <c r="G713">
        <v>2</v>
      </c>
      <c r="H713" s="1">
        <v>1.9444444444444444E-3</v>
      </c>
      <c r="I713" t="s">
        <v>18</v>
      </c>
      <c r="J713" s="2" t="str">
        <f>HYPERLINK("https://www.nba.com/stats/events?CFID=&amp;CFPARAMS=&amp;GameEventID=205&amp;GameID=0021400637&amp;Season=2014-15&amp;flag=1&amp;title=Leonard%2025'%203PT%20Jump%20Shot%20(12%20PTS)%20(Mills%201%20AST)", "Leonard 25' 3PT Jump Shot (12 PTS) (Mills 1 AST)")</f>
        <v>Leonard 25' 3PT Jump Shot (12 PTS) (Mills 1 AST)</v>
      </c>
      <c r="K713" s="2" t="str">
        <f>HYPERLINK("https://www.nba.com/game/...-vs-...-0021400637/play-by-play?watchFullGame=true", "SAS vs CHI - Q2 02:48.00")</f>
        <v>SAS vs CHI - Q2 02:48.00</v>
      </c>
      <c r="L713">
        <v>25</v>
      </c>
      <c r="M713">
        <v>-90</v>
      </c>
      <c r="N713">
        <v>231</v>
      </c>
      <c r="O713">
        <v>-90</v>
      </c>
      <c r="P713">
        <v>231</v>
      </c>
    </row>
    <row r="714" spans="1:16" x14ac:dyDescent="0.25">
      <c r="A714">
        <v>21500784</v>
      </c>
      <c r="B714">
        <v>2015</v>
      </c>
      <c r="C714" t="s">
        <v>32</v>
      </c>
      <c r="D714" t="s">
        <v>19</v>
      </c>
      <c r="E714">
        <v>80</v>
      </c>
      <c r="F714">
        <v>94</v>
      </c>
      <c r="G714">
        <v>4</v>
      </c>
      <c r="H714" s="1">
        <v>6.4699074074074077E-3</v>
      </c>
      <c r="I714" t="s">
        <v>18</v>
      </c>
      <c r="J714" s="2" t="str">
        <f>HYPERLINK("https://www.nba.com/stats/events?CFID=&amp;CFPARAMS=&amp;GameEventID=412&amp;GameID=0021500784&amp;Season=2015-16&amp;flag=1&amp;title=Leonard%209'%20Jump%20Shot%20(19%20PTS)", "Leonard 9' Jump Shot (19 PTS)")</f>
        <v>Leonard 9' Jump Shot (19 PTS)</v>
      </c>
      <c r="K714" s="2" t="str">
        <f>HYPERLINK("https://www.nba.com/game/...-vs-...-0021500784/play-by-play?watchFullGame=true", "SAS vs MIA - Q4 09:19.00")</f>
        <v>SAS vs MIA - Q4 09:19.00</v>
      </c>
      <c r="L714">
        <v>9</v>
      </c>
      <c r="M714">
        <v>-89</v>
      </c>
      <c r="N714">
        <v>7</v>
      </c>
      <c r="O714">
        <v>-89</v>
      </c>
      <c r="P714">
        <v>7</v>
      </c>
    </row>
    <row r="715" spans="1:16" x14ac:dyDescent="0.25">
      <c r="A715">
        <v>22300956</v>
      </c>
      <c r="B715">
        <v>2023</v>
      </c>
      <c r="C715" t="s">
        <v>32</v>
      </c>
      <c r="D715" t="s">
        <v>19</v>
      </c>
      <c r="E715">
        <v>6</v>
      </c>
      <c r="F715">
        <v>13</v>
      </c>
      <c r="G715">
        <v>1</v>
      </c>
      <c r="H715" s="1">
        <v>4.4791666666666669E-3</v>
      </c>
      <c r="I715" t="s">
        <v>23</v>
      </c>
      <c r="J715" s="2" t="str">
        <f>HYPERLINK("https://www.nba.com/stats/events?CFID=&amp;CFPARAMS=&amp;GameEventID=62&amp;GameID=0022300956&amp;Season=2023-24&amp;flag=1&amp;title=Leonard%2010'%20fadeaway%20Jump%20Shot%20(6%20PTS)", "10' fadeaway Jump Shot (6 PTS)")</f>
        <v>10' fadeaway Jump Shot (6 PTS)</v>
      </c>
      <c r="K715" s="2" t="str">
        <f>HYPERLINK("https://www.nba.com/game/...-vs-...-0022300956/play-by-play?watchFullGame=true", "LAC vs CHI - Q1 06:27.00")</f>
        <v>LAC vs CHI - Q1 06:27.00</v>
      </c>
      <c r="L715">
        <v>10.48</v>
      </c>
      <c r="M715">
        <v>11.38</v>
      </c>
      <c r="N715">
        <v>67.89</v>
      </c>
      <c r="O715">
        <v>-89</v>
      </c>
      <c r="P715">
        <v>55</v>
      </c>
    </row>
    <row r="716" spans="1:16" x14ac:dyDescent="0.25">
      <c r="A716">
        <v>22300486</v>
      </c>
      <c r="B716">
        <v>2023</v>
      </c>
      <c r="C716" t="s">
        <v>32</v>
      </c>
      <c r="D716" t="s">
        <v>19</v>
      </c>
      <c r="E716">
        <v>6</v>
      </c>
      <c r="F716">
        <v>4</v>
      </c>
      <c r="G716">
        <v>1</v>
      </c>
      <c r="H716" s="1">
        <v>7.1180555555555554E-3</v>
      </c>
      <c r="I716" t="s">
        <v>23</v>
      </c>
      <c r="J716" s="2" t="str">
        <f>HYPERLINK("https://www.nba.com/stats/events?CFID=&amp;CFPARAMS=&amp;GameEventID=16&amp;GameID=0022300486&amp;Season=2023-24&amp;flag=1&amp;title=Leonard%2017'%20pullup%20Jump%20Shot%20(2%20PTS)", "17' pullup Jump Shot (2 PTS)")</f>
        <v>17' pullup Jump Shot (2 PTS)</v>
      </c>
      <c r="K716" s="2" t="str">
        <f>HYPERLINK("https://www.nba.com/game/...-vs-...-0022300486/play-by-play?watchFullGame=true", "LAC vs NOP - Q1 10:15.00")</f>
        <v>LAC vs NOP - Q1 10:15.00</v>
      </c>
      <c r="L716">
        <v>17.41</v>
      </c>
      <c r="M716">
        <v>78.53</v>
      </c>
      <c r="N716">
        <v>32.11</v>
      </c>
      <c r="O716">
        <v>-89</v>
      </c>
      <c r="P716">
        <v>149</v>
      </c>
    </row>
    <row r="717" spans="1:16" x14ac:dyDescent="0.25">
      <c r="A717">
        <v>41500232</v>
      </c>
      <c r="B717" t="s">
        <v>25</v>
      </c>
      <c r="C717" t="s">
        <v>32</v>
      </c>
      <c r="D717" t="s">
        <v>38</v>
      </c>
      <c r="E717">
        <v>84</v>
      </c>
      <c r="F717">
        <v>85</v>
      </c>
      <c r="G717">
        <v>4</v>
      </c>
      <c r="H717" s="1">
        <v>4.0393518518518521E-3</v>
      </c>
      <c r="I717" t="s">
        <v>18</v>
      </c>
      <c r="J717" s="2" t="str">
        <f>HYPERLINK("https://www.nba.com/stats/events?CFID=&amp;CFPARAMS=&amp;GameEventID=434&amp;GameID=0041500232&amp;Season=2015-16&amp;flag=1&amp;title=Leonard%209'%20Jump%20Bank%20Shot%20(14%20PTS)", "Leonard 9' Jump Bank Shot (14 PTS)")</f>
        <v>Leonard 9' Jump Bank Shot (14 PTS)</v>
      </c>
      <c r="K717" s="2" t="str">
        <f>HYPERLINK("https://www.nba.com/game/...-vs-...-0041500232/play-by-play?watchFullGame=true", "SAS vs OKC - Q4 05:49.00")</f>
        <v>SAS vs OKC - Q4 05:49.00</v>
      </c>
      <c r="L717">
        <v>9</v>
      </c>
      <c r="M717">
        <v>-88</v>
      </c>
      <c r="N717">
        <v>26</v>
      </c>
      <c r="O717">
        <v>-88</v>
      </c>
      <c r="P717">
        <v>26</v>
      </c>
    </row>
    <row r="718" spans="1:16" x14ac:dyDescent="0.25">
      <c r="A718">
        <v>22300537</v>
      </c>
      <c r="B718">
        <v>2023</v>
      </c>
      <c r="C718" t="s">
        <v>32</v>
      </c>
      <c r="D718" t="s">
        <v>19</v>
      </c>
      <c r="E718">
        <v>56</v>
      </c>
      <c r="F718">
        <v>72</v>
      </c>
      <c r="G718">
        <v>3</v>
      </c>
      <c r="H718" s="1">
        <v>7.0023148148148145E-3</v>
      </c>
      <c r="I718" t="s">
        <v>23</v>
      </c>
      <c r="J718" s="2" t="str">
        <f>HYPERLINK("https://www.nba.com/stats/events?CFID=&amp;CFPARAMS=&amp;GameEventID=333&amp;GameID=0022300537&amp;Season=2023-24&amp;flag=1&amp;title=Leonard%2012'%20pullup%20Jump%20Shot%20(13%20PTS)", "12' pullup Jump Shot (13 PTS)")</f>
        <v>12' pullup Jump Shot (13 PTS)</v>
      </c>
      <c r="K718" s="2" t="str">
        <f>HYPERLINK("https://www.nba.com/game/...-vs-...-0022300537/play-by-play?watchFullGame=true", "LAC vs MEM - Q3 10:05.00")</f>
        <v>LAC vs MEM - Q3 10:05.00</v>
      </c>
      <c r="L718">
        <v>12.6</v>
      </c>
      <c r="M718">
        <v>84.84</v>
      </c>
      <c r="N718">
        <v>32.35</v>
      </c>
      <c r="O718">
        <v>-88</v>
      </c>
      <c r="P718">
        <v>90</v>
      </c>
    </row>
    <row r="719" spans="1:16" x14ac:dyDescent="0.25">
      <c r="A719">
        <v>21900626</v>
      </c>
      <c r="B719">
        <v>2019</v>
      </c>
      <c r="C719" t="s">
        <v>32</v>
      </c>
      <c r="D719" t="s">
        <v>22</v>
      </c>
      <c r="E719">
        <v>122</v>
      </c>
      <c r="F719">
        <v>130</v>
      </c>
      <c r="G719">
        <v>4</v>
      </c>
      <c r="H719" s="1">
        <v>1.712962962962963E-3</v>
      </c>
      <c r="I719" t="s">
        <v>23</v>
      </c>
      <c r="J719" s="2" t="str">
        <f>HYPERLINK("https://www.nba.com/stats/events?CFID=&amp;CFPARAMS=&amp;GameEventID=718&amp;GameID=0021900626&amp;Season=2019-20&amp;flag=1&amp;title=Leonard%2013'%20jumpshot%20(39%20PTS)", "13' jumpshot (39 PTS)")</f>
        <v>13' jumpshot (39 PTS)</v>
      </c>
      <c r="K719" s="2" t="str">
        <f>HYPERLINK("https://www.nba.com/game/...-vs-...-0021900626/play-by-play?watchFullGame=true", "LAC vs NOP - Q4 02:28.00")</f>
        <v>LAC vs NOP - Q4 02:28.00</v>
      </c>
      <c r="L719">
        <v>13.44</v>
      </c>
      <c r="M719">
        <v>84.18</v>
      </c>
      <c r="N719">
        <v>32.42</v>
      </c>
      <c r="O719">
        <v>-88</v>
      </c>
      <c r="P719">
        <v>96</v>
      </c>
    </row>
    <row r="720" spans="1:16" x14ac:dyDescent="0.25">
      <c r="A720">
        <v>21401200</v>
      </c>
      <c r="B720">
        <v>2014</v>
      </c>
      <c r="C720" t="s">
        <v>32</v>
      </c>
      <c r="D720" t="s">
        <v>39</v>
      </c>
      <c r="E720">
        <v>101</v>
      </c>
      <c r="F720">
        <v>79</v>
      </c>
      <c r="G720">
        <v>4</v>
      </c>
      <c r="H720" s="1">
        <v>3.5532407407407409E-3</v>
      </c>
      <c r="I720" t="s">
        <v>18</v>
      </c>
      <c r="J720" s="2" t="str">
        <f>HYPERLINK("https://www.nba.com/stats/events?CFID=&amp;CFPARAMS=&amp;GameEventID=489&amp;GameID=0021401200&amp;Season=2014-15&amp;flag=1&amp;title=Leonard%209'%20Running%20Bank%20Shot%20(16%20PTS)", "Leonard 9' Running Bank Shot (16 PTS)")</f>
        <v>Leonard 9' Running Bank Shot (16 PTS)</v>
      </c>
      <c r="K720" s="2" t="str">
        <f>HYPERLINK("https://www.nba.com/game/...-vs-...-0021401200/play-by-play?watchFullGame=true", "SAS vs PHX - Q4 05:07.00")</f>
        <v>SAS vs PHX - Q4 05:07.00</v>
      </c>
      <c r="L720">
        <v>9</v>
      </c>
      <c r="M720">
        <v>-87</v>
      </c>
      <c r="N720">
        <v>11</v>
      </c>
      <c r="O720">
        <v>-87</v>
      </c>
      <c r="P720">
        <v>11</v>
      </c>
    </row>
    <row r="721" spans="1:16" x14ac:dyDescent="0.25">
      <c r="A721">
        <v>21900068</v>
      </c>
      <c r="B721">
        <v>2019</v>
      </c>
      <c r="C721" t="s">
        <v>32</v>
      </c>
      <c r="D721" t="s">
        <v>22</v>
      </c>
      <c r="E721">
        <v>8</v>
      </c>
      <c r="F721">
        <v>5</v>
      </c>
      <c r="G721">
        <v>1</v>
      </c>
      <c r="H721" s="1">
        <v>4.6874999999999998E-3</v>
      </c>
      <c r="I721" t="s">
        <v>23</v>
      </c>
      <c r="J721" s="2" t="str">
        <f>HYPERLINK("https://www.nba.com/stats/events?CFID=&amp;CFPARAMS=&amp;GameEventID=57&amp;GameID=0021900068&amp;Season=2019-20&amp;flag=1&amp;title=[LAC]%20Leonard%20jumpshot:%20Made%20(6%20PTS)%20assist:%20Patterson%20(1%20AST)", "[LAC] Leonard jumpshot: Made (6 PTS) assist: Patterson (1 AST)")</f>
        <v>[LAC] Leonard jumpshot: Made (6 PTS) assist: Patterson (1 AST)</v>
      </c>
      <c r="K721" s="2" t="str">
        <f>HYPERLINK("https://www.nba.com/game/...-vs-...-0021900068/play-by-play?watchFullGame=true", "LAC vs SAS - Q1 06:45.00")</f>
        <v>LAC vs SAS - Q1 06:45.00</v>
      </c>
      <c r="L721">
        <v>8.85</v>
      </c>
      <c r="M721">
        <v>6.88</v>
      </c>
      <c r="N721">
        <v>67.33</v>
      </c>
      <c r="O721">
        <v>-87</v>
      </c>
      <c r="P721">
        <v>12</v>
      </c>
    </row>
    <row r="722" spans="1:16" x14ac:dyDescent="0.25">
      <c r="A722">
        <v>21400774</v>
      </c>
      <c r="B722">
        <v>2014</v>
      </c>
      <c r="C722" t="s">
        <v>32</v>
      </c>
      <c r="D722" t="s">
        <v>24</v>
      </c>
      <c r="E722">
        <v>45</v>
      </c>
      <c r="F722">
        <v>47</v>
      </c>
      <c r="G722">
        <v>2</v>
      </c>
      <c r="H722" s="1">
        <v>4.3981481481481481E-4</v>
      </c>
      <c r="I722" t="s">
        <v>18</v>
      </c>
      <c r="J722" s="2" t="str">
        <f>HYPERLINK("https://www.nba.com/stats/events?CFID=&amp;CFPARAMS=&amp;GameEventID=227&amp;GameID=0021400774&amp;Season=2014-15&amp;flag=1&amp;title=Leonard%209'%20Turnaround%20Jump%20Shot%20(7%20PTS)", "Leonard 9' Turnaround Jump Shot (7 PTS)")</f>
        <v>Leonard 9' Turnaround Jump Shot (7 PTS)</v>
      </c>
      <c r="K722" s="2" t="str">
        <f>HYPERLINK("https://www.nba.com/game/...-vs-...-0021400774/play-by-play?watchFullGame=true", "SAS vs IND - Q2 00:38.00")</f>
        <v>SAS vs IND - Q2 00:38.00</v>
      </c>
      <c r="L722">
        <v>9</v>
      </c>
      <c r="M722">
        <v>-87</v>
      </c>
      <c r="N722">
        <v>28</v>
      </c>
      <c r="O722">
        <v>-87</v>
      </c>
      <c r="P722">
        <v>28</v>
      </c>
    </row>
    <row r="723" spans="1:16" x14ac:dyDescent="0.25">
      <c r="A723">
        <v>21901291</v>
      </c>
      <c r="B723">
        <v>2019</v>
      </c>
      <c r="C723" t="s">
        <v>16</v>
      </c>
      <c r="D723" t="s">
        <v>22</v>
      </c>
      <c r="E723">
        <v>71</v>
      </c>
      <c r="F723">
        <v>74</v>
      </c>
      <c r="G723">
        <v>3</v>
      </c>
      <c r="H723" s="1">
        <v>7.6157407407407406E-3</v>
      </c>
      <c r="I723" t="s">
        <v>23</v>
      </c>
      <c r="J723" s="2" t="str">
        <f>HYPERLINK("https://www.nba.com/stats/events?CFID=&amp;CFPARAMS=&amp;GameEventID=345&amp;GameID=0021901291&amp;Season=2019-20&amp;flag=1&amp;title=Leonard%2025'%203PT%20%20(27%20PTS)", "25' 3PT  (27 PTS)")</f>
        <v>25' 3PT  (27 PTS)</v>
      </c>
      <c r="K723" s="2" t="str">
        <f>HYPERLINK("https://www.nba.com/game/...-vs-...-0021901291/play-by-play?watchFullGame=true", "LAC vs BKN - Q3 10:58.00")</f>
        <v>LAC vs BKN - Q3 10:58.00</v>
      </c>
      <c r="L723">
        <v>25.46</v>
      </c>
      <c r="M723">
        <v>30.44</v>
      </c>
      <c r="N723">
        <v>67.47</v>
      </c>
      <c r="O723">
        <v>-87</v>
      </c>
      <c r="P723">
        <v>234</v>
      </c>
    </row>
    <row r="724" spans="1:16" x14ac:dyDescent="0.25">
      <c r="A724">
        <v>41500236</v>
      </c>
      <c r="B724" t="s">
        <v>25</v>
      </c>
      <c r="C724" t="s">
        <v>32</v>
      </c>
      <c r="D724" t="s">
        <v>29</v>
      </c>
      <c r="E724">
        <v>38</v>
      </c>
      <c r="F724">
        <v>29</v>
      </c>
      <c r="G724">
        <v>2</v>
      </c>
      <c r="H724" s="1">
        <v>2.8703703703703703E-3</v>
      </c>
      <c r="I724" t="s">
        <v>18</v>
      </c>
      <c r="J724" s="2" t="str">
        <f>HYPERLINK("https://www.nba.com/stats/events?CFID=&amp;CFPARAMS=&amp;GameEventID=181&amp;GameID=0041500236&amp;Season=2015-16&amp;flag=1&amp;title=Leonard%2010'%20Pullup%20Jump%20Shot%20(7%20PTS)", "Leonard 10' Pullup Jump Shot (7 PTS)")</f>
        <v>Leonard 10' Pullup Jump Shot (7 PTS)</v>
      </c>
      <c r="K724" s="2" t="str">
        <f>HYPERLINK("https://www.nba.com/game/...-vs-...-0041500236/play-by-play?watchFullGame=true", "SAS vs OKC - Q2 04:08.00")</f>
        <v>SAS vs OKC - Q2 04:08.00</v>
      </c>
      <c r="L724">
        <v>10</v>
      </c>
      <c r="M724">
        <v>-86</v>
      </c>
      <c r="N724">
        <v>51</v>
      </c>
      <c r="O724">
        <v>-86</v>
      </c>
      <c r="P724">
        <v>51</v>
      </c>
    </row>
    <row r="725" spans="1:16" x14ac:dyDescent="0.25">
      <c r="A725">
        <v>22200719</v>
      </c>
      <c r="B725">
        <v>2022</v>
      </c>
      <c r="C725" t="s">
        <v>32</v>
      </c>
      <c r="D725" t="s">
        <v>19</v>
      </c>
      <c r="E725">
        <v>74</v>
      </c>
      <c r="F725">
        <v>90</v>
      </c>
      <c r="G725">
        <v>3</v>
      </c>
      <c r="H725" s="1">
        <v>3.5416666666666665E-3</v>
      </c>
      <c r="I725" t="s">
        <v>23</v>
      </c>
      <c r="J725" s="2" t="str">
        <f>HYPERLINK("https://www.nba.com/stats/events?CFID=&amp;CFPARAMS=&amp;GameEventID=409&amp;GameID=0022200719&amp;Season=2022-23&amp;flag=1&amp;title=Leonard%2010'%20pullup%20Jump%20Shot%20(16%20PTS)", "10' pullup Jump Shot (16 PTS)")</f>
        <v>10' pullup Jump Shot (16 PTS)</v>
      </c>
      <c r="K725" s="2" t="str">
        <f>HYPERLINK("https://www.nba.com/game/...-vs-...-0022200719/play-by-play?watchFullGame=true", "LAC vs LAL - Q3 05:06.00")</f>
        <v>LAC vs LAL - Q3 05:06.00</v>
      </c>
      <c r="L725">
        <v>10.71</v>
      </c>
      <c r="M725">
        <v>12.4</v>
      </c>
      <c r="N725">
        <v>67.16</v>
      </c>
      <c r="O725">
        <v>-86</v>
      </c>
      <c r="P725">
        <v>64</v>
      </c>
    </row>
    <row r="726" spans="1:16" x14ac:dyDescent="0.25">
      <c r="A726">
        <v>21600319</v>
      </c>
      <c r="B726">
        <v>2016</v>
      </c>
      <c r="C726" t="s">
        <v>32</v>
      </c>
      <c r="D726" t="s">
        <v>19</v>
      </c>
      <c r="E726">
        <v>55</v>
      </c>
      <c r="F726">
        <v>59</v>
      </c>
      <c r="G726">
        <v>3</v>
      </c>
      <c r="H726" s="1">
        <v>3.6458333333333334E-3</v>
      </c>
      <c r="I726" t="s">
        <v>18</v>
      </c>
      <c r="J726" s="2" t="str">
        <f>HYPERLINK("https://www.nba.com/stats/events?CFID=&amp;CFPARAMS=&amp;GameEventID=281&amp;GameID=0021600319&amp;Season=2016-17&amp;flag=1&amp;title=Leonard%2017'%20Jump%20Shot%20(18%20PTS)%20(Green%202%20AST)", "Leonard 17' Jump Shot (18 PTS) (Green 2 AST)")</f>
        <v>Leonard 17' Jump Shot (18 PTS) (Green 2 AST)</v>
      </c>
      <c r="K726" s="2" t="str">
        <f>HYPERLINK("https://www.nba.com/game/...-vs-...-0021600319/play-by-play?watchFullGame=true", "SAS vs MIN - Q3 05:15.00")</f>
        <v>SAS vs MIN - Q3 05:15.00</v>
      </c>
      <c r="L726">
        <v>17</v>
      </c>
      <c r="M726">
        <v>-86</v>
      </c>
      <c r="N726">
        <v>144</v>
      </c>
      <c r="O726">
        <v>-86</v>
      </c>
      <c r="P726">
        <v>144</v>
      </c>
    </row>
    <row r="727" spans="1:16" x14ac:dyDescent="0.25">
      <c r="A727">
        <v>21601118</v>
      </c>
      <c r="B727">
        <v>2016</v>
      </c>
      <c r="C727" t="s">
        <v>32</v>
      </c>
      <c r="D727" t="s">
        <v>29</v>
      </c>
      <c r="E727">
        <v>43</v>
      </c>
      <c r="F727">
        <v>29</v>
      </c>
      <c r="G727">
        <v>2</v>
      </c>
      <c r="H727" s="1">
        <v>4.6990740740740743E-3</v>
      </c>
      <c r="I727" t="s">
        <v>18</v>
      </c>
      <c r="J727" s="2" t="str">
        <f>HYPERLINK("https://www.nba.com/stats/events?CFID=&amp;CFPARAMS=&amp;GameEventID=184&amp;GameID=0021601118&amp;Season=2016-17&amp;flag=1&amp;title=Leonard%2017'%20Pullup%20Jump%20Shot%20(10%20PTS)", "Leonard 17' Pullup Jump Shot (10 PTS)")</f>
        <v>Leonard 17' Pullup Jump Shot (10 PTS)</v>
      </c>
      <c r="K727" s="2" t="str">
        <f>HYPERLINK("https://www.nba.com/game/...-vs-...-0021601118/play-by-play?watchFullGame=true", "SAS vs GSW - Q2 06:46.00")</f>
        <v>SAS vs GSW - Q2 06:46.00</v>
      </c>
      <c r="L727">
        <v>17</v>
      </c>
      <c r="M727">
        <v>-86</v>
      </c>
      <c r="N727">
        <v>151</v>
      </c>
      <c r="O727">
        <v>-86</v>
      </c>
      <c r="P727">
        <v>151</v>
      </c>
    </row>
    <row r="728" spans="1:16" x14ac:dyDescent="0.25">
      <c r="A728">
        <v>21301127</v>
      </c>
      <c r="B728">
        <v>2013</v>
      </c>
      <c r="C728" t="s">
        <v>32</v>
      </c>
      <c r="D728" t="s">
        <v>29</v>
      </c>
      <c r="E728">
        <v>99</v>
      </c>
      <c r="F728">
        <v>87</v>
      </c>
      <c r="G728">
        <v>4</v>
      </c>
      <c r="H728" s="1">
        <v>2.2685185185185187E-3</v>
      </c>
      <c r="I728" t="s">
        <v>18</v>
      </c>
      <c r="J728" s="2" t="str">
        <f>HYPERLINK("https://www.nba.com/stats/events?CFID=&amp;CFPARAMS=&amp;GameEventID=483&amp;GameID=0021301127&amp;Season=2013-14&amp;flag=1&amp;title=Leonard%2018'%20Pullup%20Jump%20Shot%20(15%20PTS)", "Leonard 18' Pullup Jump Shot (15 PTS)")</f>
        <v>Leonard 18' Pullup Jump Shot (15 PTS)</v>
      </c>
      <c r="K728" s="2" t="str">
        <f>HYPERLINK("https://www.nba.com/game/...-vs-...-0021301127/play-by-play?watchFullGame=true", "SAS vs OKC - Q4 03:16.00")</f>
        <v>SAS vs OKC - Q4 03:16.00</v>
      </c>
      <c r="L728">
        <v>18</v>
      </c>
      <c r="M728">
        <v>-86</v>
      </c>
      <c r="N728">
        <v>156</v>
      </c>
      <c r="O728">
        <v>-86</v>
      </c>
      <c r="P728">
        <v>156</v>
      </c>
    </row>
    <row r="729" spans="1:16" x14ac:dyDescent="0.25">
      <c r="A729">
        <v>21601193</v>
      </c>
      <c r="B729">
        <v>2016</v>
      </c>
      <c r="C729" t="s">
        <v>16</v>
      </c>
      <c r="D729" t="s">
        <v>29</v>
      </c>
      <c r="E729">
        <v>53</v>
      </c>
      <c r="F729">
        <v>60</v>
      </c>
      <c r="G729">
        <v>3</v>
      </c>
      <c r="H729" s="1">
        <v>6.099537037037037E-3</v>
      </c>
      <c r="I729" t="s">
        <v>18</v>
      </c>
      <c r="J729" s="2" t="str">
        <f>HYPERLINK("https://www.nba.com/stats/events?CFID=&amp;CFPARAMS=&amp;GameEventID=258&amp;GameID=0021601193&amp;Season=2016-17&amp;flag=1&amp;title=Leonard%2026'%203PT%20Pullup%20Jump%20Shot%20(18%20PTS)", "Leonard 26' 3PT Pullup Jump Shot (18 PTS)")</f>
        <v>Leonard 26' 3PT Pullup Jump Shot (18 PTS)</v>
      </c>
      <c r="K729" s="2" t="str">
        <f>HYPERLINK("https://www.nba.com/game/...-vs-...-0021601193/play-by-play?watchFullGame=true", "SAS vs LAC - Q3 08:47.00")</f>
        <v>SAS vs LAC - Q3 08:47.00</v>
      </c>
      <c r="L729">
        <v>26</v>
      </c>
      <c r="M729">
        <v>-86</v>
      </c>
      <c r="N729">
        <v>242</v>
      </c>
      <c r="O729">
        <v>-86</v>
      </c>
      <c r="P729">
        <v>242</v>
      </c>
    </row>
    <row r="730" spans="1:16" x14ac:dyDescent="0.25">
      <c r="A730">
        <v>22000717</v>
      </c>
      <c r="B730">
        <v>2020</v>
      </c>
      <c r="C730" t="s">
        <v>32</v>
      </c>
      <c r="D730" t="s">
        <v>19</v>
      </c>
      <c r="E730">
        <v>48</v>
      </c>
      <c r="F730">
        <v>46</v>
      </c>
      <c r="G730">
        <v>2</v>
      </c>
      <c r="H730" s="1">
        <v>2.1064814814814813E-3</v>
      </c>
      <c r="I730" t="s">
        <v>23</v>
      </c>
      <c r="J730" s="2" t="str">
        <f>HYPERLINK("https://www.nba.com/stats/events?CFID=&amp;CFPARAMS=&amp;GameEventID=252&amp;GameID=0022000717&amp;Season=2020-21&amp;flag=1&amp;title=Leonard%2010'%20pullup%20Jump%20Shot%20(12%20PTS)", "10' pullup Jump Shot (12 PTS)")</f>
        <v>10' pullup Jump Shot (12 PTS)</v>
      </c>
      <c r="K730" s="2" t="str">
        <f>HYPERLINK("https://www.nba.com/game/...-vs-...-0022000717/play-by-play?watchFullGame=true", "LAC vs MIL - Q2 03:02.00")</f>
        <v>LAC vs MIL - Q2 03:02.00</v>
      </c>
      <c r="L730">
        <v>10.29</v>
      </c>
      <c r="M730">
        <v>11.78</v>
      </c>
      <c r="N730">
        <v>66.98</v>
      </c>
      <c r="O730">
        <v>-85</v>
      </c>
      <c r="P730">
        <v>58</v>
      </c>
    </row>
    <row r="731" spans="1:16" x14ac:dyDescent="0.25">
      <c r="A731">
        <v>22200902</v>
      </c>
      <c r="B731">
        <v>2022</v>
      </c>
      <c r="C731" t="s">
        <v>32</v>
      </c>
      <c r="D731" t="s">
        <v>19</v>
      </c>
      <c r="E731">
        <v>104</v>
      </c>
      <c r="F731">
        <v>97</v>
      </c>
      <c r="G731">
        <v>3</v>
      </c>
      <c r="H731" s="1">
        <v>2.6967592592592594E-3</v>
      </c>
      <c r="I731" t="s">
        <v>23</v>
      </c>
      <c r="J731" s="2" t="str">
        <f>HYPERLINK("https://www.nba.com/stats/events?CFID=&amp;CFPARAMS=&amp;GameEventID=448&amp;GameID=0022200902&amp;Season=2022-23&amp;flag=1&amp;title=Leonard%2010'%20turnaround%20fadeaway%20Jump%20Shot%20(33%20PTS)", "10' turnaround fadeaway Jump Shot (33 PTS)")</f>
        <v>10' turnaround fadeaway Jump Shot (33 PTS)</v>
      </c>
      <c r="K731" s="2" t="str">
        <f>HYPERLINK("https://www.nba.com/game/...-vs-...-0022200902/play-by-play?watchFullGame=true", "LAC vs SAC - Q3 03:53.00")</f>
        <v>LAC vs SAC - Q3 03:53.00</v>
      </c>
      <c r="L731">
        <v>10.99</v>
      </c>
      <c r="M731">
        <v>13.06</v>
      </c>
      <c r="N731">
        <v>66.91</v>
      </c>
      <c r="O731">
        <v>-85</v>
      </c>
      <c r="P731">
        <v>70</v>
      </c>
    </row>
    <row r="732" spans="1:16" x14ac:dyDescent="0.25">
      <c r="A732">
        <v>21900589</v>
      </c>
      <c r="B732">
        <v>2019</v>
      </c>
      <c r="C732" t="s">
        <v>32</v>
      </c>
      <c r="D732" t="s">
        <v>22</v>
      </c>
      <c r="E732">
        <v>71</v>
      </c>
      <c r="F732">
        <v>56</v>
      </c>
      <c r="G732">
        <v>3</v>
      </c>
      <c r="H732" s="1">
        <v>5.8564814814814816E-3</v>
      </c>
      <c r="I732" t="s">
        <v>23</v>
      </c>
      <c r="J732" s="2" t="str">
        <f>HYPERLINK("https://www.nba.com/stats/events?CFID=&amp;CFPARAMS=&amp;GameEventID=369&amp;GameID=0021900589&amp;Season=2019-20&amp;flag=1&amp;title=Leonard%2014'%20jumpshot%20(19%20PTS)", "14' jumpshot (19 PTS)")</f>
        <v>14' jumpshot (19 PTS)</v>
      </c>
      <c r="K732" s="2" t="str">
        <f>HYPERLINK("https://www.nba.com/game/...-vs-...-0021900589/play-by-play?watchFullGame=true", "LAC vs DEN - Q3 08:26.00")</f>
        <v>LAC vs DEN - Q3 08:26.00</v>
      </c>
      <c r="L732">
        <v>14.24</v>
      </c>
      <c r="M732">
        <v>82.87</v>
      </c>
      <c r="N732">
        <v>32.909999999999997</v>
      </c>
      <c r="O732">
        <v>-85</v>
      </c>
      <c r="P732">
        <v>109</v>
      </c>
    </row>
    <row r="733" spans="1:16" x14ac:dyDescent="0.25">
      <c r="A733">
        <v>21300378</v>
      </c>
      <c r="B733">
        <v>2013</v>
      </c>
      <c r="C733" t="s">
        <v>32</v>
      </c>
      <c r="D733" t="s">
        <v>40</v>
      </c>
      <c r="E733">
        <v>13</v>
      </c>
      <c r="F733">
        <v>11</v>
      </c>
      <c r="G733">
        <v>1</v>
      </c>
      <c r="H733" s="1">
        <v>5.5208333333333333E-3</v>
      </c>
      <c r="I733" t="s">
        <v>18</v>
      </c>
      <c r="J733" s="2" t="str">
        <f>HYPERLINK("https://www.nba.com/stats/events?CFID=&amp;CFPARAMS=&amp;GameEventID=40&amp;GameID=0021300378&amp;Season=2013-14&amp;flag=1&amp;title=Leonard%2010'%20Hook%20Shot%20(2%20PTS)", "Leonard 10' Hook Shot (2 PTS)")</f>
        <v>Leonard 10' Hook Shot (2 PTS)</v>
      </c>
      <c r="K733" s="2" t="str">
        <f>HYPERLINK("https://www.nba.com/game/...-vs-...-0021300378/play-by-play?watchFullGame=true", "SAS vs PHX - Q1 07:57.00")</f>
        <v>SAS vs PHX - Q1 07:57.00</v>
      </c>
      <c r="L733">
        <v>10</v>
      </c>
      <c r="M733">
        <v>-84</v>
      </c>
      <c r="N733">
        <v>52</v>
      </c>
      <c r="O733">
        <v>-84</v>
      </c>
      <c r="P733">
        <v>52</v>
      </c>
    </row>
    <row r="734" spans="1:16" x14ac:dyDescent="0.25">
      <c r="A734">
        <v>21600801</v>
      </c>
      <c r="B734">
        <v>2016</v>
      </c>
      <c r="C734" t="s">
        <v>32</v>
      </c>
      <c r="D734" t="s">
        <v>29</v>
      </c>
      <c r="E734">
        <v>41</v>
      </c>
      <c r="F734">
        <v>60</v>
      </c>
      <c r="G734">
        <v>2</v>
      </c>
      <c r="H734" s="1">
        <v>1.550925925925926E-4</v>
      </c>
      <c r="I734" t="s">
        <v>18</v>
      </c>
      <c r="J734" s="2" t="str">
        <f>HYPERLINK("https://www.nba.com/stats/events?CFID=&amp;CFPARAMS=&amp;GameEventID=211&amp;GameID=0021600801&amp;Season=2016-17&amp;flag=1&amp;title=Leonard%2012'%20Pullup%20Jump%20Shot%20(15%20PTS)", "Leonard 12' Pullup Jump Shot (15 PTS)")</f>
        <v>Leonard 12' Pullup Jump Shot (15 PTS)</v>
      </c>
      <c r="K734" s="2" t="str">
        <f>HYPERLINK("https://www.nba.com/game/...-vs-...-0021600801/play-by-play?watchFullGame=true", "SAS vs DET - Q2 00:13.40")</f>
        <v>SAS vs DET - Q2 00:13.40</v>
      </c>
      <c r="L734">
        <v>12</v>
      </c>
      <c r="M734">
        <v>-84</v>
      </c>
      <c r="N734">
        <v>80</v>
      </c>
      <c r="O734">
        <v>-84</v>
      </c>
      <c r="P734">
        <v>80</v>
      </c>
    </row>
    <row r="735" spans="1:16" x14ac:dyDescent="0.25">
      <c r="A735">
        <v>41600156</v>
      </c>
      <c r="B735" t="s">
        <v>30</v>
      </c>
      <c r="C735" t="s">
        <v>32</v>
      </c>
      <c r="D735" t="s">
        <v>29</v>
      </c>
      <c r="E735">
        <v>19</v>
      </c>
      <c r="F735">
        <v>22</v>
      </c>
      <c r="G735">
        <v>1</v>
      </c>
      <c r="H735" s="1">
        <v>2.0717592592592593E-3</v>
      </c>
      <c r="I735" t="s">
        <v>18</v>
      </c>
      <c r="J735" s="2" t="str">
        <f>HYPERLINK("https://www.nba.com/stats/events?CFID=&amp;CFPARAMS=&amp;GameEventID=72&amp;GameID=0041600156&amp;Season=2016-17&amp;flag=1&amp;title=Leonard%2019'%20Pullup%20Jump%20Shot%20(4%20PTS)", "Leonard 19' Pullup Jump Shot (4 PTS)")</f>
        <v>Leonard 19' Pullup Jump Shot (4 PTS)</v>
      </c>
      <c r="K735" s="2" t="str">
        <f>HYPERLINK("https://www.nba.com/game/...-vs-...-0041600156/play-by-play?watchFullGame=true", "SAS vs MEM - Q1 02:59.00")</f>
        <v>SAS vs MEM - Q1 02:59.00</v>
      </c>
      <c r="L735">
        <v>19</v>
      </c>
      <c r="M735">
        <v>-84</v>
      </c>
      <c r="N735">
        <v>175</v>
      </c>
      <c r="O735">
        <v>-84</v>
      </c>
      <c r="P735">
        <v>175</v>
      </c>
    </row>
    <row r="736" spans="1:16" x14ac:dyDescent="0.25">
      <c r="A736">
        <v>41800213</v>
      </c>
      <c r="B736" t="s">
        <v>20</v>
      </c>
      <c r="C736" t="s">
        <v>16</v>
      </c>
      <c r="D736" t="s">
        <v>29</v>
      </c>
      <c r="E736">
        <v>4</v>
      </c>
      <c r="F736">
        <v>3</v>
      </c>
      <c r="G736">
        <v>1</v>
      </c>
      <c r="H736" s="1">
        <v>7.1759259259259259E-3</v>
      </c>
      <c r="I736" t="s">
        <v>21</v>
      </c>
      <c r="J736" s="2" t="str">
        <f>HYPERLINK("https://www.nba.com/stats/events?CFID=&amp;CFPARAMS=&amp;GameEventID=24&amp;GameID=0041800213&amp;Season=2018-19&amp;flag=1&amp;title=Leonard%2027'%203PT%20Pullup%20Jump%20Shot%20(3%20PTS)", "Leonard 27' 3PT Pullup Jump Shot (3 PTS)")</f>
        <v>Leonard 27' 3PT Pullup Jump Shot (3 PTS)</v>
      </c>
      <c r="K736" s="2" t="str">
        <f>HYPERLINK("https://www.nba.com/game/...-vs-...-0041800213/play-by-play?watchFullGame=true", "TOR vs PHI - Q1 10:20.00")</f>
        <v>TOR vs PHI - Q1 10:20.00</v>
      </c>
      <c r="L736">
        <v>27</v>
      </c>
      <c r="M736">
        <v>-84</v>
      </c>
      <c r="N736">
        <v>252</v>
      </c>
      <c r="O736">
        <v>-84</v>
      </c>
      <c r="P736">
        <v>252</v>
      </c>
    </row>
    <row r="737" spans="1:16" x14ac:dyDescent="0.25">
      <c r="A737">
        <v>22001002</v>
      </c>
      <c r="B737">
        <v>2020</v>
      </c>
      <c r="C737" t="s">
        <v>16</v>
      </c>
      <c r="D737" t="s">
        <v>19</v>
      </c>
      <c r="E737">
        <v>21</v>
      </c>
      <c r="F737">
        <v>11</v>
      </c>
      <c r="G737">
        <v>1</v>
      </c>
      <c r="H737" s="1">
        <v>3.8888888888888888E-3</v>
      </c>
      <c r="I737" t="s">
        <v>23</v>
      </c>
      <c r="J737" s="2" t="str">
        <f>HYPERLINK("https://www.nba.com/stats/events?CFID=&amp;CFPARAMS=&amp;GameEventID=69&amp;GameID=0022001002&amp;Season=2020-21&amp;flag=1&amp;title=Leonard%2027'%203PT%20%20(6%20PTS)%20(P.%20George%203%20AST)", "27' 3PT  (6 PTS) (P. George 3 AST)")</f>
        <v>27' 3PT  (6 PTS) (P. George 3 AST)</v>
      </c>
      <c r="K737" s="2" t="str">
        <f>HYPERLINK("https://www.nba.com/game/...-vs-...-0022001002/play-by-play?watchFullGame=true", "LAC vs LAL - Q1 05:36.00")</f>
        <v>LAC vs LAL - Q1 05:36.00</v>
      </c>
      <c r="L737">
        <v>27.84</v>
      </c>
      <c r="M737">
        <v>66.180000000000007</v>
      </c>
      <c r="N737">
        <v>33.159999999999997</v>
      </c>
      <c r="O737">
        <v>-84</v>
      </c>
      <c r="P737">
        <v>265</v>
      </c>
    </row>
    <row r="738" spans="1:16" x14ac:dyDescent="0.25">
      <c r="A738">
        <v>21900115</v>
      </c>
      <c r="B738">
        <v>2019</v>
      </c>
      <c r="C738" t="s">
        <v>32</v>
      </c>
      <c r="D738" t="s">
        <v>22</v>
      </c>
      <c r="E738">
        <v>6</v>
      </c>
      <c r="F738">
        <v>7</v>
      </c>
      <c r="G738">
        <v>1</v>
      </c>
      <c r="H738" s="1">
        <v>6.1574074074074074E-3</v>
      </c>
      <c r="I738" t="s">
        <v>23</v>
      </c>
      <c r="J738" s="2" t="str">
        <f>HYPERLINK("https://www.nba.com/stats/events?CFID=&amp;CFPARAMS=&amp;GameEventID=36&amp;GameID=0021900115&amp;Season=2019-20&amp;flag=1&amp;title=[LAC]%20Leonard%20jumpshot:%20Made%20(4%20PTS)", "[LAC] Leonard jumpshot: Made (4 PTS)")</f>
        <v>[LAC] Leonard jumpshot: Made (4 PTS)</v>
      </c>
      <c r="K738" s="2" t="str">
        <f>HYPERLINK("https://www.nba.com/game/...-vs-...-0021900115/play-by-play?watchFullGame=true", "LAC vs POR - Q1 08:52.00")</f>
        <v>LAC vs POR - Q1 08:52.00</v>
      </c>
      <c r="L738">
        <v>8.49</v>
      </c>
      <c r="M738">
        <v>6.88</v>
      </c>
      <c r="N738">
        <v>66.599999999999994</v>
      </c>
      <c r="O738">
        <v>-83</v>
      </c>
      <c r="P738">
        <v>12</v>
      </c>
    </row>
    <row r="739" spans="1:16" x14ac:dyDescent="0.25">
      <c r="A739">
        <v>21500028</v>
      </c>
      <c r="B739">
        <v>2015</v>
      </c>
      <c r="C739" t="s">
        <v>32</v>
      </c>
      <c r="D739" t="s">
        <v>19</v>
      </c>
      <c r="E739">
        <v>52</v>
      </c>
      <c r="F739">
        <v>55</v>
      </c>
      <c r="G739">
        <v>3</v>
      </c>
      <c r="H739" s="1">
        <v>6.4583333333333333E-3</v>
      </c>
      <c r="I739" t="s">
        <v>18</v>
      </c>
      <c r="J739" s="2" t="str">
        <f>HYPERLINK("https://www.nba.com/stats/events?CFID=&amp;CFPARAMS=&amp;GameEventID=257&amp;GameID=0021500028&amp;Season=2015-16&amp;flag=1&amp;title=Leonard%2012'%20Jump%20Shot%20(6%20PTS)%20(Parker%203%20AST)", "Leonard 12' Jump Shot (6 PTS) (Parker 3 AST)")</f>
        <v>Leonard 12' Jump Shot (6 PTS) (Parker 3 AST)</v>
      </c>
      <c r="K739" s="2" t="str">
        <f>HYPERLINK("https://www.nba.com/game/...-vs-...-0021500028/play-by-play?watchFullGame=true", "SAS vs BKN - Q3 09:18.00")</f>
        <v>SAS vs BKN - Q3 09:18.00</v>
      </c>
      <c r="L739">
        <v>12</v>
      </c>
      <c r="M739">
        <v>-83</v>
      </c>
      <c r="N739">
        <v>87</v>
      </c>
      <c r="O739">
        <v>-83</v>
      </c>
      <c r="P739">
        <v>87</v>
      </c>
    </row>
    <row r="740" spans="1:16" x14ac:dyDescent="0.25">
      <c r="A740">
        <v>21600657</v>
      </c>
      <c r="B740">
        <v>2016</v>
      </c>
      <c r="C740" t="s">
        <v>32</v>
      </c>
      <c r="D740" t="s">
        <v>19</v>
      </c>
      <c r="E740">
        <v>109</v>
      </c>
      <c r="F740">
        <v>109</v>
      </c>
      <c r="G740">
        <v>5</v>
      </c>
      <c r="H740" s="1">
        <v>2.9513888888888888E-3</v>
      </c>
      <c r="I740" t="s">
        <v>18</v>
      </c>
      <c r="J740" s="2" t="str">
        <f>HYPERLINK("https://www.nba.com/stats/events?CFID=&amp;CFPARAMS=&amp;GameEventID=513&amp;GameID=0021600657&amp;Season=2016-17&amp;flag=1&amp;title=Leonard%2014'%20Jump%20Shot%20(37%20PTS)%20(Ginobili%202%20AST)", "Leonard 14' Jump Shot (37 PTS) (Ginobili 2 AST)")</f>
        <v>Leonard 14' Jump Shot (37 PTS) (Ginobili 2 AST)</v>
      </c>
      <c r="K740" s="2" t="str">
        <f>HYPERLINK("https://www.nba.com/game/...-vs-...-0021600657/play-by-play?watchFullGame=true", "SAS vs CLE - Q5 04:15.00")</f>
        <v>SAS vs CLE - Q5 04:15.00</v>
      </c>
      <c r="L740">
        <v>14</v>
      </c>
      <c r="M740">
        <v>-83</v>
      </c>
      <c r="N740">
        <v>115</v>
      </c>
      <c r="O740">
        <v>-83</v>
      </c>
      <c r="P740">
        <v>115</v>
      </c>
    </row>
    <row r="741" spans="1:16" x14ac:dyDescent="0.25">
      <c r="A741">
        <v>41800302</v>
      </c>
      <c r="B741" t="s">
        <v>20</v>
      </c>
      <c r="C741" t="s">
        <v>32</v>
      </c>
      <c r="D741" t="s">
        <v>31</v>
      </c>
      <c r="E741">
        <v>70</v>
      </c>
      <c r="F741">
        <v>49</v>
      </c>
      <c r="G741">
        <v>3</v>
      </c>
      <c r="H741" s="1">
        <v>5.7986111111111112E-3</v>
      </c>
      <c r="I741" t="s">
        <v>21</v>
      </c>
      <c r="J741" s="2" t="str">
        <f>HYPERLINK("https://www.nba.com/stats/events?CFID=&amp;CFPARAMS=&amp;GameEventID=401&amp;GameID=0041800302&amp;Season=2018-19&amp;flag=1&amp;title=Leonard%2017'%20Step%20Back%20Jump%20Shot%20(16%20PTS)", "Leonard 17' Step Back Jump Shot (16 PTS)")</f>
        <v>Leonard 17' Step Back Jump Shot (16 PTS)</v>
      </c>
      <c r="K741" s="2" t="str">
        <f>HYPERLINK("https://www.nba.com/game/...-vs-...-0041800302/play-by-play?watchFullGame=true", "TOR vs MIL - Q3 08:21.00")</f>
        <v>TOR vs MIL - Q3 08:21.00</v>
      </c>
      <c r="L741">
        <v>17</v>
      </c>
      <c r="M741">
        <v>-83</v>
      </c>
      <c r="N741">
        <v>146</v>
      </c>
      <c r="O741">
        <v>-83</v>
      </c>
      <c r="P741">
        <v>146</v>
      </c>
    </row>
    <row r="742" spans="1:16" x14ac:dyDescent="0.25">
      <c r="A742">
        <v>22000188</v>
      </c>
      <c r="B742">
        <v>2020</v>
      </c>
      <c r="C742" t="s">
        <v>32</v>
      </c>
      <c r="D742" t="s">
        <v>19</v>
      </c>
      <c r="E742">
        <v>27</v>
      </c>
      <c r="F742">
        <v>30</v>
      </c>
      <c r="G742">
        <v>1</v>
      </c>
      <c r="H742" s="1">
        <v>1.0763888888888889E-3</v>
      </c>
      <c r="I742" t="s">
        <v>23</v>
      </c>
      <c r="J742" s="2" t="str">
        <f>HYPERLINK("https://www.nba.com/stats/events?CFID=&amp;CFPARAMS=&amp;GameEventID=127&amp;GameID=0022000188&amp;Season=2020-21&amp;flag=1&amp;title=Leonard%2017'%20Jump%20Shot%20(10%20PTS)", "17' Jump Shot (10 PTS)")</f>
        <v>17' Jump Shot (10 PTS)</v>
      </c>
      <c r="K742" s="2" t="str">
        <f>HYPERLINK("https://www.nba.com/game/...-vs-...-0022000188/play-by-play?watchFullGame=true", "LAC vs SAC - Q1 01:33.00")</f>
        <v>LAC vs SAC - Q1 01:33.00</v>
      </c>
      <c r="L742">
        <v>17.73</v>
      </c>
      <c r="M742">
        <v>77.739999999999995</v>
      </c>
      <c r="N742">
        <v>33.4</v>
      </c>
      <c r="O742">
        <v>-83</v>
      </c>
      <c r="P742">
        <v>157</v>
      </c>
    </row>
    <row r="743" spans="1:16" x14ac:dyDescent="0.25">
      <c r="A743">
        <v>21501140</v>
      </c>
      <c r="B743">
        <v>2015</v>
      </c>
      <c r="C743" t="s">
        <v>32</v>
      </c>
      <c r="D743" t="s">
        <v>29</v>
      </c>
      <c r="E743">
        <v>38</v>
      </c>
      <c r="F743">
        <v>30</v>
      </c>
      <c r="G743">
        <v>2</v>
      </c>
      <c r="H743" s="1">
        <v>5.2546296296296299E-3</v>
      </c>
      <c r="I743" t="s">
        <v>18</v>
      </c>
      <c r="J743" s="2" t="str">
        <f>HYPERLINK("https://www.nba.com/stats/events?CFID=&amp;CFPARAMS=&amp;GameEventID=142&amp;GameID=0021501140&amp;Season=2015-16&amp;flag=1&amp;title=Leonard%2019'%20Pullup%20Jump%20Shot%20(9%20PTS)%20(Mills%201%20AST)", "Leonard 19' Pullup Jump Shot (9 PTS) (Mills 1 AST)")</f>
        <v>Leonard 19' Pullup Jump Shot (9 PTS) (Mills 1 AST)</v>
      </c>
      <c r="K743" s="2" t="str">
        <f>HYPERLINK("https://www.nba.com/game/...-vs-...-0021501140/play-by-play?watchFullGame=true", "SAS vs TOR - Q2 07:34.00")</f>
        <v>SAS vs TOR - Q2 07:34.00</v>
      </c>
      <c r="L743">
        <v>19</v>
      </c>
      <c r="M743">
        <v>-83</v>
      </c>
      <c r="N743">
        <v>174</v>
      </c>
      <c r="O743">
        <v>-83</v>
      </c>
      <c r="P743">
        <v>174</v>
      </c>
    </row>
    <row r="744" spans="1:16" x14ac:dyDescent="0.25">
      <c r="A744">
        <v>21600701</v>
      </c>
      <c r="B744">
        <v>2016</v>
      </c>
      <c r="C744" t="s">
        <v>32</v>
      </c>
      <c r="D744" t="s">
        <v>19</v>
      </c>
      <c r="E744">
        <v>55</v>
      </c>
      <c r="F744">
        <v>60</v>
      </c>
      <c r="G744">
        <v>3</v>
      </c>
      <c r="H744" s="1">
        <v>6.2615740740740739E-3</v>
      </c>
      <c r="I744" t="s">
        <v>18</v>
      </c>
      <c r="J744" s="2" t="str">
        <f>HYPERLINK("https://www.nba.com/stats/events?CFID=&amp;CFPARAMS=&amp;GameEventID=322&amp;GameID=0021600701&amp;Season=2016-17&amp;flag=1&amp;title=Leonard%2021'%20Jump%20Shot%20(16%20PTS)", "Leonard 21' Jump Shot (16 PTS)")</f>
        <v>Leonard 21' Jump Shot (16 PTS)</v>
      </c>
      <c r="K744" s="2" t="str">
        <f>HYPERLINK("https://www.nba.com/game/...-vs-...-0021600701/play-by-play?watchFullGame=true", "SAS vs NOP - Q3 09:01.00")</f>
        <v>SAS vs NOP - Q3 09:01.00</v>
      </c>
      <c r="L744">
        <v>21</v>
      </c>
      <c r="M744">
        <v>-83</v>
      </c>
      <c r="N744">
        <v>198</v>
      </c>
      <c r="O744">
        <v>-83</v>
      </c>
      <c r="P744">
        <v>198</v>
      </c>
    </row>
    <row r="745" spans="1:16" x14ac:dyDescent="0.25">
      <c r="A745">
        <v>22200970</v>
      </c>
      <c r="B745">
        <v>2022</v>
      </c>
      <c r="C745" t="s">
        <v>16</v>
      </c>
      <c r="D745" t="s">
        <v>19</v>
      </c>
      <c r="E745">
        <v>58</v>
      </c>
      <c r="F745">
        <v>52</v>
      </c>
      <c r="G745">
        <v>2</v>
      </c>
      <c r="H745" s="1">
        <v>2.476851851851852E-3</v>
      </c>
      <c r="I745" t="s">
        <v>23</v>
      </c>
      <c r="J745" s="2" t="str">
        <f>HYPERLINK("https://www.nba.com/stats/events?CFID=&amp;CFPARAMS=&amp;GameEventID=261&amp;GameID=0022200970&amp;Season=2022-23&amp;flag=1&amp;title=Leonard%2026'%203PT%20pullup%20(12%20PTS)", "26' 3PT pullup (12 PTS)")</f>
        <v>26' 3PT pullup (12 PTS)</v>
      </c>
      <c r="K745" s="2" t="str">
        <f>HYPERLINK("https://www.nba.com/game/...-vs-...-0022200970/play-by-play?watchFullGame=true", "LAC vs MEM - Q2 03:34.00")</f>
        <v>LAC vs MEM - Q2 03:34.00</v>
      </c>
      <c r="L745">
        <v>26.06</v>
      </c>
      <c r="M745">
        <v>31.85</v>
      </c>
      <c r="N745">
        <v>66.67</v>
      </c>
      <c r="O745">
        <v>-83</v>
      </c>
      <c r="P745">
        <v>247</v>
      </c>
    </row>
    <row r="746" spans="1:16" x14ac:dyDescent="0.25">
      <c r="A746">
        <v>22000601</v>
      </c>
      <c r="B746">
        <v>2020</v>
      </c>
      <c r="C746" t="s">
        <v>32</v>
      </c>
      <c r="D746" t="s">
        <v>19</v>
      </c>
      <c r="E746">
        <v>22</v>
      </c>
      <c r="F746">
        <v>15</v>
      </c>
      <c r="G746">
        <v>1</v>
      </c>
      <c r="H746" s="1">
        <v>3.3796296296296296E-3</v>
      </c>
      <c r="I746" t="s">
        <v>23</v>
      </c>
      <c r="J746" s="2" t="str">
        <f>HYPERLINK("https://www.nba.com/stats/events?CFID=&amp;CFPARAMS=&amp;GameEventID=83&amp;GameID=0022000601&amp;Season=2020-21&amp;flag=1&amp;title=Leonard%208'%20turnaround%20fadeaway%20Jump%20Shot%20(4%20PTS)", "8' turnaround fadeaway Jump Shot (4 PTS)")</f>
        <v>8' turnaround fadeaway Jump Shot (4 PTS)</v>
      </c>
      <c r="K746" s="2" t="str">
        <f>HYPERLINK("https://www.nba.com/game/...-vs-...-0022000601/play-by-play?watchFullGame=true", "LAC vs NOP - Q1 04:52.00")</f>
        <v>LAC vs NOP - Q1 04:52.00</v>
      </c>
      <c r="L746">
        <v>8.34</v>
      </c>
      <c r="M746">
        <v>4.29</v>
      </c>
      <c r="N746">
        <v>66.489999999999995</v>
      </c>
      <c r="O746">
        <v>-82</v>
      </c>
      <c r="P746">
        <v>-12</v>
      </c>
    </row>
    <row r="747" spans="1:16" x14ac:dyDescent="0.25">
      <c r="A747">
        <v>41400162</v>
      </c>
      <c r="B747" t="s">
        <v>28</v>
      </c>
      <c r="C747" t="s">
        <v>32</v>
      </c>
      <c r="D747" t="s">
        <v>36</v>
      </c>
      <c r="E747">
        <v>22</v>
      </c>
      <c r="F747">
        <v>27</v>
      </c>
      <c r="G747">
        <v>1</v>
      </c>
      <c r="H747" s="1">
        <v>9.7222222222222219E-4</v>
      </c>
      <c r="I747" t="s">
        <v>18</v>
      </c>
      <c r="J747" s="2" t="str">
        <f>HYPERLINK("https://www.nba.com/stats/events?CFID=&amp;CFPARAMS=&amp;GameEventID=91&amp;GameID=0041400162&amp;Season=2014-15&amp;flag=1&amp;title=Leonard%208'%20Pullup%20Bank%20Shot%20(7%20PTS)%20(Diaw%201%20AST)", "Leonard 8' Pullup Bank Shot (7 PTS) (Diaw 1 AST)")</f>
        <v>Leonard 8' Pullup Bank Shot (7 PTS) (Diaw 1 AST)</v>
      </c>
      <c r="K747" s="2" t="str">
        <f>HYPERLINK("https://www.nba.com/game/...-vs-...-0041400162/play-by-play?watchFullGame=true", "SAS vs LAC - Q1 01:24.00")</f>
        <v>SAS vs LAC - Q1 01:24.00</v>
      </c>
      <c r="L747">
        <v>8</v>
      </c>
      <c r="M747">
        <v>-82</v>
      </c>
      <c r="N747">
        <v>6</v>
      </c>
      <c r="O747">
        <v>-82</v>
      </c>
      <c r="P747">
        <v>6</v>
      </c>
    </row>
    <row r="748" spans="1:16" x14ac:dyDescent="0.25">
      <c r="A748">
        <v>21900419</v>
      </c>
      <c r="B748">
        <v>2019</v>
      </c>
      <c r="C748" t="s">
        <v>32</v>
      </c>
      <c r="D748" t="s">
        <v>22</v>
      </c>
      <c r="E748">
        <v>69</v>
      </c>
      <c r="F748">
        <v>52</v>
      </c>
      <c r="G748">
        <v>2</v>
      </c>
      <c r="H748" s="1">
        <v>3.3217592592592592E-4</v>
      </c>
      <c r="I748" t="s">
        <v>23</v>
      </c>
      <c r="J748" s="2" t="str">
        <f>HYPERLINK("https://www.nba.com/stats/events?CFID=&amp;CFPARAMS=&amp;GameEventID=308&amp;GameID=0021900419&amp;Season=2019-20&amp;flag=1&amp;title=Leonard%2018'%20jumpshot%20(17%20PTS)", "18' jumpshot (17 PTS)")</f>
        <v>18' jumpshot (17 PTS)</v>
      </c>
      <c r="K748" s="2" t="str">
        <f>HYPERLINK("https://www.nba.com/game/...-vs-...-0021900419/play-by-play?watchFullGame=true", "LAC vs HOU - Q2 00:28.70")</f>
        <v>LAC vs HOU - Q2 00:28.70</v>
      </c>
      <c r="L748">
        <v>17.57</v>
      </c>
      <c r="M748">
        <v>78.5</v>
      </c>
      <c r="N748">
        <v>33.51</v>
      </c>
      <c r="O748">
        <v>-82</v>
      </c>
      <c r="P748">
        <v>150</v>
      </c>
    </row>
    <row r="749" spans="1:16" x14ac:dyDescent="0.25">
      <c r="A749">
        <v>22300637</v>
      </c>
      <c r="B749">
        <v>2023</v>
      </c>
      <c r="C749" t="s">
        <v>32</v>
      </c>
      <c r="D749" t="s">
        <v>19</v>
      </c>
      <c r="E749">
        <v>63</v>
      </c>
      <c r="F749">
        <v>81</v>
      </c>
      <c r="G749">
        <v>3</v>
      </c>
      <c r="H749" s="1">
        <v>4.7106481481481478E-3</v>
      </c>
      <c r="I749" t="s">
        <v>23</v>
      </c>
      <c r="J749" s="2" t="str">
        <f>HYPERLINK("https://www.nba.com/stats/events?CFID=&amp;CFPARAMS=&amp;GameEventID=388&amp;GameID=0022300637&amp;Season=2023-24&amp;flag=1&amp;title=Leonard%2019'%20Jump%20Shot%20(11%20PTS)", "19' Jump Shot (11 PTS)")</f>
        <v>19' Jump Shot (11 PTS)</v>
      </c>
      <c r="K749" s="2" t="str">
        <f>HYPERLINK("https://www.nba.com/game/...-vs-...-0022300637/play-by-play?watchFullGame=true", "LAC vs TOR - Q3 06:47.00")</f>
        <v>LAC vs TOR - Q3 06:47.00</v>
      </c>
      <c r="L749">
        <v>19.600000000000001</v>
      </c>
      <c r="M749">
        <v>24.52</v>
      </c>
      <c r="N749">
        <v>66.42</v>
      </c>
      <c r="O749">
        <v>-82</v>
      </c>
      <c r="P749">
        <v>178</v>
      </c>
    </row>
    <row r="750" spans="1:16" x14ac:dyDescent="0.25">
      <c r="A750">
        <v>22200408</v>
      </c>
      <c r="B750">
        <v>2022</v>
      </c>
      <c r="C750" t="s">
        <v>32</v>
      </c>
      <c r="D750" t="s">
        <v>19</v>
      </c>
      <c r="E750">
        <v>47</v>
      </c>
      <c r="F750">
        <v>42</v>
      </c>
      <c r="G750">
        <v>2</v>
      </c>
      <c r="H750" s="1">
        <v>2.488425925925926E-3</v>
      </c>
      <c r="I750" t="s">
        <v>23</v>
      </c>
      <c r="J750" s="2" t="str">
        <f>HYPERLINK("https://www.nba.com/stats/events?CFID=&amp;CFPARAMS=&amp;GameEventID=284&amp;GameID=0022200408&amp;Season=2022-23&amp;flag=1&amp;title=Leonard%2021'%20pullup%20Jump%20Shot%20(8%20PTS)", "21' pullup Jump Shot (8 PTS)")</f>
        <v>21' pullup Jump Shot (8 PTS)</v>
      </c>
      <c r="K750" s="2" t="str">
        <f>HYPERLINK("https://www.nba.com/game/...-vs-...-0022200408/play-by-play?watchFullGame=true", "LAC vs BOS - Q2 03:35.00")</f>
        <v>LAC vs BOS - Q2 03:35.00</v>
      </c>
      <c r="L750">
        <v>21.19</v>
      </c>
      <c r="M750">
        <v>73.64</v>
      </c>
      <c r="N750">
        <v>33.58</v>
      </c>
      <c r="O750">
        <v>-82</v>
      </c>
      <c r="P750">
        <v>195</v>
      </c>
    </row>
    <row r="751" spans="1:16" x14ac:dyDescent="0.25">
      <c r="A751">
        <v>22300160</v>
      </c>
      <c r="B751">
        <v>2023</v>
      </c>
      <c r="C751" t="s">
        <v>16</v>
      </c>
      <c r="D751" t="s">
        <v>19</v>
      </c>
      <c r="E751">
        <v>60</v>
      </c>
      <c r="F751">
        <v>60</v>
      </c>
      <c r="G751">
        <v>3</v>
      </c>
      <c r="H751" s="1">
        <v>3.449074074074074E-3</v>
      </c>
      <c r="I751" t="s">
        <v>23</v>
      </c>
      <c r="J751" s="2" t="str">
        <f>HYPERLINK("https://www.nba.com/stats/events?CFID=&amp;CFPARAMS=&amp;GameEventID=402&amp;GameID=0022300160&amp;Season=2023-24&amp;flag=1&amp;title=Leonard%2024'%203PT%20step%20back%20(13%20PTS)", "24' 3PT step back (13 PTS)")</f>
        <v>24' 3PT step back (13 PTS)</v>
      </c>
      <c r="K751" s="2" t="str">
        <f>HYPERLINK("https://www.nba.com/game/...-vs-...-0022300160/play-by-play?watchFullGame=true", "LAC vs BKN - Q3 04:58.00")</f>
        <v>LAC vs BKN - Q3 04:58.00</v>
      </c>
      <c r="L751">
        <v>24.76</v>
      </c>
      <c r="M751">
        <v>30.44</v>
      </c>
      <c r="N751">
        <v>66.42</v>
      </c>
      <c r="O751">
        <v>-82</v>
      </c>
      <c r="P751">
        <v>234</v>
      </c>
    </row>
    <row r="752" spans="1:16" x14ac:dyDescent="0.25">
      <c r="A752">
        <v>41300224</v>
      </c>
      <c r="B752" t="s">
        <v>26</v>
      </c>
      <c r="C752" t="s">
        <v>32</v>
      </c>
      <c r="D752" t="s">
        <v>34</v>
      </c>
      <c r="E752">
        <v>90</v>
      </c>
      <c r="F752">
        <v>74</v>
      </c>
      <c r="G752">
        <v>4</v>
      </c>
      <c r="H752" s="1">
        <v>6.2500000000000003E-3</v>
      </c>
      <c r="I752" t="s">
        <v>18</v>
      </c>
      <c r="J752" s="2" t="str">
        <f>HYPERLINK("https://www.nba.com/stats/events?CFID=&amp;CFPARAMS=&amp;GameEventID=420&amp;GameID=0041300224&amp;Season=2013-14&amp;flag=1&amp;title=Leonard%208'%20Turnaround%20Fadeaway%20(11%20PTS)", "Leonard 8' Turnaround Fadeaway (11 PTS)")</f>
        <v>Leonard 8' Turnaround Fadeaway (11 PTS)</v>
      </c>
      <c r="K752" s="2" t="str">
        <f>HYPERLINK("https://www.nba.com/game/...-vs-...-0041300224/play-by-play?watchFullGame=true", "SAS vs POR - Q4 09:00.00")</f>
        <v>SAS vs POR - Q4 09:00.00</v>
      </c>
      <c r="L752">
        <v>8</v>
      </c>
      <c r="M752">
        <v>-81</v>
      </c>
      <c r="N752">
        <v>9</v>
      </c>
      <c r="O752">
        <v>-81</v>
      </c>
      <c r="P752">
        <v>9</v>
      </c>
    </row>
    <row r="753" spans="1:16" x14ac:dyDescent="0.25">
      <c r="A753">
        <v>21500040</v>
      </c>
      <c r="B753">
        <v>2015</v>
      </c>
      <c r="C753" t="s">
        <v>32</v>
      </c>
      <c r="D753" t="s">
        <v>24</v>
      </c>
      <c r="E753">
        <v>19</v>
      </c>
      <c r="F753">
        <v>29</v>
      </c>
      <c r="G753">
        <v>2</v>
      </c>
      <c r="H753" s="1">
        <v>5.7754629629629631E-3</v>
      </c>
      <c r="I753" t="s">
        <v>18</v>
      </c>
      <c r="J753" s="2" t="str">
        <f>HYPERLINK("https://www.nba.com/stats/events?CFID=&amp;CFPARAMS=&amp;GameEventID=167&amp;GameID=0021500040&amp;Season=2015-16&amp;flag=1&amp;title=Leonard%208'%20Turnaround%20Jump%20Shot%20(8%20PTS)%20(Duncan%201%20AST)", "Leonard 8' Turnaround Jump Shot (8 PTS) (Duncan 1 AST)")</f>
        <v>Leonard 8' Turnaround Jump Shot (8 PTS) (Duncan 1 AST)</v>
      </c>
      <c r="K753" s="2" t="str">
        <f>HYPERLINK("https://www.nba.com/game/...-vs-...-0021500040/play-by-play?watchFullGame=true", "SAS vs BOS - Q2 08:19.00")</f>
        <v>SAS vs BOS - Q2 08:19.00</v>
      </c>
      <c r="L753">
        <v>8</v>
      </c>
      <c r="M753">
        <v>-81</v>
      </c>
      <c r="N753">
        <v>13</v>
      </c>
      <c r="O753">
        <v>-81</v>
      </c>
      <c r="P753">
        <v>13</v>
      </c>
    </row>
    <row r="754" spans="1:16" x14ac:dyDescent="0.25">
      <c r="A754">
        <v>21500013</v>
      </c>
      <c r="B754">
        <v>2015</v>
      </c>
      <c r="C754" t="s">
        <v>32</v>
      </c>
      <c r="D754" t="s">
        <v>29</v>
      </c>
      <c r="E754">
        <v>108</v>
      </c>
      <c r="F754">
        <v>105</v>
      </c>
      <c r="G754">
        <v>4</v>
      </c>
      <c r="H754" s="1">
        <v>4.861111111111111E-4</v>
      </c>
      <c r="I754" t="s">
        <v>18</v>
      </c>
      <c r="J754" s="2" t="str">
        <f>HYPERLINK("https://www.nba.com/stats/events?CFID=&amp;CFPARAMS=&amp;GameEventID=522&amp;GameID=0021500013&amp;Season=2015-16&amp;flag=1&amp;title=Leonard%2010'%20Pullup%20Jump%20Shot%20(31%20PTS)", "Leonard 10' Pullup Jump Shot (31 PTS)")</f>
        <v>Leonard 10' Pullup Jump Shot (31 PTS)</v>
      </c>
      <c r="K754" s="2" t="str">
        <f>HYPERLINK("https://www.nba.com/game/...-vs-...-0021500013/play-by-play?watchFullGame=true", "SAS vs OKC - Q4 00:42.00")</f>
        <v>SAS vs OKC - Q4 00:42.00</v>
      </c>
      <c r="L754">
        <v>10</v>
      </c>
      <c r="M754">
        <v>-81</v>
      </c>
      <c r="N754">
        <v>51</v>
      </c>
      <c r="O754">
        <v>-81</v>
      </c>
      <c r="P754">
        <v>51</v>
      </c>
    </row>
    <row r="755" spans="1:16" x14ac:dyDescent="0.25">
      <c r="A755">
        <v>21900499</v>
      </c>
      <c r="B755">
        <v>2019</v>
      </c>
      <c r="C755" t="s">
        <v>32</v>
      </c>
      <c r="D755" t="s">
        <v>22</v>
      </c>
      <c r="E755">
        <v>64</v>
      </c>
      <c r="F755">
        <v>79</v>
      </c>
      <c r="G755">
        <v>3</v>
      </c>
      <c r="H755" s="1">
        <v>2.4074074074074076E-3</v>
      </c>
      <c r="I755" t="s">
        <v>23</v>
      </c>
      <c r="J755" s="2" t="str">
        <f>HYPERLINK("https://www.nba.com/stats/events?CFID=&amp;CFPARAMS=&amp;GameEventID=452&amp;GameID=0021900499&amp;Season=2019-20&amp;flag=1&amp;title=Leonard%2012'%20jumpshot%20(22%20PTS)", "12' jumpshot (22 PTS)")</f>
        <v>12' jumpshot (22 PTS)</v>
      </c>
      <c r="K755" s="2" t="str">
        <f>HYPERLINK("https://www.nba.com/game/...-vs-...-0021900499/play-by-play?watchFullGame=true", "LAC vs SAC - Q3 03:28.00")</f>
        <v>LAC vs SAC - Q3 03:28.00</v>
      </c>
      <c r="L755">
        <v>11.73</v>
      </c>
      <c r="M755">
        <v>14.01</v>
      </c>
      <c r="N755">
        <v>66.25</v>
      </c>
      <c r="O755">
        <v>-81</v>
      </c>
      <c r="P755">
        <v>79</v>
      </c>
    </row>
    <row r="756" spans="1:16" x14ac:dyDescent="0.25">
      <c r="A756">
        <v>22200795</v>
      </c>
      <c r="B756">
        <v>2022</v>
      </c>
      <c r="C756" t="s">
        <v>32</v>
      </c>
      <c r="D756" t="s">
        <v>19</v>
      </c>
      <c r="E756">
        <v>68</v>
      </c>
      <c r="F756">
        <v>76</v>
      </c>
      <c r="G756">
        <v>3</v>
      </c>
      <c r="H756" s="1">
        <v>5.2314814814814811E-3</v>
      </c>
      <c r="I756" t="s">
        <v>23</v>
      </c>
      <c r="J756" s="2" t="str">
        <f>HYPERLINK("https://www.nba.com/stats/events?CFID=&amp;CFPARAMS=&amp;GameEventID=348&amp;GameID=0022200795&amp;Season=2022-23&amp;flag=1&amp;title=Leonard%2016'%20pullup%20Jump%20Shot%20(14%20PTS)", "16' pullup Jump Shot (14 PTS)")</f>
        <v>16' pullup Jump Shot (14 PTS)</v>
      </c>
      <c r="K756" s="2" t="str">
        <f>HYPERLINK("https://www.nba.com/game/...-vs-...-0022200795/play-by-play?watchFullGame=true", "LAC vs NYK - Q3 07:32.00")</f>
        <v>LAC vs NYK - Q3 07:32.00</v>
      </c>
      <c r="L756">
        <v>16.36</v>
      </c>
      <c r="M756">
        <v>20.71</v>
      </c>
      <c r="N756">
        <v>66.180000000000007</v>
      </c>
      <c r="O756">
        <v>-81</v>
      </c>
      <c r="P756">
        <v>142</v>
      </c>
    </row>
    <row r="757" spans="1:16" x14ac:dyDescent="0.25">
      <c r="A757">
        <v>21601099</v>
      </c>
      <c r="B757">
        <v>2016</v>
      </c>
      <c r="C757" t="s">
        <v>32</v>
      </c>
      <c r="D757" t="s">
        <v>29</v>
      </c>
      <c r="E757">
        <v>42</v>
      </c>
      <c r="F757">
        <v>32</v>
      </c>
      <c r="G757">
        <v>2</v>
      </c>
      <c r="H757" s="1">
        <v>4.3981481481481484E-3</v>
      </c>
      <c r="I757" t="s">
        <v>18</v>
      </c>
      <c r="J757" s="2" t="str">
        <f>HYPERLINK("https://www.nba.com/stats/events?CFID=&amp;CFPARAMS=&amp;GameEventID=191&amp;GameID=0021601099&amp;Season=2016-17&amp;flag=1&amp;title=Leonard%2017'%20Pullup%20Jump%20Shot%20(8%20PTS)", "Leonard 17' Pullup Jump Shot (8 PTS)")</f>
        <v>Leonard 17' Pullup Jump Shot (8 PTS)</v>
      </c>
      <c r="K757" s="2" t="str">
        <f>HYPERLINK("https://www.nba.com/game/...-vs-...-0021601099/play-by-play?watchFullGame=true", "SAS vs CLE - Q2 06:20.00")</f>
        <v>SAS vs CLE - Q2 06:20.00</v>
      </c>
      <c r="L757">
        <v>17</v>
      </c>
      <c r="M757">
        <v>-81</v>
      </c>
      <c r="N757">
        <v>144</v>
      </c>
      <c r="O757">
        <v>-81</v>
      </c>
      <c r="P757">
        <v>144</v>
      </c>
    </row>
    <row r="758" spans="1:16" x14ac:dyDescent="0.25">
      <c r="A758">
        <v>21500516</v>
      </c>
      <c r="B758">
        <v>2015</v>
      </c>
      <c r="C758" t="s">
        <v>32</v>
      </c>
      <c r="D758" t="s">
        <v>19</v>
      </c>
      <c r="E758">
        <v>22</v>
      </c>
      <c r="F758">
        <v>20</v>
      </c>
      <c r="G758">
        <v>1</v>
      </c>
      <c r="H758" s="1">
        <v>2.476851851851852E-3</v>
      </c>
      <c r="I758" t="s">
        <v>18</v>
      </c>
      <c r="J758" s="2" t="str">
        <f>HYPERLINK("https://www.nba.com/stats/events?CFID=&amp;CFPARAMS=&amp;GameEventID=79&amp;GameID=0021500516&amp;Season=2015-16&amp;flag=1&amp;title=Leonard%2019'%20Jump%20Shot%20(9%20PTS)%20(Ginobili%201%20AST)", "Leonard 19' Jump Shot (9 PTS) (Ginobili 1 AST)")</f>
        <v>Leonard 19' Jump Shot (9 PTS) (Ginobili 1 AST)</v>
      </c>
      <c r="K758" s="2" t="str">
        <f>HYPERLINK("https://www.nba.com/game/...-vs-...-0021500516/play-by-play?watchFullGame=true", "SAS vs MIL - Q1 03:34.00")</f>
        <v>SAS vs MIL - Q1 03:34.00</v>
      </c>
      <c r="L758">
        <v>19</v>
      </c>
      <c r="M758">
        <v>-81</v>
      </c>
      <c r="N758">
        <v>174</v>
      </c>
      <c r="O758">
        <v>-81</v>
      </c>
      <c r="P758">
        <v>174</v>
      </c>
    </row>
    <row r="759" spans="1:16" x14ac:dyDescent="0.25">
      <c r="A759">
        <v>22300037</v>
      </c>
      <c r="B759">
        <v>2023</v>
      </c>
      <c r="C759" t="s">
        <v>32</v>
      </c>
      <c r="D759" t="s">
        <v>19</v>
      </c>
      <c r="E759">
        <v>89</v>
      </c>
      <c r="F759">
        <v>92</v>
      </c>
      <c r="G759">
        <v>4</v>
      </c>
      <c r="H759" s="1">
        <v>5.092592592592593E-3</v>
      </c>
      <c r="I759" t="s">
        <v>23</v>
      </c>
      <c r="J759" s="2" t="str">
        <f>HYPERLINK("https://www.nba.com/stats/events?CFID=&amp;CFPARAMS=&amp;GameEventID=593&amp;GameID=0022300037&amp;Season=2023-24&amp;flag=1&amp;title=Leonard%2010'%20turnaround%20fadeaway%20Jump%20Shot%20(24%20PTS)", "10' turnaround fadeaway Jump Shot (24 PTS)")</f>
        <v>10' turnaround fadeaway Jump Shot (24 PTS)</v>
      </c>
      <c r="K759" s="2" t="str">
        <f>HYPERLINK("https://www.nba.com/game/...-vs-...-0022300037/play-by-play?watchFullGame=true", "LAC vs HOU - Q4 07:20.00")</f>
        <v>LAC vs HOU - Q4 07:20.00</v>
      </c>
      <c r="L759">
        <v>10.48</v>
      </c>
      <c r="M759">
        <v>87.17</v>
      </c>
      <c r="N759">
        <v>34.07</v>
      </c>
      <c r="O759">
        <v>-80</v>
      </c>
      <c r="P759">
        <v>68</v>
      </c>
    </row>
    <row r="760" spans="1:16" x14ac:dyDescent="0.25">
      <c r="A760">
        <v>22300179</v>
      </c>
      <c r="B760">
        <v>2023</v>
      </c>
      <c r="C760" t="s">
        <v>32</v>
      </c>
      <c r="D760" t="s">
        <v>19</v>
      </c>
      <c r="E760">
        <v>11</v>
      </c>
      <c r="F760">
        <v>19</v>
      </c>
      <c r="G760">
        <v>1</v>
      </c>
      <c r="H760" s="1">
        <v>3.8310185185185183E-3</v>
      </c>
      <c r="I760" t="s">
        <v>23</v>
      </c>
      <c r="J760" s="2" t="str">
        <f>HYPERLINK("https://www.nba.com/stats/events?CFID=&amp;CFPARAMS=&amp;GameEventID=78&amp;GameID=0022300179&amp;Season=2023-24&amp;flag=1&amp;title=Leonard%2011'%20fadeaway%20Jump%20Shot%20(6%20PTS)%20(N.%20Powell%201%20AST)", "11' fadeaway Jump Shot (6 PTS) (N. Powell 1 AST)")</f>
        <v>11' fadeaway Jump Shot (6 PTS) (N. Powell 1 AST)</v>
      </c>
      <c r="K760" s="2" t="str">
        <f>HYPERLINK("https://www.nba.com/game/...-vs-...-0022300179/play-by-play?watchFullGame=true", "LAC vs MEM - Q1 05:31.00")</f>
        <v>LAC vs MEM - Q1 05:31.00</v>
      </c>
      <c r="L760">
        <v>11.84</v>
      </c>
      <c r="M760">
        <v>14.9</v>
      </c>
      <c r="N760">
        <v>65.930000000000007</v>
      </c>
      <c r="O760">
        <v>-80</v>
      </c>
      <c r="P760">
        <v>88</v>
      </c>
    </row>
    <row r="761" spans="1:16" x14ac:dyDescent="0.25">
      <c r="A761">
        <v>22000308</v>
      </c>
      <c r="B761">
        <v>2020</v>
      </c>
      <c r="C761" t="s">
        <v>32</v>
      </c>
      <c r="D761" t="s">
        <v>19</v>
      </c>
      <c r="E761">
        <v>72</v>
      </c>
      <c r="F761">
        <v>79</v>
      </c>
      <c r="G761">
        <v>3</v>
      </c>
      <c r="H761" s="1">
        <v>5.4745370370370373E-3</v>
      </c>
      <c r="I761" t="s">
        <v>23</v>
      </c>
      <c r="J761" s="2" t="str">
        <f>HYPERLINK("https://www.nba.com/stats/events?CFID=&amp;CFPARAMS=&amp;GameEventID=351&amp;GameID=0022000308&amp;Season=2020-21&amp;flag=1&amp;title=Leonard%208'%20turnaround%20fadeaway%20Jump%20Shot%20(16%20PTS)", "8' turnaround fadeaway Jump Shot (16 PTS)")</f>
        <v>8' turnaround fadeaway Jump Shot (16 PTS)</v>
      </c>
      <c r="K761" s="2" t="str">
        <f>HYPERLINK("https://www.nba.com/game/...-vs-...-0022000308/play-by-play?watchFullGame=true", "LAC vs NYK - Q3 07:53.00")</f>
        <v>LAC vs NYK - Q3 07:53.00</v>
      </c>
      <c r="L761">
        <v>8.17</v>
      </c>
      <c r="M761">
        <v>92.33</v>
      </c>
      <c r="N761">
        <v>34.14</v>
      </c>
      <c r="O761">
        <v>-79</v>
      </c>
      <c r="P761">
        <v>20</v>
      </c>
    </row>
    <row r="762" spans="1:16" x14ac:dyDescent="0.25">
      <c r="A762">
        <v>21600605</v>
      </c>
      <c r="B762">
        <v>2016</v>
      </c>
      <c r="C762" t="s">
        <v>32</v>
      </c>
      <c r="D762" t="s">
        <v>19</v>
      </c>
      <c r="E762">
        <v>64</v>
      </c>
      <c r="F762">
        <v>72</v>
      </c>
      <c r="G762">
        <v>3</v>
      </c>
      <c r="H762" s="1">
        <v>4.43287037037037E-3</v>
      </c>
      <c r="I762" t="s">
        <v>18</v>
      </c>
      <c r="J762" s="2" t="str">
        <f>HYPERLINK("https://www.nba.com/stats/events?CFID=&amp;CFPARAMS=&amp;GameEventID=337&amp;GameID=0021600605&amp;Season=2016-17&amp;flag=1&amp;title=Leonard%2016'%20Jump%20Shot%20(26%20PTS)", "Leonard 16' Jump Shot (26 PTS)")</f>
        <v>Leonard 16' Jump Shot (26 PTS)</v>
      </c>
      <c r="K762" s="2" t="str">
        <f>HYPERLINK("https://www.nba.com/game/...-vs-...-0021600605/play-by-play?watchFullGame=true", "SAS vs PHX - Q3 06:23.00")</f>
        <v>SAS vs PHX - Q3 06:23.00</v>
      </c>
      <c r="L762">
        <v>16</v>
      </c>
      <c r="M762">
        <v>-79</v>
      </c>
      <c r="N762">
        <v>134</v>
      </c>
      <c r="O762">
        <v>-79</v>
      </c>
      <c r="P762">
        <v>134</v>
      </c>
    </row>
    <row r="763" spans="1:16" x14ac:dyDescent="0.25">
      <c r="A763">
        <v>21300573</v>
      </c>
      <c r="B763">
        <v>2013</v>
      </c>
      <c r="C763" t="s">
        <v>16</v>
      </c>
      <c r="D763" t="s">
        <v>19</v>
      </c>
      <c r="E763">
        <v>18</v>
      </c>
      <c r="F763">
        <v>9</v>
      </c>
      <c r="G763">
        <v>1</v>
      </c>
      <c r="H763" s="1">
        <v>3.7037037037037038E-3</v>
      </c>
      <c r="I763" t="s">
        <v>18</v>
      </c>
      <c r="J763" s="2" t="str">
        <f>HYPERLINK("https://www.nba.com/stats/events?CFID=&amp;CFPARAMS=&amp;GameEventID=62&amp;GameID=0021300573&amp;Season=2013-14&amp;flag=1&amp;title=Leonard%2024'%203PT%20Jump%20Shot%20(7%20PTS)%20(Duncan%202%20AST)", "Leonard 24' 3PT Jump Shot (7 PTS) (Duncan 2 AST)")</f>
        <v>Leonard 24' 3PT Jump Shot (7 PTS) (Duncan 2 AST)</v>
      </c>
      <c r="K763" s="2" t="str">
        <f>HYPERLINK("https://www.nba.com/game/...-vs-...-0021300573/play-by-play?watchFullGame=true", "SAS vs UTA - Q1 05:20.00")</f>
        <v>SAS vs UTA - Q1 05:20.00</v>
      </c>
      <c r="L763">
        <v>24</v>
      </c>
      <c r="M763">
        <v>-79</v>
      </c>
      <c r="N763">
        <v>231</v>
      </c>
      <c r="O763">
        <v>-79</v>
      </c>
      <c r="P763">
        <v>231</v>
      </c>
    </row>
    <row r="764" spans="1:16" x14ac:dyDescent="0.25">
      <c r="A764">
        <v>21600942</v>
      </c>
      <c r="B764">
        <v>2016</v>
      </c>
      <c r="C764" t="s">
        <v>16</v>
      </c>
      <c r="D764" t="s">
        <v>29</v>
      </c>
      <c r="E764">
        <v>110</v>
      </c>
      <c r="F764">
        <v>108</v>
      </c>
      <c r="G764">
        <v>4</v>
      </c>
      <c r="H764" s="1">
        <v>2.9398148148148149E-4</v>
      </c>
      <c r="I764" t="s">
        <v>18</v>
      </c>
      <c r="J764" s="2" t="str">
        <f>HYPERLINK("https://www.nba.com/stats/events?CFID=&amp;CFPARAMS=&amp;GameEventID=504&amp;GameID=0021600942&amp;Season=2016-17&amp;flag=1&amp;title=Leonard%2025'%203PT%20Pullup%20Jump%20Shot%20(37%20PTS)", "Leonard 25' 3PT Pullup Jump Shot (37 PTS)")</f>
        <v>Leonard 25' 3PT Pullup Jump Shot (37 PTS)</v>
      </c>
      <c r="K764" s="2" t="str">
        <f>HYPERLINK("https://www.nba.com/game/...-vs-...-0021600942/play-by-play?watchFullGame=true", "SAS vs HOU - Q4 00:25.40")</f>
        <v>SAS vs HOU - Q4 00:25.40</v>
      </c>
      <c r="L764">
        <v>25</v>
      </c>
      <c r="M764">
        <v>-79</v>
      </c>
      <c r="N764">
        <v>242</v>
      </c>
      <c r="O764">
        <v>-79</v>
      </c>
      <c r="P764">
        <v>242</v>
      </c>
    </row>
    <row r="765" spans="1:16" x14ac:dyDescent="0.25">
      <c r="A765">
        <v>21400361</v>
      </c>
      <c r="B765">
        <v>2014</v>
      </c>
      <c r="C765" t="s">
        <v>32</v>
      </c>
      <c r="D765" t="s">
        <v>29</v>
      </c>
      <c r="E765">
        <v>50</v>
      </c>
      <c r="F765">
        <v>45</v>
      </c>
      <c r="G765">
        <v>3</v>
      </c>
      <c r="H765" s="1">
        <v>7.8819444444444449E-3</v>
      </c>
      <c r="I765" t="s">
        <v>18</v>
      </c>
      <c r="J765" s="2" t="str">
        <f>HYPERLINK("https://www.nba.com/stats/events?CFID=&amp;CFPARAMS=&amp;GameEventID=255&amp;GameID=0021400361&amp;Season=2014-15&amp;flag=1&amp;title=Leonard%208'%20Pullup%20Jump%20Shot%20(11%20PTS)%20(Diaw%207%20AST)", "Leonard 8' Pullup Jump Shot (11 PTS) (Diaw 7 AST)")</f>
        <v>Leonard 8' Pullup Jump Shot (11 PTS) (Diaw 7 AST)</v>
      </c>
      <c r="K765" s="2" t="str">
        <f>HYPERLINK("https://www.nba.com/game/...-vs-...-0021400361/play-by-play?watchFullGame=true", "SAS vs POR - Q3 11:21.00")</f>
        <v>SAS vs POR - Q3 11:21.00</v>
      </c>
      <c r="L765">
        <v>8</v>
      </c>
      <c r="M765">
        <v>-78</v>
      </c>
      <c r="N765">
        <v>0</v>
      </c>
      <c r="O765">
        <v>-78</v>
      </c>
      <c r="P765">
        <v>0</v>
      </c>
    </row>
    <row r="766" spans="1:16" x14ac:dyDescent="0.25">
      <c r="A766">
        <v>41800301</v>
      </c>
      <c r="B766" t="s">
        <v>20</v>
      </c>
      <c r="C766" t="s">
        <v>32</v>
      </c>
      <c r="D766" t="s">
        <v>29</v>
      </c>
      <c r="E766">
        <v>49</v>
      </c>
      <c r="F766">
        <v>55</v>
      </c>
      <c r="G766">
        <v>2</v>
      </c>
      <c r="H766" s="1">
        <v>7.0601851851851847E-4</v>
      </c>
      <c r="I766" t="s">
        <v>21</v>
      </c>
      <c r="J766" s="2" t="str">
        <f>HYPERLINK("https://www.nba.com/stats/events?CFID=&amp;CFPARAMS=&amp;GameEventID=296&amp;GameID=0041800301&amp;Season=2018-19&amp;flag=1&amp;title=Leonard%208'%20Pullup%20Jump%20Shot%20(11%20PTS)", "Leonard 8' Pullup Jump Shot (11 PTS)")</f>
        <v>Leonard 8' Pullup Jump Shot (11 PTS)</v>
      </c>
      <c r="K766" s="2" t="str">
        <f>HYPERLINK("https://www.nba.com/game/...-vs-...-0041800301/play-by-play?watchFullGame=true", "TOR vs MIL - Q2 01:01.00")</f>
        <v>TOR vs MIL - Q2 01:01.00</v>
      </c>
      <c r="L766">
        <v>8</v>
      </c>
      <c r="M766">
        <v>-78</v>
      </c>
      <c r="N766">
        <v>16</v>
      </c>
      <c r="O766">
        <v>-78</v>
      </c>
      <c r="P766">
        <v>16</v>
      </c>
    </row>
    <row r="767" spans="1:16" x14ac:dyDescent="0.25">
      <c r="A767">
        <v>21501063</v>
      </c>
      <c r="B767">
        <v>2015</v>
      </c>
      <c r="C767" t="s">
        <v>32</v>
      </c>
      <c r="D767" t="s">
        <v>35</v>
      </c>
      <c r="E767">
        <v>18</v>
      </c>
      <c r="F767">
        <v>13</v>
      </c>
      <c r="G767">
        <v>1</v>
      </c>
      <c r="H767" s="1">
        <v>2.8240740740740739E-3</v>
      </c>
      <c r="I767" t="s">
        <v>18</v>
      </c>
      <c r="J767" s="2" t="str">
        <f>HYPERLINK("https://www.nba.com/stats/events?CFID=&amp;CFPARAMS=&amp;GameEventID=55&amp;GameID=0021501063&amp;Season=2015-16&amp;flag=1&amp;title=Leonard%208'%20Driving%20Floating%20Jump%20Shot%20(10%20PTS)", "Leonard 8' Driving Floating Jump Shot (10 PTS)")</f>
        <v>Leonard 8' Driving Floating Jump Shot (10 PTS)</v>
      </c>
      <c r="K767" s="2" t="str">
        <f>HYPERLINK("https://www.nba.com/game/...-vs-...-0021501063/play-by-play?watchFullGame=true", "SAS vs MIA - Q1 04:04.00")</f>
        <v>SAS vs MIA - Q1 04:04.00</v>
      </c>
      <c r="L767">
        <v>8</v>
      </c>
      <c r="M767">
        <v>-78</v>
      </c>
      <c r="N767">
        <v>26</v>
      </c>
      <c r="O767">
        <v>-78</v>
      </c>
      <c r="P767">
        <v>26</v>
      </c>
    </row>
    <row r="768" spans="1:16" x14ac:dyDescent="0.25">
      <c r="A768">
        <v>21500364</v>
      </c>
      <c r="B768">
        <v>2015</v>
      </c>
      <c r="C768" t="s">
        <v>32</v>
      </c>
      <c r="D768" t="s">
        <v>24</v>
      </c>
      <c r="E768">
        <v>47</v>
      </c>
      <c r="F768">
        <v>24</v>
      </c>
      <c r="G768">
        <v>2</v>
      </c>
      <c r="H768" s="1">
        <v>3.6574074074074074E-3</v>
      </c>
      <c r="I768" t="s">
        <v>18</v>
      </c>
      <c r="J768" s="2" t="str">
        <f>HYPERLINK("https://www.nba.com/stats/events?CFID=&amp;CFPARAMS=&amp;GameEventID=191&amp;GameID=0021500364&amp;Season=2015-16&amp;flag=1&amp;title=Leonard%2016'%20Turnaround%20Jump%20Shot%20(6%20PTS)", "Leonard 16' Turnaround Jump Shot (6 PTS)")</f>
        <v>Leonard 16' Turnaround Jump Shot (6 PTS)</v>
      </c>
      <c r="K768" s="2" t="str">
        <f>HYPERLINK("https://www.nba.com/game/...-vs-...-0021500364/play-by-play?watchFullGame=true", "SAS vs UTA - Q2 05:16.00")</f>
        <v>SAS vs UTA - Q2 05:16.00</v>
      </c>
      <c r="L768">
        <v>16</v>
      </c>
      <c r="M768">
        <v>-78</v>
      </c>
      <c r="N768">
        <v>141</v>
      </c>
      <c r="O768">
        <v>-78</v>
      </c>
      <c r="P768">
        <v>141</v>
      </c>
    </row>
    <row r="769" spans="1:16" x14ac:dyDescent="0.25">
      <c r="A769">
        <v>41300404</v>
      </c>
      <c r="B769" t="s">
        <v>26</v>
      </c>
      <c r="C769" t="s">
        <v>32</v>
      </c>
      <c r="D769" t="s">
        <v>19</v>
      </c>
      <c r="E769">
        <v>66</v>
      </c>
      <c r="F769">
        <v>89</v>
      </c>
      <c r="G769">
        <v>4</v>
      </c>
      <c r="H769" s="1">
        <v>5.4050925925925924E-3</v>
      </c>
      <c r="I769" t="s">
        <v>18</v>
      </c>
      <c r="J769" s="2" t="str">
        <f>HYPERLINK("https://www.nba.com/stats/events?CFID=&amp;CFPARAMS=&amp;GameEventID=410&amp;GameID=0041300404&amp;Season=2013-14&amp;flag=1&amp;title=Leonard%2017'%20Jump%20Shot%20(18%20PTS)%20(Ginobili%202%20AST)", "Leonard 17' Jump Shot (18 PTS) (Ginobili 2 AST)")</f>
        <v>Leonard 17' Jump Shot (18 PTS) (Ginobili 2 AST)</v>
      </c>
      <c r="K769" s="2" t="str">
        <f>HYPERLINK("https://www.nba.com/game/...-vs-...-0041300404/play-by-play?watchFullGame=true", "SAS vs MIA - Q4 07:47.00")</f>
        <v>SAS vs MIA - Q4 07:47.00</v>
      </c>
      <c r="L769">
        <v>17</v>
      </c>
      <c r="M769">
        <v>-78</v>
      </c>
      <c r="N769">
        <v>148</v>
      </c>
      <c r="O769">
        <v>-78</v>
      </c>
      <c r="P769">
        <v>148</v>
      </c>
    </row>
    <row r="770" spans="1:16" x14ac:dyDescent="0.25">
      <c r="A770">
        <v>22400783</v>
      </c>
      <c r="B770">
        <v>2024</v>
      </c>
      <c r="C770" t="s">
        <v>32</v>
      </c>
      <c r="D770" t="s">
        <v>19</v>
      </c>
      <c r="E770">
        <v>30</v>
      </c>
      <c r="F770">
        <v>39</v>
      </c>
      <c r="G770">
        <v>2</v>
      </c>
      <c r="H770" s="1">
        <v>8.1365740740740738E-3</v>
      </c>
      <c r="I770" t="s">
        <v>23</v>
      </c>
      <c r="J770" s="2" t="str">
        <f>HYPERLINK("https://www.nba.com/stats/events?CFID=&amp;CFPARAMS=&amp;GameEventID=167&amp;GameID=0022400783&amp;Season=2024-25&amp;flag=1&amp;title=Leonard%2016'%20Jump%20Shot%20(9%20PTS)", "16' Jump Shot (9 PTS)")</f>
        <v>16' Jump Shot (9 PTS)</v>
      </c>
      <c r="K770" s="2" t="str">
        <f>HYPERLINK("https://www.nba.com/game/...-vs-...-0022400783/play-by-play?watchFullGame=true", "LAC vs MEM - Q2 11:43.00")</f>
        <v>LAC vs MEM - Q2 11:43.00</v>
      </c>
      <c r="L770">
        <v>16.8</v>
      </c>
      <c r="M770">
        <v>21.42</v>
      </c>
      <c r="N770">
        <v>65.61</v>
      </c>
      <c r="O770">
        <v>-78</v>
      </c>
      <c r="P770">
        <v>149</v>
      </c>
    </row>
    <row r="771" spans="1:16" x14ac:dyDescent="0.25">
      <c r="A771">
        <v>22300799</v>
      </c>
      <c r="B771">
        <v>2023</v>
      </c>
      <c r="C771" t="s">
        <v>32</v>
      </c>
      <c r="D771" t="s">
        <v>19</v>
      </c>
      <c r="E771">
        <v>66</v>
      </c>
      <c r="F771">
        <v>65</v>
      </c>
      <c r="G771">
        <v>3</v>
      </c>
      <c r="H771" s="1">
        <v>6.7592592592592591E-3</v>
      </c>
      <c r="I771" t="s">
        <v>23</v>
      </c>
      <c r="J771" s="2" t="str">
        <f>HYPERLINK("https://www.nba.com/stats/events?CFID=&amp;CFPARAMS=&amp;GameEventID=338&amp;GameID=0022300799&amp;Season=2023-24&amp;flag=1&amp;title=Leonard%2018'%20pullup%20Jump%20Shot%20(16%20PTS)", "18' pullup Jump Shot (16 PTS)")</f>
        <v>18' pullup Jump Shot (16 PTS)</v>
      </c>
      <c r="K771" s="2" t="str">
        <f>HYPERLINK("https://www.nba.com/game/...-vs-...-0022300799/play-by-play?watchFullGame=true", "LAC vs OKC - Q3 09:44.00")</f>
        <v>LAC vs OKC - Q3 09:44.00</v>
      </c>
      <c r="L771">
        <v>18.190000000000001</v>
      </c>
      <c r="M771">
        <v>76.95</v>
      </c>
      <c r="N771">
        <v>34.31</v>
      </c>
      <c r="O771">
        <v>-78</v>
      </c>
      <c r="P771">
        <v>164</v>
      </c>
    </row>
    <row r="772" spans="1:16" x14ac:dyDescent="0.25">
      <c r="A772">
        <v>22000488</v>
      </c>
      <c r="B772">
        <v>2020</v>
      </c>
      <c r="C772" t="s">
        <v>32</v>
      </c>
      <c r="D772" t="s">
        <v>19</v>
      </c>
      <c r="E772">
        <v>123</v>
      </c>
      <c r="F772">
        <v>106</v>
      </c>
      <c r="G772">
        <v>4</v>
      </c>
      <c r="H772" s="1">
        <v>3.3796296296296296E-3</v>
      </c>
      <c r="I772" t="s">
        <v>23</v>
      </c>
      <c r="J772" s="2" t="str">
        <f>HYPERLINK("https://www.nba.com/stats/events?CFID=&amp;CFPARAMS=&amp;GameEventID=548&amp;GameID=0022000488&amp;Season=2020-21&amp;flag=1&amp;title=Leonard%2018'%20Jump%20Shot%20(29%20PTS)", "18' Jump Shot (29 PTS)")</f>
        <v>18' Jump Shot (29 PTS)</v>
      </c>
      <c r="K772" s="2" t="str">
        <f>HYPERLINK("https://www.nba.com/game/...-vs-...-0022000488/play-by-play?watchFullGame=true", "LAC vs WAS - Q4 04:52.00")</f>
        <v>LAC vs WAS - Q4 04:52.00</v>
      </c>
      <c r="L772">
        <v>18.63</v>
      </c>
      <c r="M772">
        <v>23.6</v>
      </c>
      <c r="N772">
        <v>65.510000000000005</v>
      </c>
      <c r="O772">
        <v>-78</v>
      </c>
      <c r="P772">
        <v>169</v>
      </c>
    </row>
    <row r="773" spans="1:16" x14ac:dyDescent="0.25">
      <c r="A773">
        <v>22200701</v>
      </c>
      <c r="B773">
        <v>2022</v>
      </c>
      <c r="C773" t="s">
        <v>32</v>
      </c>
      <c r="D773" t="s">
        <v>19</v>
      </c>
      <c r="E773">
        <v>16</v>
      </c>
      <c r="F773">
        <v>22</v>
      </c>
      <c r="G773">
        <v>1</v>
      </c>
      <c r="H773" s="1">
        <v>6.3888888888888893E-4</v>
      </c>
      <c r="I773" t="s">
        <v>23</v>
      </c>
      <c r="J773" s="2" t="str">
        <f>HYPERLINK("https://www.nba.com/stats/events?CFID=&amp;CFPARAMS=&amp;GameEventID=138&amp;GameID=0022200701&amp;Season=2022-23&amp;flag=1&amp;title=Leonard%2019'%20pullup%20Jump%20Shot%20(7%20PTS)", "19' pullup Jump Shot (7 PTS)")</f>
        <v>19' pullup Jump Shot (7 PTS)</v>
      </c>
      <c r="K773" s="2" t="str">
        <f>HYPERLINK("https://www.nba.com/game/...-vs-...-0022200701/play-by-play?watchFullGame=true", "LAC vs DAL - Q1 00:55.20")</f>
        <v>LAC vs DAL - Q1 00:55.20</v>
      </c>
      <c r="L773">
        <v>19.760000000000002</v>
      </c>
      <c r="M773">
        <v>75.11</v>
      </c>
      <c r="N773">
        <v>34.31</v>
      </c>
      <c r="O773">
        <v>-78</v>
      </c>
      <c r="P773">
        <v>181</v>
      </c>
    </row>
    <row r="774" spans="1:16" x14ac:dyDescent="0.25">
      <c r="A774">
        <v>22000387</v>
      </c>
      <c r="B774">
        <v>2020</v>
      </c>
      <c r="C774" t="s">
        <v>16</v>
      </c>
      <c r="D774" t="s">
        <v>19</v>
      </c>
      <c r="E774">
        <v>99</v>
      </c>
      <c r="F774">
        <v>112</v>
      </c>
      <c r="G774">
        <v>4</v>
      </c>
      <c r="H774" s="1">
        <v>8.6805555555555551E-4</v>
      </c>
      <c r="I774" t="s">
        <v>23</v>
      </c>
      <c r="J774" s="2" t="str">
        <f>HYPERLINK("https://www.nba.com/stats/events?CFID=&amp;CFPARAMS=&amp;GameEventID=646&amp;GameID=0022000387&amp;Season=2020-21&amp;flag=1&amp;title=Leonard%2025'%203PT%20step%20back%20(36%20PTS)", "25' 3PT step back (36 PTS)")</f>
        <v>25' 3PT step back (36 PTS)</v>
      </c>
      <c r="K774" s="2" t="str">
        <f>HYPERLINK("https://www.nba.com/game/...-vs-...-0022000387/play-by-play?watchFullGame=true", "LAC vs MIN - Q4 01:15.00")</f>
        <v>LAC vs MIN - Q4 01:15.00</v>
      </c>
      <c r="L774">
        <v>25.67</v>
      </c>
      <c r="M774">
        <v>31.62</v>
      </c>
      <c r="N774">
        <v>65.510000000000005</v>
      </c>
      <c r="O774">
        <v>-78</v>
      </c>
      <c r="P774">
        <v>245</v>
      </c>
    </row>
    <row r="775" spans="1:16" x14ac:dyDescent="0.25">
      <c r="A775">
        <v>22000400</v>
      </c>
      <c r="B775">
        <v>2020</v>
      </c>
      <c r="C775" t="s">
        <v>32</v>
      </c>
      <c r="D775" t="s">
        <v>19</v>
      </c>
      <c r="E775">
        <v>12</v>
      </c>
      <c r="F775">
        <v>24</v>
      </c>
      <c r="G775">
        <v>1</v>
      </c>
      <c r="H775" s="1">
        <v>1.8402777777777777E-3</v>
      </c>
      <c r="I775" t="s">
        <v>23</v>
      </c>
      <c r="J775" s="2" t="str">
        <f>HYPERLINK("https://www.nba.com/stats/events?CFID=&amp;CFPARAMS=&amp;GameEventID=124&amp;GameID=0022000400&amp;Season=2020-21&amp;flag=1&amp;title=Leonard%2015'%20pullup%20Jump%20Shot%20(4%20PTS)", "15' pullup Jump Shot (4 PTS)")</f>
        <v>15' pullup Jump Shot (4 PTS)</v>
      </c>
      <c r="K775" s="2" t="str">
        <f>HYPERLINK("https://www.nba.com/game/...-vs-...-0022000400/play-by-play?watchFullGame=true", "LAC vs CHI - Q1 02:39.00")</f>
        <v>LAC vs CHI - Q1 02:39.00</v>
      </c>
      <c r="L775">
        <v>15.71</v>
      </c>
      <c r="M775">
        <v>79.849999999999994</v>
      </c>
      <c r="N775">
        <v>34.630000000000003</v>
      </c>
      <c r="O775">
        <v>-77</v>
      </c>
      <c r="P775">
        <v>137</v>
      </c>
    </row>
    <row r="776" spans="1:16" x14ac:dyDescent="0.25">
      <c r="A776">
        <v>41400162</v>
      </c>
      <c r="B776" t="s">
        <v>28</v>
      </c>
      <c r="C776" t="s">
        <v>32</v>
      </c>
      <c r="D776" t="s">
        <v>19</v>
      </c>
      <c r="E776">
        <v>58</v>
      </c>
      <c r="F776">
        <v>61</v>
      </c>
      <c r="G776">
        <v>3</v>
      </c>
      <c r="H776" s="1">
        <v>3.6458333333333334E-3</v>
      </c>
      <c r="I776" t="s">
        <v>18</v>
      </c>
      <c r="J776" s="2" t="str">
        <f>HYPERLINK("https://www.nba.com/stats/events?CFID=&amp;CFPARAMS=&amp;GameEventID=308&amp;GameID=0041400162&amp;Season=2014-15&amp;flag=1&amp;title=Leonard%208'%20Jump%20Shot%20(15%20PTS)%20(Ginobili%201%20AST)", "Leonard 8' Jump Shot (15 PTS) (Ginobili 1 AST)")</f>
        <v>Leonard 8' Jump Shot (15 PTS) (Ginobili 1 AST)</v>
      </c>
      <c r="K776" s="2" t="str">
        <f>HYPERLINK("https://www.nba.com/game/...-vs-...-0041400162/play-by-play?watchFullGame=true", "SAS vs LAC - Q3 05:15.00")</f>
        <v>SAS vs LAC - Q3 05:15.00</v>
      </c>
      <c r="L776">
        <v>8</v>
      </c>
      <c r="M776">
        <v>-76</v>
      </c>
      <c r="N776">
        <v>-16</v>
      </c>
      <c r="O776">
        <v>-76</v>
      </c>
      <c r="P776">
        <v>-16</v>
      </c>
    </row>
    <row r="777" spans="1:16" x14ac:dyDescent="0.25">
      <c r="A777">
        <v>21601085</v>
      </c>
      <c r="B777">
        <v>2016</v>
      </c>
      <c r="C777" t="s">
        <v>32</v>
      </c>
      <c r="D777" t="s">
        <v>37</v>
      </c>
      <c r="E777">
        <v>52</v>
      </c>
      <c r="F777">
        <v>35</v>
      </c>
      <c r="G777">
        <v>2</v>
      </c>
      <c r="H777" s="1">
        <v>2.1875000000000002E-3</v>
      </c>
      <c r="I777" t="s">
        <v>18</v>
      </c>
      <c r="J777" s="2" t="str">
        <f>HYPERLINK("https://www.nba.com/stats/events?CFID=&amp;CFPARAMS=&amp;GameEventID=225&amp;GameID=0021601085&amp;Season=2016-17&amp;flag=1&amp;title=Leonard%208'%20Floating%20Jump%20Shot%20(14%20PTS)%20(Ginobili%203%20AST)", "Leonard 8' Floating Jump Shot (14 PTS) (Ginobili 3 AST)")</f>
        <v>Leonard 8' Floating Jump Shot (14 PTS) (Ginobili 3 AST)</v>
      </c>
      <c r="K777" s="2" t="str">
        <f>HYPERLINK("https://www.nba.com/game/...-vs-...-0021601085/play-by-play?watchFullGame=true", "SAS vs NYK - Q2 03:09.00")</f>
        <v>SAS vs NYK - Q2 03:09.00</v>
      </c>
      <c r="L777">
        <v>8</v>
      </c>
      <c r="M777">
        <v>-76</v>
      </c>
      <c r="N777">
        <v>21</v>
      </c>
      <c r="O777">
        <v>-76</v>
      </c>
      <c r="P777">
        <v>21</v>
      </c>
    </row>
    <row r="778" spans="1:16" x14ac:dyDescent="0.25">
      <c r="A778">
        <v>21600383</v>
      </c>
      <c r="B778">
        <v>2016</v>
      </c>
      <c r="C778" t="s">
        <v>32</v>
      </c>
      <c r="D778" t="s">
        <v>17</v>
      </c>
      <c r="E778">
        <v>106</v>
      </c>
      <c r="F778">
        <v>97</v>
      </c>
      <c r="G778">
        <v>4</v>
      </c>
      <c r="H778" s="1">
        <v>7.0601851851851847E-4</v>
      </c>
      <c r="I778" t="s">
        <v>18</v>
      </c>
      <c r="J778" s="2" t="str">
        <f>HYPERLINK("https://www.nba.com/stats/events?CFID=&amp;CFPARAMS=&amp;GameEventID=476&amp;GameID=0021600383&amp;Season=2016-17&amp;flag=1&amp;title=Leonard%2013'%20Running%20Jump%20Shot%20(26%20PTS)", "Leonard 13' Running Jump Shot (26 PTS)")</f>
        <v>Leonard 13' Running Jump Shot (26 PTS)</v>
      </c>
      <c r="K778" s="2" t="str">
        <f>HYPERLINK("https://www.nba.com/game/...-vs-...-0021600383/play-by-play?watchFullGame=true", "SAS vs BOS - Q4 01:01.00")</f>
        <v>SAS vs BOS - Q4 01:01.00</v>
      </c>
      <c r="L778">
        <v>13</v>
      </c>
      <c r="M778">
        <v>-76</v>
      </c>
      <c r="N778">
        <v>100</v>
      </c>
      <c r="O778">
        <v>-76</v>
      </c>
      <c r="P778">
        <v>100</v>
      </c>
    </row>
    <row r="779" spans="1:16" x14ac:dyDescent="0.25">
      <c r="A779">
        <v>22201096</v>
      </c>
      <c r="B779">
        <v>2022</v>
      </c>
      <c r="C779" t="s">
        <v>32</v>
      </c>
      <c r="D779" t="s">
        <v>19</v>
      </c>
      <c r="E779">
        <v>2</v>
      </c>
      <c r="F779">
        <v>2</v>
      </c>
      <c r="G779">
        <v>1</v>
      </c>
      <c r="H779" s="1">
        <v>7.5347222222222222E-3</v>
      </c>
      <c r="I779" t="s">
        <v>23</v>
      </c>
      <c r="J779" s="2" t="str">
        <f>HYPERLINK("https://www.nba.com/stats/events?CFID=&amp;CFPARAMS=&amp;GameEventID=13&amp;GameID=0022201096&amp;Season=2022-23&amp;flag=1&amp;title=Leonard%2016'%20pullup%20Jump%20Shot%20(2%20PTS)%20(R.%20Westbrook%201%20AST)", "16' pullup Jump Shot (2 PTS) (R. Westbrook 1 AST)")</f>
        <v>16' pullup Jump Shot (2 PTS) (R. Westbrook 1 AST)</v>
      </c>
      <c r="K779" s="2" t="str">
        <f>HYPERLINK("https://www.nba.com/game/...-vs-...-0022201096/play-by-play?watchFullGame=true", "LAC vs OKC - Q1 10:51.00")</f>
        <v>LAC vs OKC - Q1 10:51.00</v>
      </c>
      <c r="L779">
        <v>16.89</v>
      </c>
      <c r="M779">
        <v>78.37</v>
      </c>
      <c r="N779">
        <v>34.799999999999997</v>
      </c>
      <c r="O779">
        <v>-76</v>
      </c>
      <c r="P779">
        <v>151</v>
      </c>
    </row>
    <row r="780" spans="1:16" x14ac:dyDescent="0.25">
      <c r="A780">
        <v>41800305</v>
      </c>
      <c r="B780" t="s">
        <v>20</v>
      </c>
      <c r="C780" t="s">
        <v>16</v>
      </c>
      <c r="D780" t="s">
        <v>29</v>
      </c>
      <c r="E780">
        <v>5</v>
      </c>
      <c r="F780">
        <v>3</v>
      </c>
      <c r="G780">
        <v>1</v>
      </c>
      <c r="H780" s="1">
        <v>7.4189814814814813E-3</v>
      </c>
      <c r="I780" t="s">
        <v>21</v>
      </c>
      <c r="J780" s="2" t="str">
        <f>HYPERLINK("https://www.nba.com/stats/events?CFID=&amp;CFPARAMS=&amp;GameEventID=22&amp;GameID=0041800305&amp;Season=2018-19&amp;flag=1&amp;title=Leonard%2027'%203PT%20Pullup%20Jump%20Shot%20(3%20PTS)", "Leonard 27' 3PT Pullup Jump Shot (3 PTS)")</f>
        <v>Leonard 27' 3PT Pullup Jump Shot (3 PTS)</v>
      </c>
      <c r="K780" s="2" t="str">
        <f>HYPERLINK("https://www.nba.com/game/...-vs-...-0041800305/play-by-play?watchFullGame=true", "TOR vs MIL - Q1 10:41.00")</f>
        <v>TOR vs MIL - Q1 10:41.00</v>
      </c>
      <c r="L780">
        <v>27</v>
      </c>
      <c r="M780">
        <v>-76</v>
      </c>
      <c r="N780">
        <v>255</v>
      </c>
      <c r="O780">
        <v>-76</v>
      </c>
      <c r="P780">
        <v>255</v>
      </c>
    </row>
    <row r="781" spans="1:16" x14ac:dyDescent="0.25">
      <c r="A781">
        <v>21300382</v>
      </c>
      <c r="B781">
        <v>2013</v>
      </c>
      <c r="C781" t="s">
        <v>32</v>
      </c>
      <c r="D781" t="s">
        <v>41</v>
      </c>
      <c r="E781">
        <v>97</v>
      </c>
      <c r="F781">
        <v>100</v>
      </c>
      <c r="G781">
        <v>4</v>
      </c>
      <c r="H781" s="1">
        <v>1.9907407407407408E-3</v>
      </c>
      <c r="I781" t="s">
        <v>18</v>
      </c>
      <c r="J781" s="2" t="str">
        <f>HYPERLINK("https://www.nba.com/stats/events?CFID=&amp;CFPARAMS=&amp;GameEventID=484&amp;GameID=0021300382&amp;Season=2013-14&amp;flag=1&amp;title=Leonard%209'%20Turnaround%20Bank%20Shot%20(21%20PTS)", "Leonard 9' Turnaround Bank Shot (21 PTS)")</f>
        <v>Leonard 9' Turnaround Bank Shot (21 PTS)</v>
      </c>
      <c r="K781" s="2" t="str">
        <f>HYPERLINK("https://www.nba.com/game/...-vs-...-0021300382/play-by-play?watchFullGame=true", "SAS vs GSW - Q4 02:52.00")</f>
        <v>SAS vs GSW - Q4 02:52.00</v>
      </c>
      <c r="L781">
        <v>9</v>
      </c>
      <c r="M781">
        <v>-75</v>
      </c>
      <c r="N781">
        <v>47</v>
      </c>
      <c r="O781">
        <v>-75</v>
      </c>
      <c r="P781">
        <v>47</v>
      </c>
    </row>
    <row r="782" spans="1:16" x14ac:dyDescent="0.25">
      <c r="A782">
        <v>21400249</v>
      </c>
      <c r="B782">
        <v>2014</v>
      </c>
      <c r="C782" t="s">
        <v>32</v>
      </c>
      <c r="D782" t="s">
        <v>29</v>
      </c>
      <c r="E782">
        <v>2</v>
      </c>
      <c r="F782">
        <v>8</v>
      </c>
      <c r="G782">
        <v>1</v>
      </c>
      <c r="H782" s="1">
        <v>5.9143518518518521E-3</v>
      </c>
      <c r="I782" t="s">
        <v>18</v>
      </c>
      <c r="J782" s="2" t="str">
        <f>HYPERLINK("https://www.nba.com/stats/events?CFID=&amp;CFPARAMS=&amp;GameEventID=33&amp;GameID=0021400249&amp;Season=2014-15&amp;flag=1&amp;title=Leonard%2015'%20Pullup%20Jump%20Shot%20(4%20PTS)%20(Green%201%20AST)", "Leonard 15' Pullup Jump Shot (4 PTS) (Green 1 AST)")</f>
        <v>Leonard 15' Pullup Jump Shot (4 PTS) (Green 1 AST)</v>
      </c>
      <c r="K782" s="2" t="str">
        <f>HYPERLINK("https://www.nba.com/game/...-vs-...-0021400249/play-by-play?watchFullGame=true", "SAS vs PHI - Q1 08:31.00")</f>
        <v>SAS vs PHI - Q1 08:31.00</v>
      </c>
      <c r="L782">
        <v>15</v>
      </c>
      <c r="M782">
        <v>-75</v>
      </c>
      <c r="N782">
        <v>132</v>
      </c>
      <c r="O782">
        <v>-75</v>
      </c>
      <c r="P782">
        <v>132</v>
      </c>
    </row>
    <row r="783" spans="1:16" x14ac:dyDescent="0.25">
      <c r="A783">
        <v>41800302</v>
      </c>
      <c r="B783" t="s">
        <v>20</v>
      </c>
      <c r="C783" t="s">
        <v>16</v>
      </c>
      <c r="D783" t="s">
        <v>29</v>
      </c>
      <c r="E783">
        <v>48</v>
      </c>
      <c r="F783">
        <v>32</v>
      </c>
      <c r="G783">
        <v>2</v>
      </c>
      <c r="H783" s="1">
        <v>3.5879629629629629E-3</v>
      </c>
      <c r="I783" t="s">
        <v>21</v>
      </c>
      <c r="J783" s="2" t="str">
        <f>HYPERLINK("https://www.nba.com/stats/events?CFID=&amp;CFPARAMS=&amp;GameEventID=256&amp;GameID=0041800302&amp;Season=2018-19&amp;flag=1&amp;title=Leonard%2027'%203PT%20Pullup%20Jump%20Shot%20(7%20PTS)%20(Ibaka%201%20AST)", "Leonard 27' 3PT Pullup Jump Shot (7 PTS) (Ibaka 1 AST)")</f>
        <v>Leonard 27' 3PT Pullup Jump Shot (7 PTS) (Ibaka 1 AST)</v>
      </c>
      <c r="K783" s="2" t="str">
        <f>HYPERLINK("https://www.nba.com/game/...-vs-...-0041800302/play-by-play?watchFullGame=true", "TOR vs MIL - Q2 05:10.00")</f>
        <v>TOR vs MIL - Q2 05:10.00</v>
      </c>
      <c r="L783">
        <v>27</v>
      </c>
      <c r="M783">
        <v>-75</v>
      </c>
      <c r="N783">
        <v>260</v>
      </c>
      <c r="O783">
        <v>-75</v>
      </c>
      <c r="P783">
        <v>260</v>
      </c>
    </row>
    <row r="784" spans="1:16" x14ac:dyDescent="0.25">
      <c r="A784">
        <v>22400783</v>
      </c>
      <c r="B784">
        <v>2024</v>
      </c>
      <c r="C784" t="s">
        <v>32</v>
      </c>
      <c r="D784" t="s">
        <v>19</v>
      </c>
      <c r="E784">
        <v>43</v>
      </c>
      <c r="F784">
        <v>50</v>
      </c>
      <c r="G784">
        <v>2</v>
      </c>
      <c r="H784" s="1">
        <v>4.7916666666666663E-3</v>
      </c>
      <c r="I784" t="s">
        <v>23</v>
      </c>
      <c r="J784" s="2" t="str">
        <f>HYPERLINK("https://www.nba.com/stats/events?CFID=&amp;CFPARAMS=&amp;GameEventID=235&amp;GameID=0022400783&amp;Season=2024-25&amp;flag=1&amp;title=Leonard%208'%20turnaround%20fadeaway%20Jump%20Shot%20(14%20PTS)", "8' turnaround fadeaway Jump Shot (14 PTS)")</f>
        <v>8' turnaround fadeaway Jump Shot (14 PTS)</v>
      </c>
      <c r="K784" s="2" t="str">
        <f>HYPERLINK("https://www.nba.com/game/...-vs-...-0022400783/play-by-play?watchFullGame=true", "LAC vs MEM - Q2 06:54.00")</f>
        <v>LAC vs MEM - Q2 06:54.00</v>
      </c>
      <c r="L784">
        <v>8.83</v>
      </c>
      <c r="M784">
        <v>10.78</v>
      </c>
      <c r="N784">
        <v>64.72</v>
      </c>
      <c r="O784">
        <v>-74</v>
      </c>
      <c r="P784">
        <v>49</v>
      </c>
    </row>
    <row r="785" spans="1:16" x14ac:dyDescent="0.25">
      <c r="A785">
        <v>21500939</v>
      </c>
      <c r="B785">
        <v>2015</v>
      </c>
      <c r="C785" t="s">
        <v>32</v>
      </c>
      <c r="D785" t="s">
        <v>24</v>
      </c>
      <c r="E785">
        <v>0</v>
      </c>
      <c r="F785">
        <v>2</v>
      </c>
      <c r="G785">
        <v>1</v>
      </c>
      <c r="H785" s="1">
        <v>7.7083333333333335E-3</v>
      </c>
      <c r="I785" t="s">
        <v>18</v>
      </c>
      <c r="J785" s="2" t="str">
        <f>HYPERLINK("https://www.nba.com/stats/events?CFID=&amp;CFPARAMS=&amp;GameEventID=6&amp;GameID=0021500939&amp;Season=2015-16&amp;flag=1&amp;title=Leonard%2010'%20Turnaround%20Jump%20Shot%20(2%20PTS)", "Leonard 10' Turnaround Jump Shot (2 PTS)")</f>
        <v>Leonard 10' Turnaround Jump Shot (2 PTS)</v>
      </c>
      <c r="K785" s="2" t="str">
        <f>HYPERLINK("https://www.nba.com/game/...-vs-...-0021500939/play-by-play?watchFullGame=true", "SAS vs IND - Q1 11:06.00")</f>
        <v>SAS vs IND - Q1 11:06.00</v>
      </c>
      <c r="L785">
        <v>10</v>
      </c>
      <c r="M785">
        <v>-74</v>
      </c>
      <c r="N785">
        <v>70</v>
      </c>
      <c r="O785">
        <v>-74</v>
      </c>
      <c r="P785">
        <v>70</v>
      </c>
    </row>
    <row r="786" spans="1:16" x14ac:dyDescent="0.25">
      <c r="A786">
        <v>22300273</v>
      </c>
      <c r="B786">
        <v>2023</v>
      </c>
      <c r="C786" t="s">
        <v>32</v>
      </c>
      <c r="D786" t="s">
        <v>19</v>
      </c>
      <c r="E786">
        <v>14</v>
      </c>
      <c r="F786">
        <v>18</v>
      </c>
      <c r="G786">
        <v>1</v>
      </c>
      <c r="H786" s="1">
        <v>3.1597222222222222E-3</v>
      </c>
      <c r="I786" t="s">
        <v>23</v>
      </c>
      <c r="J786" s="2" t="str">
        <f>HYPERLINK("https://www.nba.com/stats/events?CFID=&amp;CFPARAMS=&amp;GameEventID=81&amp;GameID=0022300273&amp;Season=2023-24&amp;flag=1&amp;title=Leonard%2011'%20driving%20floating%20Jump%20Shot%20(4%20PTS)%20(T.%20Mann%201%20AST)", "11' driving floating Jump Shot (4 PTS) (T. Mann 1 AST)")</f>
        <v>11' driving floating Jump Shot (4 PTS) (T. Mann 1 AST)</v>
      </c>
      <c r="K786" s="2" t="str">
        <f>HYPERLINK("https://www.nba.com/game/...-vs-...-0022300273/play-by-play?watchFullGame=true", "LAC vs GSW - Q1 04:33.00")</f>
        <v>LAC vs GSW - Q1 04:33.00</v>
      </c>
      <c r="L786">
        <v>11.91</v>
      </c>
      <c r="M786">
        <v>84.44</v>
      </c>
      <c r="N786">
        <v>35.29</v>
      </c>
      <c r="O786">
        <v>-74</v>
      </c>
      <c r="P786">
        <v>94</v>
      </c>
    </row>
    <row r="787" spans="1:16" x14ac:dyDescent="0.25">
      <c r="A787">
        <v>22301017</v>
      </c>
      <c r="B787">
        <v>2023</v>
      </c>
      <c r="C787" t="s">
        <v>32</v>
      </c>
      <c r="D787" t="s">
        <v>19</v>
      </c>
      <c r="E787">
        <v>11</v>
      </c>
      <c r="F787">
        <v>22</v>
      </c>
      <c r="G787">
        <v>1</v>
      </c>
      <c r="H787" s="1">
        <v>3.7962962962962963E-3</v>
      </c>
      <c r="I787" t="s">
        <v>23</v>
      </c>
      <c r="J787" s="2" t="str">
        <f>HYPERLINK("https://www.nba.com/stats/events?CFID=&amp;CFPARAMS=&amp;GameEventID=86&amp;GameID=0022301017&amp;Season=2023-24&amp;flag=1&amp;title=Leonard%2013'%20pullup%20Jump%20Shot%20(8%20PTS)", "13' pullup Jump Shot (8 PTS)")</f>
        <v>13' pullup Jump Shot (8 PTS)</v>
      </c>
      <c r="K787" s="2" t="str">
        <f>HYPERLINK("https://www.nba.com/game/...-vs-...-0022301017/play-by-play?watchFullGame=true", "LAC vs POR - Q1 05:28.00")</f>
        <v>LAC vs POR - Q1 05:28.00</v>
      </c>
      <c r="L787">
        <v>13.01</v>
      </c>
      <c r="M787">
        <v>83</v>
      </c>
      <c r="N787">
        <v>35.29</v>
      </c>
      <c r="O787">
        <v>-74</v>
      </c>
      <c r="P787">
        <v>107</v>
      </c>
    </row>
    <row r="788" spans="1:16" x14ac:dyDescent="0.25">
      <c r="A788">
        <v>21501215</v>
      </c>
      <c r="B788">
        <v>2015</v>
      </c>
      <c r="C788" t="s">
        <v>32</v>
      </c>
      <c r="D788" t="s">
        <v>29</v>
      </c>
      <c r="E788">
        <v>97</v>
      </c>
      <c r="F788">
        <v>96</v>
      </c>
      <c r="G788">
        <v>5</v>
      </c>
      <c r="H788" s="1">
        <v>2.0833333333333333E-3</v>
      </c>
      <c r="I788" t="s">
        <v>18</v>
      </c>
      <c r="J788" s="2" t="str">
        <f>HYPERLINK("https://www.nba.com/stats/events?CFID=&amp;CFPARAMS=&amp;GameEventID=534&amp;GameID=0021501215&amp;Season=2015-16&amp;flag=1&amp;title=Leonard%2014'%20Pullup%20Jump%20Shot%20(24%20PTS)", "Leonard 14' Pullup Jump Shot (24 PTS)")</f>
        <v>Leonard 14' Pullup Jump Shot (24 PTS)</v>
      </c>
      <c r="K788" s="2" t="str">
        <f>HYPERLINK("https://www.nba.com/game/...-vs-...-0021501215/play-by-play?watchFullGame=true", "SAS vs OKC - Q5 03:00.00")</f>
        <v>SAS vs OKC - Q5 03:00.00</v>
      </c>
      <c r="L788">
        <v>14</v>
      </c>
      <c r="M788">
        <v>-74</v>
      </c>
      <c r="N788">
        <v>121</v>
      </c>
      <c r="O788">
        <v>-74</v>
      </c>
      <c r="P788">
        <v>121</v>
      </c>
    </row>
    <row r="789" spans="1:16" x14ac:dyDescent="0.25">
      <c r="A789">
        <v>22200649</v>
      </c>
      <c r="B789">
        <v>2022</v>
      </c>
      <c r="C789" t="s">
        <v>32</v>
      </c>
      <c r="D789" t="s">
        <v>19</v>
      </c>
      <c r="E789">
        <v>21</v>
      </c>
      <c r="F789">
        <v>27</v>
      </c>
      <c r="G789">
        <v>1</v>
      </c>
      <c r="H789" s="1">
        <v>2.2453703703703702E-3</v>
      </c>
      <c r="I789" t="s">
        <v>23</v>
      </c>
      <c r="J789" s="2" t="str">
        <f>HYPERLINK("https://www.nba.com/stats/events?CFID=&amp;CFPARAMS=&amp;GameEventID=93&amp;GameID=0022200649&amp;Season=2022-23&amp;flag=1&amp;title=Leonard%2014'%20pullup%20Jump%20Shot%20(6%20PTS)", "14' pullup Jump Shot (6 PTS)")</f>
        <v>14' pullup Jump Shot (6 PTS)</v>
      </c>
      <c r="K789" s="2" t="str">
        <f>HYPERLINK("https://www.nba.com/game/...-vs-...-0022200649/play-by-play?watchFullGame=true", "LAC vs HOU - Q1 03:14.00")</f>
        <v>LAC vs HOU - Q1 03:14.00</v>
      </c>
      <c r="L789">
        <v>14.49</v>
      </c>
      <c r="M789">
        <v>81.13</v>
      </c>
      <c r="N789">
        <v>35.29</v>
      </c>
      <c r="O789">
        <v>-74</v>
      </c>
      <c r="P789">
        <v>125</v>
      </c>
    </row>
    <row r="790" spans="1:16" x14ac:dyDescent="0.25">
      <c r="A790">
        <v>21500960</v>
      </c>
      <c r="B790">
        <v>2015</v>
      </c>
      <c r="C790" t="s">
        <v>32</v>
      </c>
      <c r="D790" t="s">
        <v>29</v>
      </c>
      <c r="E790">
        <v>15</v>
      </c>
      <c r="F790">
        <v>11</v>
      </c>
      <c r="G790">
        <v>1</v>
      </c>
      <c r="H790" s="1">
        <v>5.0115740740740737E-3</v>
      </c>
      <c r="I790" t="s">
        <v>18</v>
      </c>
      <c r="J790" s="2" t="str">
        <f>HYPERLINK("https://www.nba.com/stats/events?CFID=&amp;CFPARAMS=&amp;GameEventID=43&amp;GameID=0021500960&amp;Season=2015-16&amp;flag=1&amp;title=Leonard%2015'%20Pullup%20Jump%20Shot%20(9%20PTS)%20(Aldridge%201%20AST)", "Leonard 15' Pullup Jump Shot (9 PTS) (Aldridge 1 AST)")</f>
        <v>Leonard 15' Pullup Jump Shot (9 PTS) (Aldridge 1 AST)</v>
      </c>
      <c r="K790" s="2" t="str">
        <f>HYPERLINK("https://www.nba.com/game/...-vs-...-0021500960/play-by-play?watchFullGame=true", "SAS vs CHI - Q1 07:13.00")</f>
        <v>SAS vs CHI - Q1 07:13.00</v>
      </c>
      <c r="L790">
        <v>15</v>
      </c>
      <c r="M790">
        <v>-74</v>
      </c>
      <c r="N790">
        <v>136</v>
      </c>
      <c r="O790">
        <v>-74</v>
      </c>
      <c r="P790">
        <v>136</v>
      </c>
    </row>
    <row r="791" spans="1:16" x14ac:dyDescent="0.25">
      <c r="A791">
        <v>21600917</v>
      </c>
      <c r="B791">
        <v>2016</v>
      </c>
      <c r="C791" t="s">
        <v>32</v>
      </c>
      <c r="D791" t="s">
        <v>19</v>
      </c>
      <c r="E791">
        <v>75</v>
      </c>
      <c r="F791">
        <v>78</v>
      </c>
      <c r="G791">
        <v>4</v>
      </c>
      <c r="H791" s="1">
        <v>4.7685185185185183E-3</v>
      </c>
      <c r="I791" t="s">
        <v>18</v>
      </c>
      <c r="J791" s="2" t="str">
        <f>HYPERLINK("https://www.nba.com/stats/events?CFID=&amp;CFPARAMS=&amp;GameEventID=467&amp;GameID=0021600917&amp;Season=2016-17&amp;flag=1&amp;title=Leonard%2017'%20Jump%20Shot%20(26%20PTS)", "Leonard 17' Jump Shot (26 PTS)")</f>
        <v>Leonard 17' Jump Shot (26 PTS)</v>
      </c>
      <c r="K791" s="2" t="str">
        <f>HYPERLINK("https://www.nba.com/game/...-vs-...-0021600917/play-by-play?watchFullGame=true", "SAS vs NOP - Q4 06:52.00")</f>
        <v>SAS vs NOP - Q4 06:52.00</v>
      </c>
      <c r="L791">
        <v>17</v>
      </c>
      <c r="M791">
        <v>-74</v>
      </c>
      <c r="N791">
        <v>154</v>
      </c>
      <c r="O791">
        <v>-74</v>
      </c>
      <c r="P791">
        <v>154</v>
      </c>
    </row>
    <row r="792" spans="1:16" x14ac:dyDescent="0.25">
      <c r="A792">
        <v>22301003</v>
      </c>
      <c r="B792">
        <v>2023</v>
      </c>
      <c r="C792" t="s">
        <v>32</v>
      </c>
      <c r="D792" t="s">
        <v>19</v>
      </c>
      <c r="E792">
        <v>18</v>
      </c>
      <c r="F792">
        <v>20</v>
      </c>
      <c r="G792">
        <v>1</v>
      </c>
      <c r="H792" s="1">
        <v>2.0370370370370369E-3</v>
      </c>
      <c r="I792" t="s">
        <v>23</v>
      </c>
      <c r="J792" s="2" t="str">
        <f>HYPERLINK("https://www.nba.com/stats/events?CFID=&amp;CFPARAMS=&amp;GameEventID=99&amp;GameID=0022301003&amp;Season=2023-24&amp;flag=1&amp;title=Leonard%2017'%20Jump%20Shot%20(2%20PTS)%20(B.%20Hyland%201%20AST)", "17' Jump Shot (2 PTS) (B. Hyland 1 AST)")</f>
        <v>17' Jump Shot (2 PTS) (B. Hyland 1 AST)</v>
      </c>
      <c r="K792" s="2" t="str">
        <f>HYPERLINK("https://www.nba.com/game/...-vs-...-0022301003/play-by-play?watchFullGame=true", "LAC vs POR - Q1 02:56.00")</f>
        <v>LAC vs POR - Q1 02:56.00</v>
      </c>
      <c r="L792">
        <v>17.309999999999999</v>
      </c>
      <c r="M792">
        <v>77.739999999999995</v>
      </c>
      <c r="N792">
        <v>35.29</v>
      </c>
      <c r="O792">
        <v>-74</v>
      </c>
      <c r="P792">
        <v>157</v>
      </c>
    </row>
    <row r="793" spans="1:16" x14ac:dyDescent="0.25">
      <c r="A793">
        <v>41200235</v>
      </c>
      <c r="B793" t="s">
        <v>27</v>
      </c>
      <c r="C793" t="s">
        <v>32</v>
      </c>
      <c r="D793" t="s">
        <v>42</v>
      </c>
      <c r="E793">
        <v>54</v>
      </c>
      <c r="F793">
        <v>51</v>
      </c>
      <c r="G793">
        <v>2</v>
      </c>
      <c r="H793" s="1">
        <v>8.7962962962962962E-4</v>
      </c>
      <c r="I793" t="s">
        <v>18</v>
      </c>
      <c r="J793" s="2" t="str">
        <f>HYPERLINK("https://www.nba.com/stats/events?CFID=&amp;CFPARAMS=&amp;GameEventID=232&amp;GameID=0041200235&amp;Season=2012-13&amp;flag=1&amp;title=Leonard%207'%20Driving%20Jump%20Shot%20(9%20PTS)%20(Ginobili%204%20AST)", "Leonard 7' Driving Jump Shot (9 PTS) (Ginobili 4 AST)")</f>
        <v>Leonard 7' Driving Jump Shot (9 PTS) (Ginobili 4 AST)</v>
      </c>
      <c r="K793" s="2" t="str">
        <f>HYPERLINK("https://www.nba.com/game/...-vs-...-0041200235/play-by-play?watchFullGame=true", "SAS vs GSW - Q2 01:16.00")</f>
        <v>SAS vs GSW - Q2 01:16.00</v>
      </c>
      <c r="L793">
        <v>7</v>
      </c>
      <c r="M793">
        <v>-73</v>
      </c>
      <c r="N793">
        <v>14</v>
      </c>
      <c r="O793">
        <v>-73</v>
      </c>
      <c r="P793">
        <v>14</v>
      </c>
    </row>
    <row r="794" spans="1:16" x14ac:dyDescent="0.25">
      <c r="A794">
        <v>21600994</v>
      </c>
      <c r="B794">
        <v>2016</v>
      </c>
      <c r="C794" t="s">
        <v>32</v>
      </c>
      <c r="D794" t="s">
        <v>43</v>
      </c>
      <c r="E794">
        <v>21</v>
      </c>
      <c r="F794">
        <v>17</v>
      </c>
      <c r="G794">
        <v>1</v>
      </c>
      <c r="H794" s="1">
        <v>2.2453703703703702E-3</v>
      </c>
      <c r="I794" t="s">
        <v>18</v>
      </c>
      <c r="J794" s="2" t="str">
        <f>HYPERLINK("https://www.nba.com/stats/events?CFID=&amp;CFPARAMS=&amp;GameEventID=75&amp;GameID=0021600994&amp;Season=2016-17&amp;flag=1&amp;title=Leonard%208'%20Turnaround%20Hook%20Shot%20(7%20PTS)", "Leonard 8' Turnaround Hook Shot (7 PTS)")</f>
        <v>Leonard 8' Turnaround Hook Shot (7 PTS)</v>
      </c>
      <c r="K794" s="2" t="str">
        <f>HYPERLINK("https://www.nba.com/game/...-vs-...-0021600994/play-by-play?watchFullGame=true", "SAS vs ATL - Q1 03:14.00")</f>
        <v>SAS vs ATL - Q1 03:14.00</v>
      </c>
      <c r="L794">
        <v>8</v>
      </c>
      <c r="M794">
        <v>-73</v>
      </c>
      <c r="N794">
        <v>43</v>
      </c>
      <c r="O794">
        <v>-73</v>
      </c>
      <c r="P794">
        <v>43</v>
      </c>
    </row>
    <row r="795" spans="1:16" x14ac:dyDescent="0.25">
      <c r="A795">
        <v>41600155</v>
      </c>
      <c r="B795" t="s">
        <v>30</v>
      </c>
      <c r="C795" t="s">
        <v>32</v>
      </c>
      <c r="D795" t="s">
        <v>37</v>
      </c>
      <c r="E795">
        <v>92</v>
      </c>
      <c r="F795">
        <v>85</v>
      </c>
      <c r="G795">
        <v>4</v>
      </c>
      <c r="H795" s="1">
        <v>5.6481481481481478E-3</v>
      </c>
      <c r="I795" t="s">
        <v>18</v>
      </c>
      <c r="J795" s="2" t="str">
        <f>HYPERLINK("https://www.nba.com/stats/events?CFID=&amp;CFPARAMS=&amp;GameEventID=399&amp;GameID=0041600155&amp;Season=2016-17&amp;flag=1&amp;title=Leonard%2011'%20Floating%20Jump%20Shot%20(22%20PTS)", "Leonard 11' Floating Jump Shot (22 PTS)")</f>
        <v>Leonard 11' Floating Jump Shot (22 PTS)</v>
      </c>
      <c r="K795" s="2" t="str">
        <f>HYPERLINK("https://www.nba.com/game/...-vs-...-0041600155/play-by-play?watchFullGame=true", "SAS vs MEM - Q4 08:08.00")</f>
        <v>SAS vs MEM - Q4 08:08.00</v>
      </c>
      <c r="L795">
        <v>11</v>
      </c>
      <c r="M795">
        <v>-73</v>
      </c>
      <c r="N795">
        <v>80</v>
      </c>
      <c r="O795">
        <v>-73</v>
      </c>
      <c r="P795">
        <v>80</v>
      </c>
    </row>
    <row r="796" spans="1:16" x14ac:dyDescent="0.25">
      <c r="A796">
        <v>22000520</v>
      </c>
      <c r="B796">
        <v>2020</v>
      </c>
      <c r="C796" t="s">
        <v>32</v>
      </c>
      <c r="D796" t="s">
        <v>19</v>
      </c>
      <c r="E796">
        <v>15</v>
      </c>
      <c r="F796">
        <v>15</v>
      </c>
      <c r="G796">
        <v>1</v>
      </c>
      <c r="H796" s="1">
        <v>3.0092592592592593E-3</v>
      </c>
      <c r="I796" t="s">
        <v>23</v>
      </c>
      <c r="J796" s="2" t="str">
        <f>HYPERLINK("https://www.nba.com/stats/events?CFID=&amp;CFPARAMS=&amp;GameEventID=88&amp;GameID=0022000520&amp;Season=2020-21&amp;flag=1&amp;title=Leonard%2015'%20pullup%20Jump%20Shot%20(7%20PTS)", "15' pullup Jump Shot (7 PTS)")</f>
        <v>15' pullup Jump Shot (7 PTS)</v>
      </c>
      <c r="K796" s="2" t="str">
        <f>HYPERLINK("https://www.nba.com/game/...-vs-...-0022000520/play-by-play?watchFullGame=true", "LAC vs MIL - Q1 04:20.00")</f>
        <v>LAC vs MIL - Q1 04:20.00</v>
      </c>
      <c r="L796">
        <v>15.42</v>
      </c>
      <c r="M796">
        <v>79.98</v>
      </c>
      <c r="N796">
        <v>35.36</v>
      </c>
      <c r="O796">
        <v>-73</v>
      </c>
      <c r="P796">
        <v>136</v>
      </c>
    </row>
    <row r="797" spans="1:16" x14ac:dyDescent="0.25">
      <c r="A797">
        <v>41300141</v>
      </c>
      <c r="B797" t="s">
        <v>26</v>
      </c>
      <c r="C797" t="s">
        <v>32</v>
      </c>
      <c r="D797" t="s">
        <v>31</v>
      </c>
      <c r="E797">
        <v>36</v>
      </c>
      <c r="F797">
        <v>38</v>
      </c>
      <c r="G797">
        <v>2</v>
      </c>
      <c r="H797" s="1">
        <v>2.4652777777777776E-3</v>
      </c>
      <c r="I797" t="s">
        <v>18</v>
      </c>
      <c r="J797" s="2" t="str">
        <f>HYPERLINK("https://www.nba.com/stats/events?CFID=&amp;CFPARAMS=&amp;GameEventID=179&amp;GameID=0041300141&amp;Season=2013-14&amp;flag=1&amp;title=Leonard%2016'%20Step%20Back%20Jump%20Shot%20(6%20PTS)", "Leonard 16' Step Back Jump Shot (6 PTS)")</f>
        <v>Leonard 16' Step Back Jump Shot (6 PTS)</v>
      </c>
      <c r="K797" s="2" t="str">
        <f>HYPERLINK("https://www.nba.com/game/...-vs-...-0041300141/play-by-play?watchFullGame=true", "SAS vs DAL - Q2 03:33.00")</f>
        <v>SAS vs DAL - Q2 03:33.00</v>
      </c>
      <c r="L797">
        <v>16</v>
      </c>
      <c r="M797">
        <v>-73</v>
      </c>
      <c r="N797">
        <v>137</v>
      </c>
      <c r="O797">
        <v>-73</v>
      </c>
      <c r="P797">
        <v>137</v>
      </c>
    </row>
    <row r="798" spans="1:16" x14ac:dyDescent="0.25">
      <c r="A798">
        <v>22000116</v>
      </c>
      <c r="B798">
        <v>2020</v>
      </c>
      <c r="C798" t="s">
        <v>32</v>
      </c>
      <c r="D798" t="s">
        <v>19</v>
      </c>
      <c r="E798">
        <v>91</v>
      </c>
      <c r="F798">
        <v>91</v>
      </c>
      <c r="G798">
        <v>4</v>
      </c>
      <c r="H798" s="1">
        <v>4.6296296296296294E-3</v>
      </c>
      <c r="I798" t="s">
        <v>23</v>
      </c>
      <c r="J798" s="2" t="str">
        <f>HYPERLINK("https://www.nba.com/stats/events?CFID=&amp;CFPARAMS=&amp;GameEventID=574&amp;GameID=0022000116&amp;Season=2020-21&amp;flag=1&amp;title=Leonard%2017'%20pullup%20Jump%20Shot%20(15%20PTS)", "17' pullup Jump Shot (15 PTS)")</f>
        <v>17' pullup Jump Shot (15 PTS)</v>
      </c>
      <c r="K798" s="2" t="str">
        <f>HYPERLINK("https://www.nba.com/game/...-vs-...-0022000116/play-by-play?watchFullGame=true", "LAC vs GSW - Q4 06:40.00")</f>
        <v>LAC vs GSW - Q4 06:40.00</v>
      </c>
      <c r="L798">
        <v>17.52</v>
      </c>
      <c r="M798">
        <v>77.48</v>
      </c>
      <c r="N798">
        <v>35.36</v>
      </c>
      <c r="O798">
        <v>-73</v>
      </c>
      <c r="P798">
        <v>159</v>
      </c>
    </row>
    <row r="799" spans="1:16" x14ac:dyDescent="0.25">
      <c r="A799">
        <v>21300032</v>
      </c>
      <c r="B799">
        <v>2013</v>
      </c>
      <c r="C799" t="s">
        <v>32</v>
      </c>
      <c r="D799" t="s">
        <v>19</v>
      </c>
      <c r="E799">
        <v>37</v>
      </c>
      <c r="F799">
        <v>35</v>
      </c>
      <c r="G799">
        <v>2</v>
      </c>
      <c r="H799" s="1">
        <v>2.6157407407407405E-3</v>
      </c>
      <c r="I799" t="s">
        <v>18</v>
      </c>
      <c r="J799" s="2" t="str">
        <f>HYPERLINK("https://www.nba.com/stats/events?CFID=&amp;CFPARAMS=&amp;GameEventID=229&amp;GameID=0021300032&amp;Season=2013-14&amp;flag=1&amp;title=Leonard%2021'%20Jump%20Shot%20(9%20PTS)%20(Parker%203%20AST)", "Leonard 21' Jump Shot (9 PTS) (Parker 3 AST)")</f>
        <v>Leonard 21' Jump Shot (9 PTS) (Parker 3 AST)</v>
      </c>
      <c r="K799" s="2" t="str">
        <f>HYPERLINK("https://www.nba.com/game/...-vs-...-0021300032/play-by-play?watchFullGame=true", "SAS vs LAL - Q2 03:46.00")</f>
        <v>SAS vs LAL - Q2 03:46.00</v>
      </c>
      <c r="L799">
        <v>21</v>
      </c>
      <c r="M799">
        <v>-73</v>
      </c>
      <c r="N799">
        <v>198</v>
      </c>
      <c r="O799">
        <v>-73</v>
      </c>
      <c r="P799">
        <v>198</v>
      </c>
    </row>
    <row r="800" spans="1:16" x14ac:dyDescent="0.25">
      <c r="A800">
        <v>21300993</v>
      </c>
      <c r="B800">
        <v>2013</v>
      </c>
      <c r="C800" t="s">
        <v>16</v>
      </c>
      <c r="D800" t="s">
        <v>31</v>
      </c>
      <c r="E800">
        <v>97</v>
      </c>
      <c r="F800">
        <v>83</v>
      </c>
      <c r="G800">
        <v>4</v>
      </c>
      <c r="H800" s="1">
        <v>6.3541666666666668E-3</v>
      </c>
      <c r="I800" t="s">
        <v>18</v>
      </c>
      <c r="J800" s="2" t="str">
        <f>HYPERLINK("https://www.nba.com/stats/events?CFID=&amp;CFPARAMS=&amp;GameEventID=375&amp;GameID=0021300993&amp;Season=2013-14&amp;flag=1&amp;title=Leonard%2025'%203PT%20Step%20Back%20Jump%20Shot%20(9%20PTS)", "Leonard 25' 3PT Step Back Jump Shot (9 PTS)")</f>
        <v>Leonard 25' 3PT Step Back Jump Shot (9 PTS)</v>
      </c>
      <c r="K800" s="2" t="str">
        <f>HYPERLINK("https://www.nba.com/game/...-vs-...-0021300993/play-by-play?watchFullGame=true", "SAS vs UTA - Q4 09:09.00")</f>
        <v>SAS vs UTA - Q4 09:09.00</v>
      </c>
      <c r="L800">
        <v>25</v>
      </c>
      <c r="M800">
        <v>-73</v>
      </c>
      <c r="N800">
        <v>236</v>
      </c>
      <c r="O800">
        <v>-73</v>
      </c>
      <c r="P800">
        <v>236</v>
      </c>
    </row>
    <row r="801" spans="1:16" x14ac:dyDescent="0.25">
      <c r="A801">
        <v>41800214</v>
      </c>
      <c r="B801" t="s">
        <v>20</v>
      </c>
      <c r="C801" t="s">
        <v>16</v>
      </c>
      <c r="D801" t="s">
        <v>29</v>
      </c>
      <c r="E801">
        <v>60</v>
      </c>
      <c r="F801">
        <v>57</v>
      </c>
      <c r="G801">
        <v>3</v>
      </c>
      <c r="H801" s="1">
        <v>4.8148148148148152E-3</v>
      </c>
      <c r="I801" t="s">
        <v>21</v>
      </c>
      <c r="J801" s="2" t="str">
        <f>HYPERLINK("https://www.nba.com/stats/events?CFID=&amp;CFPARAMS=&amp;GameEventID=390&amp;GameID=0041800214&amp;Season=2018-19&amp;flag=1&amp;title=Leonard%2026'%203PT%20Pullup%20Jump%20Shot%20(23%20PTS)", "Leonard 26' 3PT Pullup Jump Shot (23 PTS)")</f>
        <v>Leonard 26' 3PT Pullup Jump Shot (23 PTS)</v>
      </c>
      <c r="K801" s="2" t="str">
        <f>HYPERLINK("https://www.nba.com/game/...-vs-...-0041800214/play-by-play?watchFullGame=true", "TOR vs PHI - Q3 06:56.00")</f>
        <v>TOR vs PHI - Q3 06:56.00</v>
      </c>
      <c r="L801">
        <v>26</v>
      </c>
      <c r="M801">
        <v>-73</v>
      </c>
      <c r="N801">
        <v>246</v>
      </c>
      <c r="O801">
        <v>-73</v>
      </c>
      <c r="P801">
        <v>246</v>
      </c>
    </row>
    <row r="802" spans="1:16" x14ac:dyDescent="0.25">
      <c r="A802">
        <v>21900516</v>
      </c>
      <c r="B802">
        <v>2019</v>
      </c>
      <c r="C802" t="s">
        <v>32</v>
      </c>
      <c r="D802" t="s">
        <v>22</v>
      </c>
      <c r="E802">
        <v>77</v>
      </c>
      <c r="F802">
        <v>67</v>
      </c>
      <c r="G802">
        <v>3</v>
      </c>
      <c r="H802" s="1">
        <v>6.5162037037037037E-3</v>
      </c>
      <c r="I802" t="s">
        <v>23</v>
      </c>
      <c r="J802" s="2" t="str">
        <f>HYPERLINK("https://www.nba.com/stats/events?CFID=&amp;CFPARAMS=&amp;GameEventID=401&amp;GameID=0021900516&amp;Season=2019-20&amp;flag=1&amp;title=Leonard%2010'%20jumpshot%20(16%20PTS)%20(R.%20McGruder%201%20AST)", "10' jumpshot (16 PTS) (R. McGruder 1 AST)")</f>
        <v>10' jumpshot (16 PTS) (R. McGruder 1 AST)</v>
      </c>
      <c r="K802" s="2" t="str">
        <f>HYPERLINK("https://www.nba.com/game/...-vs-...-0021900516/play-by-play?watchFullGame=true", "LAC vs DET - Q3 09:23.00")</f>
        <v>LAC vs DET - Q3 09:23.00</v>
      </c>
      <c r="L802">
        <v>10.15</v>
      </c>
      <c r="M802">
        <v>12.61</v>
      </c>
      <c r="N802">
        <v>64.400000000000006</v>
      </c>
      <c r="O802">
        <v>-72</v>
      </c>
      <c r="P802">
        <v>66</v>
      </c>
    </row>
    <row r="803" spans="1:16" x14ac:dyDescent="0.25">
      <c r="A803">
        <v>22201196</v>
      </c>
      <c r="B803">
        <v>2022</v>
      </c>
      <c r="C803" t="s">
        <v>32</v>
      </c>
      <c r="D803" t="s">
        <v>19</v>
      </c>
      <c r="E803">
        <v>27</v>
      </c>
      <c r="F803">
        <v>26</v>
      </c>
      <c r="G803">
        <v>1</v>
      </c>
      <c r="H803" s="1">
        <v>1.4930555555555556E-3</v>
      </c>
      <c r="I803" t="s">
        <v>23</v>
      </c>
      <c r="J803" s="2" t="str">
        <f>HYPERLINK("https://www.nba.com/stats/events?CFID=&amp;CFPARAMS=&amp;GameEventID=121&amp;GameID=0022201196&amp;Season=2022-23&amp;flag=1&amp;title=Leonard%2014'%20pullup%20Jump%20Shot%20(6%20PTS)", "14' pullup Jump Shot (6 PTS)")</f>
        <v>14' pullup Jump Shot (6 PTS)</v>
      </c>
      <c r="K803" s="2" t="str">
        <f>HYPERLINK("https://www.nba.com/game/...-vs-...-0022201196/play-by-play?watchFullGame=true", "LAC vs LAL - Q1 02:09.00")</f>
        <v>LAC vs LAL - Q1 02:09.00</v>
      </c>
      <c r="L803">
        <v>14.97</v>
      </c>
      <c r="M803">
        <v>80.47</v>
      </c>
      <c r="N803">
        <v>35.54</v>
      </c>
      <c r="O803">
        <v>-72</v>
      </c>
      <c r="P803">
        <v>131</v>
      </c>
    </row>
    <row r="804" spans="1:16" x14ac:dyDescent="0.25">
      <c r="A804">
        <v>41200405</v>
      </c>
      <c r="B804" t="s">
        <v>27</v>
      </c>
      <c r="C804" t="s">
        <v>32</v>
      </c>
      <c r="D804" t="s">
        <v>19</v>
      </c>
      <c r="E804">
        <v>70</v>
      </c>
      <c r="F804">
        <v>62</v>
      </c>
      <c r="G804">
        <v>3</v>
      </c>
      <c r="H804" s="1">
        <v>5.6481481481481478E-3</v>
      </c>
      <c r="I804" t="s">
        <v>18</v>
      </c>
      <c r="J804" s="2" t="str">
        <f>HYPERLINK("https://www.nba.com/stats/events?CFID=&amp;CFPARAMS=&amp;GameEventID=304&amp;GameID=0041200405&amp;Season=2012-13&amp;flag=1&amp;title=Leonard%207'%20Jump%20Shot%20(11%20PTS)%20(Parker%203%20AST)", "Leonard 7' Jump Shot (11 PTS) (Parker 3 AST)")</f>
        <v>Leonard 7' Jump Shot (11 PTS) (Parker 3 AST)</v>
      </c>
      <c r="K804" s="2" t="str">
        <f>HYPERLINK("https://www.nba.com/game/...-vs-...-0041200405/play-by-play?watchFullGame=true", "SAS vs MIA - Q3 08:08.00")</f>
        <v>SAS vs MIA - Q3 08:08.00</v>
      </c>
      <c r="L804">
        <v>7</v>
      </c>
      <c r="M804">
        <v>-71</v>
      </c>
      <c r="N804">
        <v>3</v>
      </c>
      <c r="O804">
        <v>-71</v>
      </c>
      <c r="P804">
        <v>3</v>
      </c>
    </row>
    <row r="805" spans="1:16" x14ac:dyDescent="0.25">
      <c r="A805">
        <v>21300520</v>
      </c>
      <c r="B805">
        <v>2013</v>
      </c>
      <c r="C805" t="s">
        <v>32</v>
      </c>
      <c r="D805" t="s">
        <v>19</v>
      </c>
      <c r="E805">
        <v>33</v>
      </c>
      <c r="F805">
        <v>24</v>
      </c>
      <c r="G805">
        <v>2</v>
      </c>
      <c r="H805" s="1">
        <v>4.4444444444444444E-3</v>
      </c>
      <c r="I805" t="s">
        <v>18</v>
      </c>
      <c r="J805" s="2" t="str">
        <f>HYPERLINK("https://www.nba.com/stats/events?CFID=&amp;CFPARAMS=&amp;GameEventID=191&amp;GameID=0021300520&amp;Season=2013-14&amp;flag=1&amp;title=Leonard%208'%20Jump%20Shot%20(9%20PTS)%20(Diaw%202%20AST)", "Leonard 8' Jump Shot (9 PTS) (Diaw 2 AST)")</f>
        <v>Leonard 8' Jump Shot (9 PTS) (Diaw 2 AST)</v>
      </c>
      <c r="K805" s="2" t="str">
        <f>HYPERLINK("https://www.nba.com/game/...-vs-...-0021300520/play-by-play?watchFullGame=true", "SAS vs DAL - Q2 06:24.00")</f>
        <v>SAS vs DAL - Q2 06:24.00</v>
      </c>
      <c r="L805">
        <v>8</v>
      </c>
      <c r="M805">
        <v>-71</v>
      </c>
      <c r="N805">
        <v>30</v>
      </c>
      <c r="O805">
        <v>-71</v>
      </c>
      <c r="P805">
        <v>30</v>
      </c>
    </row>
    <row r="806" spans="1:16" x14ac:dyDescent="0.25">
      <c r="A806">
        <v>22300880</v>
      </c>
      <c r="B806">
        <v>2023</v>
      </c>
      <c r="C806" t="s">
        <v>32</v>
      </c>
      <c r="D806" t="s">
        <v>44</v>
      </c>
      <c r="E806">
        <v>19</v>
      </c>
      <c r="F806">
        <v>18</v>
      </c>
      <c r="G806">
        <v>1</v>
      </c>
      <c r="H806" s="1">
        <v>2.8124999999999999E-3</v>
      </c>
      <c r="I806" t="s">
        <v>23</v>
      </c>
      <c r="J806" s="2" t="str">
        <f>HYPERLINK("https://www.nba.com/stats/events?CFID=&amp;CFPARAMS=&amp;GameEventID=85&amp;GameID=0022300880&amp;Season=2023-24&amp;flag=1&amp;title=Leonard%2010'%20turnaround%20Hook%20(4%20PTS)", "10' turnaround Hook (4 PTS)")</f>
        <v>10' turnaround Hook (4 PTS)</v>
      </c>
      <c r="K806" s="2" t="str">
        <f>HYPERLINK("https://www.nba.com/game/...-vs-...-0022300880/play-by-play?watchFullGame=true", "LAC vs MIL - Q1 04:03.00")</f>
        <v>LAC vs MIL - Q1 04:03.00</v>
      </c>
      <c r="L806">
        <v>10.1</v>
      </c>
      <c r="M806">
        <v>13.22</v>
      </c>
      <c r="N806">
        <v>64.22</v>
      </c>
      <c r="O806">
        <v>-71</v>
      </c>
      <c r="P806">
        <v>72</v>
      </c>
    </row>
    <row r="807" spans="1:16" x14ac:dyDescent="0.25">
      <c r="A807">
        <v>21600150</v>
      </c>
      <c r="B807">
        <v>2016</v>
      </c>
      <c r="C807" t="s">
        <v>32</v>
      </c>
      <c r="D807" t="s">
        <v>33</v>
      </c>
      <c r="E807">
        <v>17</v>
      </c>
      <c r="F807">
        <v>8</v>
      </c>
      <c r="G807">
        <v>1</v>
      </c>
      <c r="H807" s="1">
        <v>3.8541666666666668E-3</v>
      </c>
      <c r="I807" t="s">
        <v>18</v>
      </c>
      <c r="J807" s="2" t="str">
        <f>HYPERLINK("https://www.nba.com/stats/events?CFID=&amp;CFPARAMS=&amp;GameEventID=58&amp;GameID=0021600150&amp;Season=2016-17&amp;flag=1&amp;title=Leonard%2010'%20Fadeaway%20Jumper%20(4%20PTS)", "Leonard 10' Fadeaway Jumper (4 PTS)")</f>
        <v>Leonard 10' Fadeaway Jumper (4 PTS)</v>
      </c>
      <c r="K807" s="2" t="str">
        <f>HYPERLINK("https://www.nba.com/game/...-vs-...-0021600150/play-by-play?watchFullGame=true", "SAS vs MIA - Q1 05:33.00")</f>
        <v>SAS vs MIA - Q1 05:33.00</v>
      </c>
      <c r="L807">
        <v>10</v>
      </c>
      <c r="M807">
        <v>-71</v>
      </c>
      <c r="N807">
        <v>77</v>
      </c>
      <c r="O807">
        <v>-71</v>
      </c>
      <c r="P807">
        <v>77</v>
      </c>
    </row>
    <row r="808" spans="1:16" x14ac:dyDescent="0.25">
      <c r="A808">
        <v>21601135</v>
      </c>
      <c r="B808">
        <v>2016</v>
      </c>
      <c r="C808" t="s">
        <v>32</v>
      </c>
      <c r="D808" t="s">
        <v>19</v>
      </c>
      <c r="E808">
        <v>58</v>
      </c>
      <c r="F808">
        <v>45</v>
      </c>
      <c r="G808">
        <v>3</v>
      </c>
      <c r="H808" s="1">
        <v>7.3032407407407404E-3</v>
      </c>
      <c r="I808" t="s">
        <v>18</v>
      </c>
      <c r="J808" s="2" t="str">
        <f>HYPERLINK("https://www.nba.com/stats/events?CFID=&amp;CFPARAMS=&amp;GameEventID=268&amp;GameID=0021601135&amp;Season=2016-17&amp;flag=1&amp;title=Leonard%2014'%20Jump%20Shot%20(10%20PTS)%20(Aldridge%202%20AST)", "Leonard 14' Jump Shot (10 PTS) (Aldridge 2 AST)")</f>
        <v>Leonard 14' Jump Shot (10 PTS) (Aldridge 2 AST)</v>
      </c>
      <c r="K808" s="2" t="str">
        <f>HYPERLINK("https://www.nba.com/game/...-vs-...-0021601135/play-by-play?watchFullGame=true", "SAS vs OKC - Q3 10:31.00")</f>
        <v>SAS vs OKC - Q3 10:31.00</v>
      </c>
      <c r="L808">
        <v>14</v>
      </c>
      <c r="M808">
        <v>-71</v>
      </c>
      <c r="N808">
        <v>126</v>
      </c>
      <c r="O808">
        <v>-71</v>
      </c>
      <c r="P808">
        <v>126</v>
      </c>
    </row>
    <row r="809" spans="1:16" x14ac:dyDescent="0.25">
      <c r="A809">
        <v>22200016</v>
      </c>
      <c r="B809">
        <v>2022</v>
      </c>
      <c r="C809" t="s">
        <v>32</v>
      </c>
      <c r="D809" t="s">
        <v>19</v>
      </c>
      <c r="E809">
        <v>36</v>
      </c>
      <c r="F809">
        <v>50</v>
      </c>
      <c r="G809">
        <v>2</v>
      </c>
      <c r="H809" s="1">
        <v>4.1435185185185186E-3</v>
      </c>
      <c r="I809" t="s">
        <v>23</v>
      </c>
      <c r="J809" s="2" t="str">
        <f>HYPERLINK("https://www.nba.com/stats/events?CFID=&amp;CFPARAMS=&amp;GameEventID=254&amp;GameID=0022200016&amp;Season=2022-23&amp;flag=1&amp;title=Leonard%2015'%20fadeaway%20Jump%20Shot%20(2%20PTS)", "15' fadeaway Jump Shot (2 PTS)")</f>
        <v>15' fadeaway Jump Shot (2 PTS)</v>
      </c>
      <c r="K809" s="2" t="str">
        <f>HYPERLINK("https://www.nba.com/game/...-vs-...-0022200016/play-by-play?watchFullGame=true", "LAC vs LAL - Q2 05:58.00")</f>
        <v>LAC vs LAL - Q2 05:58.00</v>
      </c>
      <c r="L809">
        <v>15.68</v>
      </c>
      <c r="M809">
        <v>79.55</v>
      </c>
      <c r="N809">
        <v>35.78</v>
      </c>
      <c r="O809">
        <v>-71</v>
      </c>
      <c r="P809">
        <v>140</v>
      </c>
    </row>
    <row r="810" spans="1:16" x14ac:dyDescent="0.25">
      <c r="A810">
        <v>21600319</v>
      </c>
      <c r="B810">
        <v>2016</v>
      </c>
      <c r="C810" t="s">
        <v>32</v>
      </c>
      <c r="D810" t="s">
        <v>29</v>
      </c>
      <c r="E810">
        <v>29</v>
      </c>
      <c r="F810">
        <v>21</v>
      </c>
      <c r="G810">
        <v>2</v>
      </c>
      <c r="H810" s="1">
        <v>7.1875000000000003E-3</v>
      </c>
      <c r="I810" t="s">
        <v>18</v>
      </c>
      <c r="J810" s="2" t="str">
        <f>HYPERLINK("https://www.nba.com/stats/events?CFID=&amp;CFPARAMS=&amp;GameEventID=127&amp;GameID=0021600319&amp;Season=2016-17&amp;flag=1&amp;title=Leonard%2017'%20Pullup%20Jump%20Shot%20(2%20PTS)", "Leonard 17' Pullup Jump Shot (2 PTS)")</f>
        <v>Leonard 17' Pullup Jump Shot (2 PTS)</v>
      </c>
      <c r="K810" s="2" t="str">
        <f>HYPERLINK("https://www.nba.com/game/...-vs-...-0021600319/play-by-play?watchFullGame=true", "SAS vs MIN - Q2 10:21.00")</f>
        <v>SAS vs MIN - Q2 10:21.00</v>
      </c>
      <c r="L810">
        <v>17</v>
      </c>
      <c r="M810">
        <v>-71</v>
      </c>
      <c r="N810">
        <v>149</v>
      </c>
      <c r="O810">
        <v>-71</v>
      </c>
      <c r="P810">
        <v>149</v>
      </c>
    </row>
    <row r="811" spans="1:16" x14ac:dyDescent="0.25">
      <c r="A811">
        <v>21600003</v>
      </c>
      <c r="B811">
        <v>2016</v>
      </c>
      <c r="C811" t="s">
        <v>32</v>
      </c>
      <c r="D811" t="s">
        <v>29</v>
      </c>
      <c r="E811">
        <v>75</v>
      </c>
      <c r="F811">
        <v>97</v>
      </c>
      <c r="G811">
        <v>3</v>
      </c>
      <c r="H811" s="1">
        <v>1.2384259259259258E-4</v>
      </c>
      <c r="I811" t="s">
        <v>18</v>
      </c>
      <c r="J811" s="2" t="str">
        <f>HYPERLINK("https://www.nba.com/stats/events?CFID=&amp;CFPARAMS=&amp;GameEventID=397&amp;GameID=0021600003&amp;Season=2016-17&amp;flag=1&amp;title=Leonard%2017'%20Pullup%20Jump%20Shot%20(31%20PTS)", "Leonard 17' Pullup Jump Shot (31 PTS)")</f>
        <v>Leonard 17' Pullup Jump Shot (31 PTS)</v>
      </c>
      <c r="K811" s="2" t="str">
        <f>HYPERLINK("https://www.nba.com/game/...-vs-...-0021600003/play-by-play?watchFullGame=true", "SAS vs GSW - Q3 00:10.70")</f>
        <v>SAS vs GSW - Q3 00:10.70</v>
      </c>
      <c r="L811">
        <v>17</v>
      </c>
      <c r="M811">
        <v>-71</v>
      </c>
      <c r="N811">
        <v>154</v>
      </c>
      <c r="O811">
        <v>-71</v>
      </c>
      <c r="P811">
        <v>154</v>
      </c>
    </row>
    <row r="812" spans="1:16" x14ac:dyDescent="0.25">
      <c r="A812">
        <v>22300688</v>
      </c>
      <c r="B812">
        <v>2023</v>
      </c>
      <c r="C812" t="s">
        <v>32</v>
      </c>
      <c r="D812" t="s">
        <v>19</v>
      </c>
      <c r="E812">
        <v>28</v>
      </c>
      <c r="F812">
        <v>21</v>
      </c>
      <c r="G812">
        <v>1</v>
      </c>
      <c r="H812" s="1">
        <v>1.6319444444444445E-3</v>
      </c>
      <c r="I812" t="s">
        <v>23</v>
      </c>
      <c r="J812" s="2" t="str">
        <f>HYPERLINK("https://www.nba.com/stats/events?CFID=&amp;CFPARAMS=&amp;GameEventID=117&amp;GameID=0022300688&amp;Season=2023-24&amp;flag=1&amp;title=Leonard%2016'%20pullup%20Jump%20Shot%20(10%20PTS)%20(R.%20Westbrook%204%20AST)", "16' pullup Jump Shot (10 PTS) (R. Westbrook 4 AST)")</f>
        <v>16' pullup Jump Shot (10 PTS) (R. Westbrook 4 AST)</v>
      </c>
      <c r="K812" s="2" t="str">
        <f>HYPERLINK("https://www.nba.com/game/...-vs-...-0022300688/play-by-play?watchFullGame=true", "LAC vs DET - Q1 02:21.00")</f>
        <v>LAC vs DET - Q1 02:21.00</v>
      </c>
      <c r="L812">
        <v>16.98</v>
      </c>
      <c r="M812">
        <v>78.010000000000005</v>
      </c>
      <c r="N812">
        <v>35.78</v>
      </c>
      <c r="O812">
        <v>-71</v>
      </c>
      <c r="P812">
        <v>154</v>
      </c>
    </row>
    <row r="813" spans="1:16" x14ac:dyDescent="0.25">
      <c r="A813">
        <v>21400757</v>
      </c>
      <c r="B813">
        <v>2014</v>
      </c>
      <c r="C813" t="s">
        <v>32</v>
      </c>
      <c r="D813" t="s">
        <v>19</v>
      </c>
      <c r="E813">
        <v>94</v>
      </c>
      <c r="F813">
        <v>74</v>
      </c>
      <c r="G813">
        <v>4</v>
      </c>
      <c r="H813" s="1">
        <v>2.2800925925925927E-3</v>
      </c>
      <c r="I813" t="s">
        <v>18</v>
      </c>
      <c r="J813" s="2" t="str">
        <f>HYPERLINK("https://www.nba.com/stats/events?CFID=&amp;CFPARAMS=&amp;GameEventID=397&amp;GameID=0021400757&amp;Season=2014-15&amp;flag=1&amp;title=Leonard%2020'%20Jump%20Shot%20(24%20PTS)", "Leonard 20' Jump Shot (24 PTS)")</f>
        <v>Leonard 20' Jump Shot (24 PTS)</v>
      </c>
      <c r="K813" s="2" t="str">
        <f>HYPERLINK("https://www.nba.com/game/...-vs-...-0021400757/play-by-play?watchFullGame=true", "SAS vs MIA - Q4 03:17.00")</f>
        <v>SAS vs MIA - Q4 03:17.00</v>
      </c>
      <c r="L813">
        <v>20</v>
      </c>
      <c r="M813">
        <v>-71</v>
      </c>
      <c r="N813">
        <v>186</v>
      </c>
      <c r="O813">
        <v>-71</v>
      </c>
      <c r="P813">
        <v>186</v>
      </c>
    </row>
    <row r="814" spans="1:16" x14ac:dyDescent="0.25">
      <c r="A814">
        <v>21300888</v>
      </c>
      <c r="B814">
        <v>2013</v>
      </c>
      <c r="C814" t="s">
        <v>32</v>
      </c>
      <c r="D814" t="s">
        <v>19</v>
      </c>
      <c r="E814">
        <v>56</v>
      </c>
      <c r="F814">
        <v>53</v>
      </c>
      <c r="G814">
        <v>3</v>
      </c>
      <c r="H814" s="1">
        <v>6.0416666666666665E-3</v>
      </c>
      <c r="I814" t="s">
        <v>18</v>
      </c>
      <c r="J814" s="2" t="str">
        <f>HYPERLINK("https://www.nba.com/stats/events?CFID=&amp;CFPARAMS=&amp;GameEventID=267&amp;GameID=0021300888&amp;Season=2013-14&amp;flag=1&amp;title=Leonard%207'%20Jump%20Shot%20(9%20PTS)%20(Parker%203%20AST)", "Leonard 7' Jump Shot (9 PTS) (Parker 3 AST)")</f>
        <v>Leonard 7' Jump Shot (9 PTS) (Parker 3 AST)</v>
      </c>
      <c r="K814" s="2" t="str">
        <f>HYPERLINK("https://www.nba.com/game/...-vs-...-0021300888/play-by-play?watchFullGame=true", "SAS vs DAL - Q3 08:42.00")</f>
        <v>SAS vs DAL - Q3 08:42.00</v>
      </c>
      <c r="L814">
        <v>7</v>
      </c>
      <c r="M814">
        <v>-70</v>
      </c>
      <c r="N814">
        <v>15</v>
      </c>
      <c r="O814">
        <v>-70</v>
      </c>
      <c r="P814">
        <v>15</v>
      </c>
    </row>
    <row r="815" spans="1:16" x14ac:dyDescent="0.25">
      <c r="A815">
        <v>22201004</v>
      </c>
      <c r="B815">
        <v>2022</v>
      </c>
      <c r="C815" t="s">
        <v>32</v>
      </c>
      <c r="D815" t="s">
        <v>19</v>
      </c>
      <c r="E815">
        <v>16</v>
      </c>
      <c r="F815">
        <v>6</v>
      </c>
      <c r="G815">
        <v>1</v>
      </c>
      <c r="H815" s="1">
        <v>3.449074074074074E-3</v>
      </c>
      <c r="I815" t="s">
        <v>23</v>
      </c>
      <c r="J815" s="2" t="str">
        <f>HYPERLINK("https://www.nba.com/stats/events?CFID=&amp;CFPARAMS=&amp;GameEventID=74&amp;GameID=0022201004&amp;Season=2022-23&amp;flag=1&amp;title=Leonard%2010'%20pullup%20Jump%20Shot%20(6%20PTS)", "10' pullup Jump Shot (6 PTS)")</f>
        <v>10' pullup Jump Shot (6 PTS)</v>
      </c>
      <c r="K815" s="2" t="str">
        <f>HYPERLINK("https://www.nba.com/game/...-vs-...-0022201004/play-by-play?watchFullGame=true", "LAC vs NYK - Q1 04:58.00")</f>
        <v>LAC vs NYK - Q1 04:58.00</v>
      </c>
      <c r="L815">
        <v>10.199999999999999</v>
      </c>
      <c r="M815">
        <v>86.51</v>
      </c>
      <c r="N815">
        <v>36.03</v>
      </c>
      <c r="O815">
        <v>-70</v>
      </c>
      <c r="P815">
        <v>74</v>
      </c>
    </row>
    <row r="816" spans="1:16" x14ac:dyDescent="0.25">
      <c r="A816">
        <v>41600232</v>
      </c>
      <c r="B816" t="s">
        <v>30</v>
      </c>
      <c r="C816" t="s">
        <v>32</v>
      </c>
      <c r="D816" t="s">
        <v>34</v>
      </c>
      <c r="E816">
        <v>84</v>
      </c>
      <c r="F816">
        <v>78</v>
      </c>
      <c r="G816">
        <v>3</v>
      </c>
      <c r="H816" s="1">
        <v>1.238425925925926E-3</v>
      </c>
      <c r="I816" t="s">
        <v>18</v>
      </c>
      <c r="J816" s="2" t="str">
        <f>HYPERLINK("https://www.nba.com/stats/events?CFID=&amp;CFPARAMS=&amp;GameEventID=325&amp;GameID=0041600232&amp;Season=2016-17&amp;flag=1&amp;title=Leonard%2011'%20Turnaround%20Fadeaway%20(26%20PTS)", "Leonard 11' Turnaround Fadeaway (26 PTS)")</f>
        <v>Leonard 11' Turnaround Fadeaway (26 PTS)</v>
      </c>
      <c r="K816" s="2" t="str">
        <f>HYPERLINK("https://www.nba.com/game/...-vs-...-0041600232/play-by-play?watchFullGame=true", "SAS vs HOU - Q3 01:47.00")</f>
        <v>SAS vs HOU - Q3 01:47.00</v>
      </c>
      <c r="L816">
        <v>11</v>
      </c>
      <c r="M816">
        <v>-70</v>
      </c>
      <c r="N816">
        <v>87</v>
      </c>
      <c r="O816">
        <v>-70</v>
      </c>
      <c r="P816">
        <v>87</v>
      </c>
    </row>
    <row r="817" spans="1:16" x14ac:dyDescent="0.25">
      <c r="A817">
        <v>41800302</v>
      </c>
      <c r="B817" t="s">
        <v>20</v>
      </c>
      <c r="C817" t="s">
        <v>32</v>
      </c>
      <c r="D817" t="s">
        <v>31</v>
      </c>
      <c r="E817">
        <v>52</v>
      </c>
      <c r="F817">
        <v>36</v>
      </c>
      <c r="G817">
        <v>2</v>
      </c>
      <c r="H817" s="1">
        <v>2.8819444444444444E-3</v>
      </c>
      <c r="I817" t="s">
        <v>21</v>
      </c>
      <c r="J817" s="2" t="str">
        <f>HYPERLINK("https://www.nba.com/stats/events?CFID=&amp;CFPARAMS=&amp;GameEventID=279&amp;GameID=0041800302&amp;Season=2018-19&amp;flag=1&amp;title=Leonard%2015'%20Step%20Back%20Jump%20Shot%20(11%20PTS)", "Leonard 15' Step Back Jump Shot (11 PTS)")</f>
        <v>Leonard 15' Step Back Jump Shot (11 PTS)</v>
      </c>
      <c r="K817" s="2" t="str">
        <f>HYPERLINK("https://www.nba.com/game/...-vs-...-0041800302/play-by-play?watchFullGame=true", "TOR vs MIL - Q2 04:09.00")</f>
        <v>TOR vs MIL - Q2 04:09.00</v>
      </c>
      <c r="L817">
        <v>15</v>
      </c>
      <c r="M817">
        <v>-70</v>
      </c>
      <c r="N817">
        <v>136</v>
      </c>
      <c r="O817">
        <v>-70</v>
      </c>
      <c r="P817">
        <v>136</v>
      </c>
    </row>
    <row r="818" spans="1:16" x14ac:dyDescent="0.25">
      <c r="A818">
        <v>41800303</v>
      </c>
      <c r="B818" t="s">
        <v>20</v>
      </c>
      <c r="C818" t="s">
        <v>32</v>
      </c>
      <c r="D818" t="s">
        <v>31</v>
      </c>
      <c r="E818">
        <v>103</v>
      </c>
      <c r="F818">
        <v>99</v>
      </c>
      <c r="G818">
        <v>5</v>
      </c>
      <c r="H818" s="1">
        <v>1.0300925925925926E-3</v>
      </c>
      <c r="I818" t="s">
        <v>21</v>
      </c>
      <c r="J818" s="2" t="str">
        <f>HYPERLINK("https://www.nba.com/stats/events?CFID=&amp;CFPARAMS=&amp;GameEventID=772&amp;GameID=0041800303&amp;Season=2018-19&amp;flag=1&amp;title=Leonard%2015'%20Step%20Back%20Jump%20Shot%20(28%20PTS)", "Leonard 15' Step Back Jump Shot (28 PTS)")</f>
        <v>Leonard 15' Step Back Jump Shot (28 PTS)</v>
      </c>
      <c r="K818" s="2" t="str">
        <f>HYPERLINK("https://www.nba.com/game/...-vs-...-0041800303/play-by-play?watchFullGame=true", "TOR vs MIL - Q5 01:29.00")</f>
        <v>TOR vs MIL - Q5 01:29.00</v>
      </c>
      <c r="L818">
        <v>15</v>
      </c>
      <c r="M818">
        <v>-70</v>
      </c>
      <c r="N818">
        <v>137</v>
      </c>
      <c r="O818">
        <v>-70</v>
      </c>
      <c r="P818">
        <v>137</v>
      </c>
    </row>
    <row r="819" spans="1:16" x14ac:dyDescent="0.25">
      <c r="A819">
        <v>22201129</v>
      </c>
      <c r="B819">
        <v>2022</v>
      </c>
      <c r="C819" t="s">
        <v>32</v>
      </c>
      <c r="D819" t="s">
        <v>19</v>
      </c>
      <c r="E819">
        <v>47</v>
      </c>
      <c r="F819">
        <v>44</v>
      </c>
      <c r="G819">
        <v>2</v>
      </c>
      <c r="H819" s="1">
        <v>3.460648148148148E-3</v>
      </c>
      <c r="I819" t="s">
        <v>23</v>
      </c>
      <c r="J819" s="2" t="str">
        <f>HYPERLINK("https://www.nba.com/stats/events?CFID=&amp;CFPARAMS=&amp;GameEventID=242&amp;GameID=0022201129&amp;Season=2022-23&amp;flag=1&amp;title=Leonard%2016'%20pullup%20Jump%20Shot%20(7%20PTS)%20(E.%20Gordon%202%20AST)", "16' pullup Jump Shot (7 PTS) (E. Gordon 2 AST)")</f>
        <v>16' pullup Jump Shot (7 PTS) (E. Gordon 2 AST)</v>
      </c>
      <c r="K819" s="2" t="str">
        <f>HYPERLINK("https://www.nba.com/game/...-vs-...-0022201129/play-by-play?watchFullGame=true", "LAC vs CHI - Q2 04:59.00")</f>
        <v>LAC vs CHI - Q2 04:59.00</v>
      </c>
      <c r="L819">
        <v>16.04</v>
      </c>
      <c r="M819">
        <v>20.94</v>
      </c>
      <c r="N819">
        <v>63.97</v>
      </c>
      <c r="O819">
        <v>-70</v>
      </c>
      <c r="P819">
        <v>144</v>
      </c>
    </row>
    <row r="820" spans="1:16" x14ac:dyDescent="0.25">
      <c r="A820">
        <v>22000576</v>
      </c>
      <c r="B820">
        <v>2020</v>
      </c>
      <c r="C820" t="s">
        <v>32</v>
      </c>
      <c r="D820" t="s">
        <v>19</v>
      </c>
      <c r="E820">
        <v>18</v>
      </c>
      <c r="F820">
        <v>15</v>
      </c>
      <c r="G820">
        <v>1</v>
      </c>
      <c r="H820" s="1">
        <v>3.1250000000000002E-3</v>
      </c>
      <c r="I820" t="s">
        <v>23</v>
      </c>
      <c r="J820" s="2" t="str">
        <f>HYPERLINK("https://www.nba.com/stats/events?CFID=&amp;CFPARAMS=&amp;GameEventID=100&amp;GameID=0022000576&amp;Season=2020-21&amp;flag=1&amp;title=Leonard%2023'%20step%20back%20Jump%20Shot%20(4%20PTS)", "23' step back Jump Shot (4 PTS)")</f>
        <v>23' step back Jump Shot (4 PTS)</v>
      </c>
      <c r="K820" s="2" t="str">
        <f>HYPERLINK("https://www.nba.com/game/...-vs-...-0022000576/play-by-play?watchFullGame=true", "LAC vs GSW - Q1 04:30.00")</f>
        <v>LAC vs GSW - Q1 04:30.00</v>
      </c>
      <c r="L820">
        <v>23.28</v>
      </c>
      <c r="M820">
        <v>70.78</v>
      </c>
      <c r="N820">
        <v>36.1</v>
      </c>
      <c r="O820">
        <v>-70</v>
      </c>
      <c r="P820">
        <v>222</v>
      </c>
    </row>
    <row r="821" spans="1:16" x14ac:dyDescent="0.25">
      <c r="A821">
        <v>22300917</v>
      </c>
      <c r="B821">
        <v>2023</v>
      </c>
      <c r="C821" t="s">
        <v>32</v>
      </c>
      <c r="D821" t="s">
        <v>19</v>
      </c>
      <c r="E821">
        <v>43</v>
      </c>
      <c r="F821">
        <v>52</v>
      </c>
      <c r="G821">
        <v>2</v>
      </c>
      <c r="H821" s="1">
        <v>1.0300925925925926E-3</v>
      </c>
      <c r="I821" t="s">
        <v>23</v>
      </c>
      <c r="J821" s="2" t="str">
        <f>HYPERLINK("https://www.nba.com/stats/events?CFID=&amp;CFPARAMS=&amp;GameEventID=299&amp;GameID=0022300917&amp;Season=2023-24&amp;flag=1&amp;title=Leonard%2010'%20driving%20floating%20Jump%20Shot%20(9%20PTS)", "10' driving floating Jump Shot (9 PTS)")</f>
        <v>10' driving floating Jump Shot (9 PTS)</v>
      </c>
      <c r="K821" s="2" t="str">
        <f>HYPERLINK("https://www.nba.com/game/...-vs-...-0022300917/play-by-play?watchFullGame=true", "LAC vs CHI - Q2 01:29.00")</f>
        <v>LAC vs CHI - Q2 01:29.00</v>
      </c>
      <c r="L821">
        <v>10.18</v>
      </c>
      <c r="M821">
        <v>13.58</v>
      </c>
      <c r="N821">
        <v>63.73</v>
      </c>
      <c r="O821">
        <v>-69</v>
      </c>
      <c r="P821">
        <v>75</v>
      </c>
    </row>
    <row r="822" spans="1:16" x14ac:dyDescent="0.25">
      <c r="A822">
        <v>22200438</v>
      </c>
      <c r="B822">
        <v>2022</v>
      </c>
      <c r="C822" t="s">
        <v>32</v>
      </c>
      <c r="D822" t="s">
        <v>19</v>
      </c>
      <c r="E822">
        <v>96</v>
      </c>
      <c r="F822">
        <v>89</v>
      </c>
      <c r="G822">
        <v>4</v>
      </c>
      <c r="H822" s="1">
        <v>1.5740740740740741E-3</v>
      </c>
      <c r="I822" t="s">
        <v>23</v>
      </c>
      <c r="J822" s="2" t="str">
        <f>HYPERLINK("https://www.nba.com/stats/events?CFID=&amp;CFPARAMS=&amp;GameEventID=590&amp;GameID=0022200438&amp;Season=2022-23&amp;flag=1&amp;title=Leonard%2012'%20pullup%20Jump%20Shot%20(29%20PTS)", "12' pullup Jump Shot (29 PTS)")</f>
        <v>12' pullup Jump Shot (29 PTS)</v>
      </c>
      <c r="K822" s="2" t="str">
        <f>HYPERLINK("https://www.nba.com/game/...-vs-...-0022200438/play-by-play?watchFullGame=true", "LAC vs WAS - Q4 02:16.00")</f>
        <v>LAC vs WAS - Q4 02:16.00</v>
      </c>
      <c r="L822">
        <v>12.45</v>
      </c>
      <c r="M822">
        <v>83.36</v>
      </c>
      <c r="N822">
        <v>36.270000000000003</v>
      </c>
      <c r="O822">
        <v>-69</v>
      </c>
      <c r="P822">
        <v>104</v>
      </c>
    </row>
    <row r="823" spans="1:16" x14ac:dyDescent="0.25">
      <c r="A823">
        <v>22400842</v>
      </c>
      <c r="B823">
        <v>2024</v>
      </c>
      <c r="C823" t="s">
        <v>32</v>
      </c>
      <c r="D823" t="s">
        <v>19</v>
      </c>
      <c r="E823">
        <v>7</v>
      </c>
      <c r="F823">
        <v>11</v>
      </c>
      <c r="G823">
        <v>1</v>
      </c>
      <c r="H823" s="1">
        <v>5.5671296296296293E-3</v>
      </c>
      <c r="I823" t="s">
        <v>23</v>
      </c>
      <c r="J823" s="2" t="str">
        <f>HYPERLINK("https://www.nba.com/stats/events?CFID=&amp;CFPARAMS=&amp;GameEventID=41&amp;GameID=0022400842&amp;Season=2024-25&amp;flag=1&amp;title=Leonard%2014'%20running%20pullup%20Jump%20Shot%20(2%20PTS)", "14' running pullup Jump Shot (2 PTS)")</f>
        <v>14' running pullup Jump Shot (2 PTS)</v>
      </c>
      <c r="K823" s="2" t="str">
        <f>HYPERLINK("https://www.nba.com/game/...-vs-...-0022400842/play-by-play?watchFullGame=true", "LAC vs CHI - Q1 08:01.00")</f>
        <v>LAC vs CHI - Q1 08:01.00</v>
      </c>
      <c r="L823">
        <v>14.86</v>
      </c>
      <c r="M823">
        <v>19.579999999999998</v>
      </c>
      <c r="N823">
        <v>63.86</v>
      </c>
      <c r="O823">
        <v>-69</v>
      </c>
      <c r="P823">
        <v>132</v>
      </c>
    </row>
    <row r="824" spans="1:16" x14ac:dyDescent="0.25">
      <c r="A824">
        <v>22301064</v>
      </c>
      <c r="B824">
        <v>2023</v>
      </c>
      <c r="C824" t="s">
        <v>16</v>
      </c>
      <c r="D824" t="s">
        <v>19</v>
      </c>
      <c r="E824">
        <v>50</v>
      </c>
      <c r="F824">
        <v>59</v>
      </c>
      <c r="G824">
        <v>3</v>
      </c>
      <c r="H824" s="1">
        <v>6.8634259259259256E-3</v>
      </c>
      <c r="I824" t="s">
        <v>23</v>
      </c>
      <c r="J824" s="2" t="str">
        <f>HYPERLINK("https://www.nba.com/stats/events?CFID=&amp;CFPARAMS=&amp;GameEventID=334&amp;GameID=0022301064&amp;Season=2023-24&amp;flag=1&amp;title=Leonard%2026'%203PT%20running%20pullup%20(13%20PTS)", "26' 3PT running pullup (13 PTS)")</f>
        <v>26' 3PT running pullup (13 PTS)</v>
      </c>
      <c r="K824" s="2" t="str">
        <f>HYPERLINK("https://www.nba.com/game/...-vs-...-0022301064/play-by-play?watchFullGame=true", "LAC vs ORL - Q3 09:53.00")</f>
        <v>LAC vs ORL - Q3 09:53.00</v>
      </c>
      <c r="L824">
        <v>26.81</v>
      </c>
      <c r="M824">
        <v>66.84</v>
      </c>
      <c r="N824">
        <v>36.270000000000003</v>
      </c>
      <c r="O824">
        <v>-69</v>
      </c>
      <c r="P824">
        <v>259</v>
      </c>
    </row>
    <row r="825" spans="1:16" x14ac:dyDescent="0.25">
      <c r="A825">
        <v>22400793</v>
      </c>
      <c r="B825">
        <v>2024</v>
      </c>
      <c r="C825" t="s">
        <v>16</v>
      </c>
      <c r="D825" t="s">
        <v>19</v>
      </c>
      <c r="E825">
        <v>86</v>
      </c>
      <c r="F825">
        <v>98</v>
      </c>
      <c r="G825">
        <v>4</v>
      </c>
      <c r="H825" s="1">
        <v>6.2384259259259259E-3</v>
      </c>
      <c r="I825" t="s">
        <v>23</v>
      </c>
      <c r="J825" s="2" t="str">
        <f>HYPERLINK("https://www.nba.com/stats/events?CFID=&amp;CFPARAMS=&amp;GameEventID=502&amp;GameID=0022400793&amp;Season=2024-25&amp;flag=1&amp;title=Leonard%2026'%203PT%20%20(25%20PTS)%20(B.%20Bogdanovic%205%20AST)", "26' 3PT  (25 PTS) (B. Bogdanovic 5 AST)")</f>
        <v>26' 3PT  (25 PTS) (B. Bogdanovic 5 AST)</v>
      </c>
      <c r="K825" s="2" t="str">
        <f>HYPERLINK("https://www.nba.com/game/...-vs-...-0022400793/play-by-play?watchFullGame=true", "LAC vs MIL - Q4 08:59.00")</f>
        <v>LAC vs MIL - Q4 08:59.00</v>
      </c>
      <c r="L825">
        <v>26.89</v>
      </c>
      <c r="M825">
        <v>66.75</v>
      </c>
      <c r="N825">
        <v>36.270000000000003</v>
      </c>
      <c r="O825">
        <v>-69</v>
      </c>
      <c r="P825">
        <v>260</v>
      </c>
    </row>
    <row r="826" spans="1:16" x14ac:dyDescent="0.25">
      <c r="A826">
        <v>41400161</v>
      </c>
      <c r="B826" t="s">
        <v>28</v>
      </c>
      <c r="C826" t="s">
        <v>32</v>
      </c>
      <c r="D826" t="s">
        <v>45</v>
      </c>
      <c r="E826">
        <v>71</v>
      </c>
      <c r="F826">
        <v>59</v>
      </c>
      <c r="G826">
        <v>3</v>
      </c>
      <c r="H826" s="1">
        <v>1.5393518518518519E-3</v>
      </c>
      <c r="I826" t="s">
        <v>18</v>
      </c>
      <c r="J826" s="2" t="str">
        <f>HYPERLINK("https://www.nba.com/stats/events?CFID=&amp;CFPARAMS=&amp;GameEventID=433&amp;GameID=0041400161&amp;Season=2014-15&amp;flag=1&amp;title=Leonard%207'%20Jump%20Hook%20Shot%20(11%20PTS)%20(Ginobili%204%20AST)", "Leonard 7' Jump Hook Shot (11 PTS) (Ginobili 4 AST)")</f>
        <v>Leonard 7' Jump Hook Shot (11 PTS) (Ginobili 4 AST)</v>
      </c>
      <c r="K826" s="2" t="str">
        <f>HYPERLINK("https://www.nba.com/game/...-vs-...-0041400161/play-by-play?watchFullGame=true", "SAS vs LAC - Q3 02:13.00")</f>
        <v>SAS vs LAC - Q3 02:13.00</v>
      </c>
      <c r="L826">
        <v>7</v>
      </c>
      <c r="M826">
        <v>-68</v>
      </c>
      <c r="N826">
        <v>0</v>
      </c>
      <c r="O826">
        <v>-68</v>
      </c>
      <c r="P826">
        <v>0</v>
      </c>
    </row>
    <row r="827" spans="1:16" x14ac:dyDescent="0.25">
      <c r="A827">
        <v>21500546</v>
      </c>
      <c r="B827">
        <v>2015</v>
      </c>
      <c r="C827" t="s">
        <v>32</v>
      </c>
      <c r="D827" t="s">
        <v>19</v>
      </c>
      <c r="E827">
        <v>46</v>
      </c>
      <c r="F827">
        <v>43</v>
      </c>
      <c r="G827">
        <v>2</v>
      </c>
      <c r="H827" s="1">
        <v>1.9212962962962964E-3</v>
      </c>
      <c r="I827" t="s">
        <v>18</v>
      </c>
      <c r="J827" s="2" t="str">
        <f>HYPERLINK("https://www.nba.com/stats/events?CFID=&amp;CFPARAMS=&amp;GameEventID=245&amp;GameID=0021500546&amp;Season=2015-16&amp;flag=1&amp;title=Leonard%207'%20Jump%20Shot%20(13%20PTS)", "Leonard 7' Jump Shot (13 PTS)")</f>
        <v>Leonard 7' Jump Shot (13 PTS)</v>
      </c>
      <c r="K827" s="2" t="str">
        <f>HYPERLINK("https://www.nba.com/game/...-vs-...-0021500546/play-by-play?watchFullGame=true", "SAS vs NYK - Q2 02:46.00")</f>
        <v>SAS vs NYK - Q2 02:46.00</v>
      </c>
      <c r="L827">
        <v>7</v>
      </c>
      <c r="M827">
        <v>-68</v>
      </c>
      <c r="N827">
        <v>7</v>
      </c>
      <c r="O827">
        <v>-68</v>
      </c>
      <c r="P827">
        <v>7</v>
      </c>
    </row>
    <row r="828" spans="1:16" x14ac:dyDescent="0.25">
      <c r="A828">
        <v>21300349</v>
      </c>
      <c r="B828">
        <v>2013</v>
      </c>
      <c r="C828" t="s">
        <v>32</v>
      </c>
      <c r="D828" t="s">
        <v>33</v>
      </c>
      <c r="E828">
        <v>22</v>
      </c>
      <c r="F828">
        <v>32</v>
      </c>
      <c r="G828">
        <v>2</v>
      </c>
      <c r="H828" s="1">
        <v>5.7060185185185183E-3</v>
      </c>
      <c r="I828" t="s">
        <v>18</v>
      </c>
      <c r="J828" s="2" t="str">
        <f>HYPERLINK("https://www.nba.com/stats/events?CFID=&amp;CFPARAMS=&amp;GameEventID=151&amp;GameID=0021300349&amp;Season=2013-14&amp;flag=1&amp;title=Leonard%2012'%20Fadeaway%20Jumper%20(4%20PTS)", "Leonard 12' Fadeaway Jumper (4 PTS)")</f>
        <v>Leonard 12' Fadeaway Jumper (4 PTS)</v>
      </c>
      <c r="K828" s="2" t="str">
        <f>HYPERLINK("https://www.nba.com/game/...-vs-...-0021300349/play-by-play?watchFullGame=true", "SAS vs UTA - Q2 08:13.00")</f>
        <v>SAS vs UTA - Q2 08:13.00</v>
      </c>
      <c r="L828">
        <v>12</v>
      </c>
      <c r="M828">
        <v>-68</v>
      </c>
      <c r="N828">
        <v>101</v>
      </c>
      <c r="O828">
        <v>-68</v>
      </c>
      <c r="P828">
        <v>101</v>
      </c>
    </row>
    <row r="829" spans="1:16" x14ac:dyDescent="0.25">
      <c r="A829">
        <v>21601170</v>
      </c>
      <c r="B829">
        <v>2016</v>
      </c>
      <c r="C829" t="s">
        <v>32</v>
      </c>
      <c r="D829" t="s">
        <v>29</v>
      </c>
      <c r="E829">
        <v>8</v>
      </c>
      <c r="F829">
        <v>8</v>
      </c>
      <c r="G829">
        <v>1</v>
      </c>
      <c r="H829" s="1">
        <v>5.0810185185185186E-3</v>
      </c>
      <c r="I829" t="s">
        <v>18</v>
      </c>
      <c r="J829" s="2" t="str">
        <f>HYPERLINK("https://www.nba.com/stats/events?CFID=&amp;CFPARAMS=&amp;GameEventID=34&amp;GameID=0021601170&amp;Season=2016-17&amp;flag=1&amp;title=Leonard%2014'%20Pullup%20Jump%20Shot%20(4%20PTS)%20(Simmons%201%20AST)", "Leonard 14' Pullup Jump Shot (4 PTS) (Simmons 1 AST)")</f>
        <v>Leonard 14' Pullup Jump Shot (4 PTS) (Simmons 1 AST)</v>
      </c>
      <c r="K829" s="2" t="str">
        <f>HYPERLINK("https://www.nba.com/game/...-vs-...-0021601170/play-by-play?watchFullGame=true", "SAS vs LAL - Q1 07:19.00")</f>
        <v>SAS vs LAL - Q1 07:19.00</v>
      </c>
      <c r="L829">
        <v>14</v>
      </c>
      <c r="M829">
        <v>-68</v>
      </c>
      <c r="N829">
        <v>120</v>
      </c>
      <c r="O829">
        <v>-68</v>
      </c>
      <c r="P829">
        <v>120</v>
      </c>
    </row>
    <row r="830" spans="1:16" x14ac:dyDescent="0.25">
      <c r="A830">
        <v>21400241</v>
      </c>
      <c r="B830">
        <v>2014</v>
      </c>
      <c r="C830" t="s">
        <v>16</v>
      </c>
      <c r="D830" t="s">
        <v>19</v>
      </c>
      <c r="E830">
        <v>0</v>
      </c>
      <c r="F830">
        <v>3</v>
      </c>
      <c r="G830">
        <v>1</v>
      </c>
      <c r="H830" s="1">
        <v>7.8819444444444449E-3</v>
      </c>
      <c r="I830" t="s">
        <v>18</v>
      </c>
      <c r="J830" s="2" t="str">
        <f>HYPERLINK("https://www.nba.com/stats/events?CFID=&amp;CFPARAMS=&amp;GameEventID=5&amp;GameID=0021400241&amp;Season=2014-15&amp;flag=1&amp;title=Leonard%2025'%203PT%20Jump%20Shot%20(3%20PTS)%20(Diaw%201%20AST)", "Leonard 25' 3PT Jump Shot (3 PTS) (Diaw 1 AST)")</f>
        <v>Leonard 25' 3PT Jump Shot (3 PTS) (Diaw 1 AST)</v>
      </c>
      <c r="K830" s="2" t="str">
        <f>HYPERLINK("https://www.nba.com/game/...-vs-...-0021400241/play-by-play?watchFullGame=true", "SAS vs BOS - Q1 11:21.00")</f>
        <v>SAS vs BOS - Q1 11:21.00</v>
      </c>
      <c r="L830">
        <v>25</v>
      </c>
      <c r="M830">
        <v>-68</v>
      </c>
      <c r="N830">
        <v>242</v>
      </c>
      <c r="O830">
        <v>-68</v>
      </c>
      <c r="P830">
        <v>242</v>
      </c>
    </row>
    <row r="831" spans="1:16" x14ac:dyDescent="0.25">
      <c r="A831">
        <v>41300221</v>
      </c>
      <c r="B831" t="s">
        <v>26</v>
      </c>
      <c r="C831" t="s">
        <v>32</v>
      </c>
      <c r="D831" t="s">
        <v>38</v>
      </c>
      <c r="E831">
        <v>18</v>
      </c>
      <c r="F831">
        <v>7</v>
      </c>
      <c r="G831">
        <v>1</v>
      </c>
      <c r="H831" s="1">
        <v>2.7893518518518519E-3</v>
      </c>
      <c r="I831" t="s">
        <v>18</v>
      </c>
      <c r="J831" s="2" t="str">
        <f>HYPERLINK("https://www.nba.com/stats/events?CFID=&amp;CFPARAMS=&amp;GameEventID=81&amp;GameID=0041300221&amp;Season=2013-14&amp;flag=1&amp;title=Leonard%207'%20Jump%20Bank%20Shot%20(6%20PTS)", "Leonard 7' Jump Bank Shot (6 PTS)")</f>
        <v>Leonard 7' Jump Bank Shot (6 PTS)</v>
      </c>
      <c r="K831" s="2" t="str">
        <f>HYPERLINK("https://www.nba.com/game/...-vs-...-0041300221/play-by-play?watchFullGame=true", "SAS vs POR - Q1 04:01.00")</f>
        <v>SAS vs POR - Q1 04:01.00</v>
      </c>
      <c r="L831">
        <v>7</v>
      </c>
      <c r="M831">
        <v>-67</v>
      </c>
      <c r="N831">
        <v>-3</v>
      </c>
      <c r="O831">
        <v>-67</v>
      </c>
      <c r="P831">
        <v>-3</v>
      </c>
    </row>
    <row r="832" spans="1:16" x14ac:dyDescent="0.25">
      <c r="A832">
        <v>41800213</v>
      </c>
      <c r="B832" t="s">
        <v>20</v>
      </c>
      <c r="C832" t="s">
        <v>32</v>
      </c>
      <c r="D832" t="s">
        <v>29</v>
      </c>
      <c r="E832">
        <v>45</v>
      </c>
      <c r="F832">
        <v>38</v>
      </c>
      <c r="G832">
        <v>2</v>
      </c>
      <c r="H832" s="1">
        <v>4.0856481481481481E-3</v>
      </c>
      <c r="I832" t="s">
        <v>21</v>
      </c>
      <c r="J832" s="2" t="str">
        <f>HYPERLINK("https://www.nba.com/stats/events?CFID=&amp;CFPARAMS=&amp;GameEventID=232&amp;GameID=0041800213&amp;Season=2018-19&amp;flag=1&amp;title=Leonard%207'%20Pullup%20Jump%20Shot%20(11%20PTS)", "Leonard 7' Pullup Jump Shot (11 PTS)")</f>
        <v>Leonard 7' Pullup Jump Shot (11 PTS)</v>
      </c>
      <c r="K832" s="2" t="str">
        <f>HYPERLINK("https://www.nba.com/game/...-vs-...-0041800213/play-by-play?watchFullGame=true", "TOR vs PHI - Q2 05:53.00")</f>
        <v>TOR vs PHI - Q2 05:53.00</v>
      </c>
      <c r="L832">
        <v>7</v>
      </c>
      <c r="M832">
        <v>-67</v>
      </c>
      <c r="N832">
        <v>20</v>
      </c>
      <c r="O832">
        <v>-67</v>
      </c>
      <c r="P832">
        <v>20</v>
      </c>
    </row>
    <row r="833" spans="1:16" x14ac:dyDescent="0.25">
      <c r="A833">
        <v>41300315</v>
      </c>
      <c r="B833" t="s">
        <v>26</v>
      </c>
      <c r="C833" t="s">
        <v>32</v>
      </c>
      <c r="D833" t="s">
        <v>24</v>
      </c>
      <c r="E833">
        <v>39</v>
      </c>
      <c r="F833">
        <v>35</v>
      </c>
      <c r="G833">
        <v>2</v>
      </c>
      <c r="H833" s="1">
        <v>5.1273148148148146E-3</v>
      </c>
      <c r="I833" t="s">
        <v>18</v>
      </c>
      <c r="J833" s="2" t="str">
        <f>HYPERLINK("https://www.nba.com/stats/events?CFID=&amp;CFPARAMS=&amp;GameEventID=163&amp;GameID=0041300315&amp;Season=2013-14&amp;flag=1&amp;title=Leonard%207'%20Turnaround%20Jump%20Shot%20(7%20PTS)", "Leonard 7' Turnaround Jump Shot (7 PTS)")</f>
        <v>Leonard 7' Turnaround Jump Shot (7 PTS)</v>
      </c>
      <c r="K833" s="2" t="str">
        <f>HYPERLINK("https://www.nba.com/game/...-vs-...-0041300315/play-by-play?watchFullGame=true", "SAS vs OKC - Q2 07:23.00")</f>
        <v>SAS vs OKC - Q2 07:23.00</v>
      </c>
      <c r="L833">
        <v>7</v>
      </c>
      <c r="M833">
        <v>-67</v>
      </c>
      <c r="N833">
        <v>25</v>
      </c>
      <c r="O833">
        <v>-67</v>
      </c>
      <c r="P833">
        <v>25</v>
      </c>
    </row>
    <row r="834" spans="1:16" x14ac:dyDescent="0.25">
      <c r="A834">
        <v>22201215</v>
      </c>
      <c r="B834">
        <v>2022</v>
      </c>
      <c r="C834" t="s">
        <v>32</v>
      </c>
      <c r="D834" t="s">
        <v>19</v>
      </c>
      <c r="E834">
        <v>18</v>
      </c>
      <c r="F834">
        <v>23</v>
      </c>
      <c r="G834">
        <v>1</v>
      </c>
      <c r="H834" s="1">
        <v>2.3263888888888887E-3</v>
      </c>
      <c r="I834" t="s">
        <v>23</v>
      </c>
      <c r="J834" s="2" t="str">
        <f>HYPERLINK("https://www.nba.com/stats/events?CFID=&amp;CFPARAMS=&amp;GameEventID=111&amp;GameID=0022201215&amp;Season=2022-23&amp;flag=1&amp;title=Leonard%207'%20driving%20floating%20bank%20Jump%20Shot%20(6%20PTS)%20(N.%20Powell%201%20AST)", "7' driving floating bank Jump Shot (6 PTS) (N. Powell 1 AST)")</f>
        <v>7' driving floating bank Jump Shot (6 PTS) (N. Powell 1 AST)</v>
      </c>
      <c r="K834" s="2" t="str">
        <f>HYPERLINK("https://www.nba.com/game/...-vs-...-0022201215/play-by-play?watchFullGame=true", "LAC vs POR - Q1 03:21.00")</f>
        <v>LAC vs POR - Q1 03:21.00</v>
      </c>
      <c r="L834">
        <v>7.58</v>
      </c>
      <c r="M834">
        <v>90.72</v>
      </c>
      <c r="N834">
        <v>36.520000000000003</v>
      </c>
      <c r="O834">
        <v>-67</v>
      </c>
      <c r="P834">
        <v>35</v>
      </c>
    </row>
    <row r="835" spans="1:16" x14ac:dyDescent="0.25">
      <c r="A835">
        <v>22000350</v>
      </c>
      <c r="B835">
        <v>2020</v>
      </c>
      <c r="C835" t="s">
        <v>32</v>
      </c>
      <c r="D835" t="s">
        <v>19</v>
      </c>
      <c r="E835">
        <v>106</v>
      </c>
      <c r="F835">
        <v>106</v>
      </c>
      <c r="G835">
        <v>4</v>
      </c>
      <c r="H835" s="1">
        <v>2.7083333333333334E-3</v>
      </c>
      <c r="I835" t="s">
        <v>23</v>
      </c>
      <c r="J835" s="2" t="str">
        <f>HYPERLINK("https://www.nba.com/stats/events?CFID=&amp;CFPARAMS=&amp;GameEventID=565&amp;GameID=0022000350&amp;Season=2020-21&amp;flag=1&amp;title=Leonard%2011'%20turnaround%20Jump%20Shot%20(26%20PTS)", "11' turnaround Jump Shot (26 PTS)")</f>
        <v>11' turnaround Jump Shot (26 PTS)</v>
      </c>
      <c r="K835" s="2" t="str">
        <f>HYPERLINK("https://www.nba.com/game/...-vs-...-0022000350/play-by-play?watchFullGame=true", "LAC vs BOS - Q4 03:54.00")</f>
        <v>LAC vs BOS - Q4 03:54.00</v>
      </c>
      <c r="L835">
        <v>11.23</v>
      </c>
      <c r="M835">
        <v>84.84</v>
      </c>
      <c r="N835">
        <v>36.590000000000003</v>
      </c>
      <c r="O835">
        <v>-67</v>
      </c>
      <c r="P835">
        <v>90</v>
      </c>
    </row>
    <row r="836" spans="1:16" x14ac:dyDescent="0.25">
      <c r="A836">
        <v>21900653</v>
      </c>
      <c r="B836">
        <v>2019</v>
      </c>
      <c r="C836" t="s">
        <v>32</v>
      </c>
      <c r="D836" t="s">
        <v>22</v>
      </c>
      <c r="E836">
        <v>92</v>
      </c>
      <c r="F836">
        <v>92</v>
      </c>
      <c r="G836">
        <v>4</v>
      </c>
      <c r="H836" s="1">
        <v>3.7962962962962963E-3</v>
      </c>
      <c r="I836" t="s">
        <v>23</v>
      </c>
      <c r="J836" s="2" t="str">
        <f>HYPERLINK("https://www.nba.com/stats/events?CFID=&amp;CFPARAMS=&amp;GameEventID=633&amp;GameID=0021900653&amp;Season=2019-20&amp;flag=1&amp;title=Leonard%2012'%20jumpshot%20(27%20PTS)", "12' jumpshot (27 PTS)")</f>
        <v>12' jumpshot (27 PTS)</v>
      </c>
      <c r="K836" s="2" t="str">
        <f>HYPERLINK("https://www.nba.com/game/...-vs-...-0021900653/play-by-play?watchFullGame=true", "LAC vs DAL - Q4 05:28.00")</f>
        <v>LAC vs DAL - Q4 05:28.00</v>
      </c>
      <c r="L836">
        <v>11.88</v>
      </c>
      <c r="M836">
        <v>84.58</v>
      </c>
      <c r="N836">
        <v>36.590000000000003</v>
      </c>
      <c r="O836">
        <v>-67</v>
      </c>
      <c r="P836">
        <v>92</v>
      </c>
    </row>
    <row r="837" spans="1:16" x14ac:dyDescent="0.25">
      <c r="A837">
        <v>22300473</v>
      </c>
      <c r="B837">
        <v>2023</v>
      </c>
      <c r="C837" t="s">
        <v>32</v>
      </c>
      <c r="D837" t="s">
        <v>19</v>
      </c>
      <c r="E837">
        <v>46</v>
      </c>
      <c r="F837">
        <v>60</v>
      </c>
      <c r="G837">
        <v>2</v>
      </c>
      <c r="H837" s="1">
        <v>1.712962962962963E-3</v>
      </c>
      <c r="I837" t="s">
        <v>23</v>
      </c>
      <c r="J837" s="2" t="str">
        <f>HYPERLINK("https://www.nba.com/stats/events?CFID=&amp;CFPARAMS=&amp;GameEventID=276&amp;GameID=0022300473&amp;Season=2023-24&amp;flag=1&amp;title=Leonard%2014'%20turnaround%20fadeaway%20Jump%20Shot%20(8%20PTS)", "14' turnaround fadeaway Jump Shot (8 PTS)")</f>
        <v>14' turnaround fadeaway Jump Shot (8 PTS)</v>
      </c>
      <c r="K837" s="2" t="str">
        <f>HYPERLINK("https://www.nba.com/game/...-vs-...-0022300473/play-by-play?watchFullGame=true", "LAC vs PHX - Q2 02:28.00")</f>
        <v>LAC vs PHX - Q2 02:28.00</v>
      </c>
      <c r="L837">
        <v>14.49</v>
      </c>
      <c r="M837">
        <v>80.77</v>
      </c>
      <c r="N837">
        <v>36.520000000000003</v>
      </c>
      <c r="O837">
        <v>-67</v>
      </c>
      <c r="P837">
        <v>128</v>
      </c>
    </row>
    <row r="838" spans="1:16" x14ac:dyDescent="0.25">
      <c r="A838">
        <v>21401223</v>
      </c>
      <c r="B838">
        <v>2014</v>
      </c>
      <c r="C838" t="s">
        <v>32</v>
      </c>
      <c r="D838" t="s">
        <v>19</v>
      </c>
      <c r="E838">
        <v>47</v>
      </c>
      <c r="F838">
        <v>29</v>
      </c>
      <c r="G838">
        <v>2</v>
      </c>
      <c r="H838" s="1">
        <v>4.5138888888888885E-3</v>
      </c>
      <c r="I838" t="s">
        <v>18</v>
      </c>
      <c r="J838" s="2" t="str">
        <f>HYPERLINK("https://www.nba.com/stats/events?CFID=&amp;CFPARAMS=&amp;GameEventID=148&amp;GameID=0021401223&amp;Season=2014-15&amp;flag=1&amp;title=Leonard%2015'%20Jump%20Shot%20(6%20PTS)%20(Baynes%202%20AST)", "Leonard 15' Jump Shot (6 PTS) (Baynes 2 AST)")</f>
        <v>Leonard 15' Jump Shot (6 PTS) (Baynes 2 AST)</v>
      </c>
      <c r="K838" s="2" t="str">
        <f>HYPERLINK("https://www.nba.com/game/...-vs-...-0021401223/play-by-play?watchFullGame=true", "SAS vs NOP - Q2 06:30.00")</f>
        <v>SAS vs NOP - Q2 06:30.00</v>
      </c>
      <c r="L838">
        <v>15</v>
      </c>
      <c r="M838">
        <v>-67</v>
      </c>
      <c r="N838">
        <v>135</v>
      </c>
      <c r="O838">
        <v>-67</v>
      </c>
      <c r="P838">
        <v>135</v>
      </c>
    </row>
    <row r="839" spans="1:16" x14ac:dyDescent="0.25">
      <c r="A839">
        <v>22000172</v>
      </c>
      <c r="B839">
        <v>2020</v>
      </c>
      <c r="C839" t="s">
        <v>32</v>
      </c>
      <c r="D839" t="s">
        <v>19</v>
      </c>
      <c r="E839">
        <v>28</v>
      </c>
      <c r="F839">
        <v>28</v>
      </c>
      <c r="G839">
        <v>1</v>
      </c>
      <c r="H839" s="1">
        <v>3.1597222222222221E-4</v>
      </c>
      <c r="I839" t="s">
        <v>23</v>
      </c>
      <c r="J839" s="2" t="str">
        <f>HYPERLINK("https://www.nba.com/stats/events?CFID=&amp;CFPARAMS=&amp;GameEventID=127&amp;GameID=0022000172&amp;Season=2020-21&amp;flag=1&amp;title=Leonard%2018'%20pullup%20Jump%20Shot%20(4%20PTS)", "18' pullup Jump Shot (4 PTS)")</f>
        <v>18' pullup Jump Shot (4 PTS)</v>
      </c>
      <c r="K839" s="2" t="str">
        <f>HYPERLINK("https://www.nba.com/game/...-vs-...-0022000172/play-by-play?watchFullGame=true", "LAC vs NOP - Q1 00:27.30")</f>
        <v>LAC vs NOP - Q1 00:27.30</v>
      </c>
      <c r="L839">
        <v>18.420000000000002</v>
      </c>
      <c r="M839">
        <v>23.83</v>
      </c>
      <c r="N839">
        <v>63.41</v>
      </c>
      <c r="O839">
        <v>-67</v>
      </c>
      <c r="P839">
        <v>172</v>
      </c>
    </row>
    <row r="840" spans="1:16" x14ac:dyDescent="0.25">
      <c r="A840">
        <v>41300146</v>
      </c>
      <c r="B840" t="s">
        <v>26</v>
      </c>
      <c r="C840" t="s">
        <v>16</v>
      </c>
      <c r="D840" t="s">
        <v>19</v>
      </c>
      <c r="E840">
        <v>60</v>
      </c>
      <c r="F840">
        <v>57</v>
      </c>
      <c r="G840">
        <v>3</v>
      </c>
      <c r="H840" s="1">
        <v>7.3495370370370372E-3</v>
      </c>
      <c r="I840" t="s">
        <v>18</v>
      </c>
      <c r="J840" s="2" t="str">
        <f>HYPERLINK("https://www.nba.com/stats/events?CFID=&amp;CFPARAMS=&amp;GameEventID=299&amp;GameID=0041300146&amp;Season=2013-14&amp;flag=1&amp;title=Leonard%2024'%203PT%20Jump%20Shot%20(10%20PTS)%20(Parker%203%20AST)", "Leonard 24' 3PT Jump Shot (10 PTS) (Parker 3 AST)")</f>
        <v>Leonard 24' 3PT Jump Shot (10 PTS) (Parker 3 AST)</v>
      </c>
      <c r="K840" s="2" t="str">
        <f>HYPERLINK("https://www.nba.com/game/...-vs-...-0041300146/play-by-play?watchFullGame=true", "SAS vs DAL - Q3 10:35.00")</f>
        <v>SAS vs DAL - Q3 10:35.00</v>
      </c>
      <c r="L840">
        <v>24</v>
      </c>
      <c r="M840">
        <v>-67</v>
      </c>
      <c r="N840">
        <v>233</v>
      </c>
      <c r="O840">
        <v>-67</v>
      </c>
      <c r="P840">
        <v>233</v>
      </c>
    </row>
    <row r="841" spans="1:16" x14ac:dyDescent="0.25">
      <c r="A841">
        <v>22001019</v>
      </c>
      <c r="B841">
        <v>2020</v>
      </c>
      <c r="C841" t="s">
        <v>16</v>
      </c>
      <c r="D841" t="s">
        <v>19</v>
      </c>
      <c r="E841">
        <v>100</v>
      </c>
      <c r="F841">
        <v>104</v>
      </c>
      <c r="G841">
        <v>4</v>
      </c>
      <c r="H841" s="1">
        <v>1.261574074074074E-4</v>
      </c>
      <c r="I841" t="s">
        <v>23</v>
      </c>
      <c r="J841" s="2" t="str">
        <f>HYPERLINK("https://www.nba.com/stats/events?CFID=&amp;CFPARAMS=&amp;GameEventID=545&amp;GameID=0022001019&amp;Season=2020-21&amp;flag=1&amp;title=Leonard%2028'%203PT%20%20(29%20PTS)%20(R.%20Jackson%203%20AST)", "28' 3PT  (29 PTS) (R. Jackson 3 AST)")</f>
        <v>28' 3PT  (29 PTS) (R. Jackson 3 AST)</v>
      </c>
      <c r="K841" s="2" t="str">
        <f>HYPERLINK("https://www.nba.com/game/...-vs-...-0022001019/play-by-play?watchFullGame=true", "LAC vs NYK - Q4 00:10.90")</f>
        <v>LAC vs NYK - Q4 00:10.90</v>
      </c>
      <c r="L841">
        <v>28.23</v>
      </c>
      <c r="M841">
        <v>34.770000000000003</v>
      </c>
      <c r="N841">
        <v>63.3</v>
      </c>
      <c r="O841">
        <v>-67</v>
      </c>
      <c r="P841">
        <v>274</v>
      </c>
    </row>
    <row r="842" spans="1:16" x14ac:dyDescent="0.25">
      <c r="A842">
        <v>21601209</v>
      </c>
      <c r="B842">
        <v>2016</v>
      </c>
      <c r="C842" t="s">
        <v>32</v>
      </c>
      <c r="D842" t="s">
        <v>46</v>
      </c>
      <c r="E842">
        <v>20</v>
      </c>
      <c r="F842">
        <v>15</v>
      </c>
      <c r="G842">
        <v>1</v>
      </c>
      <c r="H842" s="1">
        <v>3.6805555555555554E-3</v>
      </c>
      <c r="I842" t="s">
        <v>18</v>
      </c>
      <c r="J842" s="2" t="str">
        <f>HYPERLINK("https://www.nba.com/stats/events?CFID=&amp;CFPARAMS=&amp;GameEventID=46&amp;GameID=0021601209&amp;Season=2016-17&amp;flag=1&amp;title=Leonard%207'%20Driving%20Floating%20Bank%20Jump%20Shot%20(4%20PTS)", "Leonard 7' Driving Floating Bank Jump Shot (4 PTS)")</f>
        <v>Leonard 7' Driving Floating Bank Jump Shot (4 PTS)</v>
      </c>
      <c r="K842" s="2" t="str">
        <f>HYPERLINK("https://www.nba.com/game/...-vs-...-0021601209/play-by-play?watchFullGame=true", "SAS vs POR - Q1 05:18.00")</f>
        <v>SAS vs POR - Q1 05:18.00</v>
      </c>
      <c r="L842">
        <v>7</v>
      </c>
      <c r="M842">
        <v>-66</v>
      </c>
      <c r="N842">
        <v>16</v>
      </c>
      <c r="O842">
        <v>-66</v>
      </c>
      <c r="P842">
        <v>16</v>
      </c>
    </row>
    <row r="843" spans="1:16" x14ac:dyDescent="0.25">
      <c r="A843">
        <v>22200687</v>
      </c>
      <c r="B843">
        <v>2022</v>
      </c>
      <c r="C843" t="s">
        <v>32</v>
      </c>
      <c r="D843" t="s">
        <v>19</v>
      </c>
      <c r="E843">
        <v>12</v>
      </c>
      <c r="F843">
        <v>15</v>
      </c>
      <c r="G843">
        <v>1</v>
      </c>
      <c r="H843" s="1">
        <v>4.8495370370370368E-3</v>
      </c>
      <c r="I843" t="s">
        <v>23</v>
      </c>
      <c r="J843" s="2" t="str">
        <f>HYPERLINK("https://www.nba.com/stats/events?CFID=&amp;CFPARAMS=&amp;GameEventID=55&amp;GameID=0022200687&amp;Season=2022-23&amp;flag=1&amp;title=Leonard%2010'%20pullup%20Jump%20Shot%20(9%20PTS)", "10' pullup Jump Shot (9 PTS)")</f>
        <v>10' pullup Jump Shot (9 PTS)</v>
      </c>
      <c r="K843" s="2" t="str">
        <f>HYPERLINK("https://www.nba.com/game/...-vs-...-0022200687/play-by-play?watchFullGame=true", "LAC vs SAS - Q1 06:59.00")</f>
        <v>LAC vs SAS - Q1 06:59.00</v>
      </c>
      <c r="L843">
        <v>10.49</v>
      </c>
      <c r="M843">
        <v>85.76</v>
      </c>
      <c r="N843">
        <v>36.76</v>
      </c>
      <c r="O843">
        <v>-66</v>
      </c>
      <c r="P843">
        <v>81</v>
      </c>
    </row>
    <row r="844" spans="1:16" x14ac:dyDescent="0.25">
      <c r="A844">
        <v>22201096</v>
      </c>
      <c r="B844">
        <v>2022</v>
      </c>
      <c r="C844" t="s">
        <v>32</v>
      </c>
      <c r="D844" t="s">
        <v>19</v>
      </c>
      <c r="E844">
        <v>65</v>
      </c>
      <c r="F844">
        <v>65</v>
      </c>
      <c r="G844">
        <v>3</v>
      </c>
      <c r="H844" s="1">
        <v>5.208333333333333E-3</v>
      </c>
      <c r="I844" t="s">
        <v>23</v>
      </c>
      <c r="J844" s="2" t="str">
        <f>HYPERLINK("https://www.nba.com/stats/events?CFID=&amp;CFPARAMS=&amp;GameEventID=388&amp;GameID=0022201096&amp;Season=2022-23&amp;flag=1&amp;title=Leonard%2013'%20pullup%20Jump%20Shot%20(19%20PTS)%20(I.%20Zubac%201%20AST)", "13' pullup Jump Shot (19 PTS) (I. Zubac 1 AST)")</f>
        <v>13' pullup Jump Shot (19 PTS) (I. Zubac 1 AST)</v>
      </c>
      <c r="K844" s="2" t="str">
        <f>HYPERLINK("https://www.nba.com/game/...-vs-...-0022201096/play-by-play?watchFullGame=true", "LAC vs OKC - Q3 07:30.00")</f>
        <v>LAC vs OKC - Q3 07:30.00</v>
      </c>
      <c r="L844">
        <v>13.57</v>
      </c>
      <c r="M844">
        <v>18.18</v>
      </c>
      <c r="N844">
        <v>63.24</v>
      </c>
      <c r="O844">
        <v>-66</v>
      </c>
      <c r="P844">
        <v>118</v>
      </c>
    </row>
    <row r="845" spans="1:16" x14ac:dyDescent="0.25">
      <c r="A845">
        <v>22400911</v>
      </c>
      <c r="B845">
        <v>2024</v>
      </c>
      <c r="C845" t="s">
        <v>32</v>
      </c>
      <c r="D845" t="s">
        <v>19</v>
      </c>
      <c r="E845">
        <v>44</v>
      </c>
      <c r="F845">
        <v>45</v>
      </c>
      <c r="G845">
        <v>2</v>
      </c>
      <c r="H845" s="1">
        <v>3.0092592592592593E-3</v>
      </c>
      <c r="I845" t="s">
        <v>23</v>
      </c>
      <c r="J845" s="2" t="str">
        <f>HYPERLINK("https://www.nba.com/stats/events?CFID=&amp;CFPARAMS=&amp;GameEventID=237&amp;GameID=0022400911&amp;Season=2024-25&amp;flag=1&amp;title=Leonard%2017'%20Jump%20Shot%20(7%20PTS)%20(Dunn%202%20AST)", "17' Jump Shot (7 PTS) (K. Dunn 2 AST)")</f>
        <v>17' Jump Shot (7 PTS) (K. Dunn 2 AST)</v>
      </c>
      <c r="K845" s="2" t="str">
        <f>HYPERLINK("https://www.nba.com/game/...-vs-...-0022400911/play-by-play?watchFullGame=true", "LAC vs NYK - Q2 04:20.00")</f>
        <v>LAC vs NYK - Q2 04:20.00</v>
      </c>
      <c r="L845">
        <v>17.93</v>
      </c>
      <c r="M845">
        <v>76.69</v>
      </c>
      <c r="N845">
        <v>36.76</v>
      </c>
      <c r="O845">
        <v>-66</v>
      </c>
      <c r="P845">
        <v>167</v>
      </c>
    </row>
    <row r="846" spans="1:16" x14ac:dyDescent="0.25">
      <c r="A846">
        <v>22400679</v>
      </c>
      <c r="B846">
        <v>2024</v>
      </c>
      <c r="C846" t="s">
        <v>32</v>
      </c>
      <c r="D846" t="s">
        <v>19</v>
      </c>
      <c r="E846">
        <v>52</v>
      </c>
      <c r="F846">
        <v>60</v>
      </c>
      <c r="G846">
        <v>3</v>
      </c>
      <c r="H846" s="1">
        <v>7.3148148148148148E-3</v>
      </c>
      <c r="I846" t="s">
        <v>23</v>
      </c>
      <c r="J846" s="2" t="str">
        <f>HYPERLINK("https://www.nba.com/stats/events?CFID=&amp;CFPARAMS=&amp;GameEventID=334&amp;GameID=0022400679&amp;Season=2024-25&amp;flag=1&amp;title=Leonard%2012'%20driving%20floating%20Jump%20Shot%20(11%20PTS)", "12' driving floating Jump Shot (11 PTS)")</f>
        <v>12' driving floating Jump Shot (11 PTS)</v>
      </c>
      <c r="K846" s="2" t="str">
        <f>HYPERLINK("https://www.nba.com/game/...-vs-...-0022400679/play-by-play?watchFullGame=true", "LAC vs CHA - Q3 10:32.00")</f>
        <v>LAC vs CHA - Q3 10:32.00</v>
      </c>
      <c r="L846">
        <v>12.04</v>
      </c>
      <c r="M846">
        <v>16.38</v>
      </c>
      <c r="N846">
        <v>62.99</v>
      </c>
      <c r="O846">
        <v>-65</v>
      </c>
      <c r="P846">
        <v>101</v>
      </c>
    </row>
    <row r="847" spans="1:16" x14ac:dyDescent="0.25">
      <c r="A847">
        <v>22200784</v>
      </c>
      <c r="B847">
        <v>2022</v>
      </c>
      <c r="C847" t="s">
        <v>32</v>
      </c>
      <c r="D847" t="s">
        <v>19</v>
      </c>
      <c r="E847">
        <v>99</v>
      </c>
      <c r="F847">
        <v>105</v>
      </c>
      <c r="G847">
        <v>4</v>
      </c>
      <c r="H847" s="1">
        <v>2.685185185185185E-3</v>
      </c>
      <c r="I847" t="s">
        <v>23</v>
      </c>
      <c r="J847" s="2" t="str">
        <f>HYPERLINK("https://www.nba.com/stats/events?CFID=&amp;CFPARAMS=&amp;GameEventID=596&amp;GameID=0022200784&amp;Season=2022-23&amp;flag=1&amp;title=Leonard%2013'%20floating%20Jump%20Shot%20(17%20PTS)", "13' floating Jump Shot (17 PTS)")</f>
        <v>13' floating Jump Shot (17 PTS)</v>
      </c>
      <c r="K847" s="2" t="str">
        <f>HYPERLINK("https://www.nba.com/game/...-vs-...-0022200784/play-by-play?watchFullGame=true", "LAC vs MIL - Q4 03:52.00")</f>
        <v>LAC vs MIL - Q4 03:52.00</v>
      </c>
      <c r="L847">
        <v>13.08</v>
      </c>
      <c r="M847">
        <v>82.34</v>
      </c>
      <c r="N847">
        <v>37.01</v>
      </c>
      <c r="O847">
        <v>-65</v>
      </c>
      <c r="P847">
        <v>113</v>
      </c>
    </row>
    <row r="848" spans="1:16" x14ac:dyDescent="0.25">
      <c r="A848">
        <v>21900002</v>
      </c>
      <c r="B848">
        <v>2019</v>
      </c>
      <c r="C848" t="s">
        <v>32</v>
      </c>
      <c r="D848" t="s">
        <v>19</v>
      </c>
      <c r="E848">
        <v>31</v>
      </c>
      <c r="F848">
        <v>31</v>
      </c>
      <c r="G848">
        <v>2</v>
      </c>
      <c r="H848" s="1">
        <v>6.4814814814814813E-3</v>
      </c>
      <c r="I848" t="s">
        <v>23</v>
      </c>
      <c r="J848" s="2" t="str">
        <f>HYPERLINK("https://www.nba.com/stats/events?CFID=&amp;CFPARAMS=&amp;GameEventID=205&amp;GameID=0021900002&amp;Season=2019-20&amp;flag=1&amp;title=Leonard%2017'%20fadeaway%20Jump%20Shot%20(11%20PTS)", "17' fadeaway Jump Shot (11 PTS)")</f>
        <v>17' fadeaway Jump Shot (11 PTS)</v>
      </c>
      <c r="K848" s="2" t="str">
        <f>HYPERLINK("https://www.nba.com/game/...-vs-...-0021900002/play-by-play?watchFullGame=true", "LAC vs LAL - Q2 09:20.00")</f>
        <v>LAC vs LAL - Q2 09:20.00</v>
      </c>
      <c r="L848">
        <v>17.170000000000002</v>
      </c>
      <c r="M848">
        <v>78.099999999999994</v>
      </c>
      <c r="N848">
        <v>36.94</v>
      </c>
      <c r="O848">
        <v>-65</v>
      </c>
      <c r="P848">
        <v>153</v>
      </c>
    </row>
    <row r="849" spans="1:16" x14ac:dyDescent="0.25">
      <c r="A849">
        <v>21900339</v>
      </c>
      <c r="B849">
        <v>2019</v>
      </c>
      <c r="C849" t="s">
        <v>32</v>
      </c>
      <c r="D849" t="s">
        <v>22</v>
      </c>
      <c r="E849">
        <v>19</v>
      </c>
      <c r="F849">
        <v>29</v>
      </c>
      <c r="G849">
        <v>1</v>
      </c>
      <c r="H849" s="1">
        <v>2.8472222222222223E-3</v>
      </c>
      <c r="I849" t="s">
        <v>23</v>
      </c>
      <c r="J849" s="2" t="str">
        <f>HYPERLINK("https://www.nba.com/stats/events?CFID=&amp;CFPARAMS=&amp;GameEventID=102&amp;GameID=0021900339&amp;Season=2019-20&amp;flag=1&amp;title=Leonard%2021'%20jumpshot%20(10%20PTS)", "21' jumpshot (10 PTS)")</f>
        <v>21' jumpshot (10 PTS)</v>
      </c>
      <c r="K849" s="2" t="str">
        <f>HYPERLINK("https://www.nba.com/game/...-vs-...-0021900339/play-by-play?watchFullGame=true", "LAC vs WAS - Q1 04:06.00")</f>
        <v>LAC vs WAS - Q1 04:06.00</v>
      </c>
      <c r="L849">
        <v>21.35</v>
      </c>
      <c r="M849">
        <v>73.37</v>
      </c>
      <c r="N849">
        <v>36.94</v>
      </c>
      <c r="O849">
        <v>-65</v>
      </c>
      <c r="P849">
        <v>198</v>
      </c>
    </row>
    <row r="850" spans="1:16" x14ac:dyDescent="0.25">
      <c r="A850">
        <v>21600150</v>
      </c>
      <c r="B850">
        <v>2016</v>
      </c>
      <c r="C850" t="s">
        <v>16</v>
      </c>
      <c r="D850" t="s">
        <v>19</v>
      </c>
      <c r="E850">
        <v>76</v>
      </c>
      <c r="F850">
        <v>66</v>
      </c>
      <c r="G850">
        <v>4</v>
      </c>
      <c r="H850" s="1">
        <v>5.6481481481481478E-3</v>
      </c>
      <c r="I850" t="s">
        <v>18</v>
      </c>
      <c r="J850" s="2" t="str">
        <f>HYPERLINK("https://www.nba.com/stats/events?CFID=&amp;CFPARAMS=&amp;GameEventID=423&amp;GameID=0021600150&amp;Season=2016-17&amp;flag=1&amp;title=Leonard%2025'%203PT%20Jump%20Shot%20(16%20PTS)%20(Aldridge%202%20AST)", "Leonard 25' 3PT Jump Shot (16 PTS) (Aldridge 2 AST)")</f>
        <v>Leonard 25' 3PT Jump Shot (16 PTS) (Aldridge 2 AST)</v>
      </c>
      <c r="K850" s="2" t="str">
        <f>HYPERLINK("https://www.nba.com/game/...-vs-...-0021600150/play-by-play?watchFullGame=true", "SAS vs MIA - Q4 08:08.00")</f>
        <v>SAS vs MIA - Q4 08:08.00</v>
      </c>
      <c r="L850">
        <v>25</v>
      </c>
      <c r="M850">
        <v>-65</v>
      </c>
      <c r="N850">
        <v>237</v>
      </c>
      <c r="O850">
        <v>-65</v>
      </c>
      <c r="P850">
        <v>237</v>
      </c>
    </row>
    <row r="851" spans="1:16" x14ac:dyDescent="0.25">
      <c r="A851">
        <v>21300013</v>
      </c>
      <c r="B851">
        <v>2013</v>
      </c>
      <c r="C851" t="s">
        <v>16</v>
      </c>
      <c r="D851" t="s">
        <v>19</v>
      </c>
      <c r="E851">
        <v>99</v>
      </c>
      <c r="F851">
        <v>86</v>
      </c>
      <c r="G851">
        <v>4</v>
      </c>
      <c r="H851" s="1">
        <v>1.6087962962962963E-3</v>
      </c>
      <c r="I851" t="s">
        <v>18</v>
      </c>
      <c r="J851" s="2" t="str">
        <f>HYPERLINK("https://www.nba.com/stats/events?CFID=&amp;CFPARAMS=&amp;GameEventID=467&amp;GameID=0021300013&amp;Season=2013-14&amp;flag=1&amp;title=Leonard%2026'%203PT%20Jump%20Shot%20(14%20PTS)%20(Parker%208%20AST)", "Leonard 26' 3PT Jump Shot (14 PTS) (Parker 8 AST)")</f>
        <v>Leonard 26' 3PT Jump Shot (14 PTS) (Parker 8 AST)</v>
      </c>
      <c r="K851" s="2" t="str">
        <f>HYPERLINK("https://www.nba.com/game/...-vs-...-0021300013/play-by-play?watchFullGame=true", "SAS vs MEM - Q4 02:19.00")</f>
        <v>SAS vs MEM - Q4 02:19.00</v>
      </c>
      <c r="L851">
        <v>26</v>
      </c>
      <c r="M851">
        <v>-65</v>
      </c>
      <c r="N851">
        <v>254</v>
      </c>
      <c r="O851">
        <v>-65</v>
      </c>
      <c r="P851">
        <v>254</v>
      </c>
    </row>
    <row r="852" spans="1:16" x14ac:dyDescent="0.25">
      <c r="A852">
        <v>21300520</v>
      </c>
      <c r="B852">
        <v>2013</v>
      </c>
      <c r="C852" t="s">
        <v>32</v>
      </c>
      <c r="D852" t="s">
        <v>19</v>
      </c>
      <c r="E852">
        <v>15</v>
      </c>
      <c r="F852">
        <v>6</v>
      </c>
      <c r="G852">
        <v>1</v>
      </c>
      <c r="H852" s="1">
        <v>4.5370370370370373E-3</v>
      </c>
      <c r="I852" t="s">
        <v>18</v>
      </c>
      <c r="J852" s="2" t="str">
        <f>HYPERLINK("https://www.nba.com/stats/events?CFID=&amp;CFPARAMS=&amp;GameEventID=53&amp;GameID=0021300520&amp;Season=2013-14&amp;flag=1&amp;title=Leonard%207'%20Jump%20Shot%20(5%20PTS)", "Leonard 7' Jump Shot (5 PTS)")</f>
        <v>Leonard 7' Jump Shot (5 PTS)</v>
      </c>
      <c r="K852" s="2" t="str">
        <f>HYPERLINK("https://www.nba.com/game/...-vs-...-0021300520/play-by-play?watchFullGame=true", "SAS vs DAL - Q1 06:32.00")</f>
        <v>SAS vs DAL - Q1 06:32.00</v>
      </c>
      <c r="L852">
        <v>7</v>
      </c>
      <c r="M852">
        <v>-64</v>
      </c>
      <c r="N852">
        <v>26</v>
      </c>
      <c r="O852">
        <v>-64</v>
      </c>
      <c r="P852">
        <v>26</v>
      </c>
    </row>
    <row r="853" spans="1:16" x14ac:dyDescent="0.25">
      <c r="A853">
        <v>22300897</v>
      </c>
      <c r="B853">
        <v>2023</v>
      </c>
      <c r="C853" t="s">
        <v>32</v>
      </c>
      <c r="D853" t="s">
        <v>19</v>
      </c>
      <c r="E853">
        <v>40</v>
      </c>
      <c r="F853">
        <v>28</v>
      </c>
      <c r="G853">
        <v>2</v>
      </c>
      <c r="H853" s="1">
        <v>4.8148148148148152E-3</v>
      </c>
      <c r="I853" t="s">
        <v>23</v>
      </c>
      <c r="J853" s="2" t="str">
        <f>HYPERLINK("https://www.nba.com/stats/events?CFID=&amp;CFPARAMS=&amp;GameEventID=221&amp;GameID=0022300897&amp;Season=2023-24&amp;flag=1&amp;title=Leonard%2012'%20pullup%20Jump%20Shot%20(4%20PTS)", "12' pullup Jump Shot (4 PTS)")</f>
        <v>12' pullup Jump Shot (4 PTS)</v>
      </c>
      <c r="K853" s="2" t="str">
        <f>HYPERLINK("https://www.nba.com/game/...-vs-...-0022300897/play-by-play?watchFullGame=true", "LAC vs HOU - Q2 06:56.00")</f>
        <v>LAC vs HOU - Q2 06:56.00</v>
      </c>
      <c r="L853">
        <v>12.16</v>
      </c>
      <c r="M853">
        <v>83.39</v>
      </c>
      <c r="N853">
        <v>37.25</v>
      </c>
      <c r="O853">
        <v>-64</v>
      </c>
      <c r="P853">
        <v>104</v>
      </c>
    </row>
    <row r="854" spans="1:16" x14ac:dyDescent="0.25">
      <c r="A854">
        <v>21400220</v>
      </c>
      <c r="B854">
        <v>2014</v>
      </c>
      <c r="C854" t="s">
        <v>32</v>
      </c>
      <c r="D854" t="s">
        <v>19</v>
      </c>
      <c r="E854">
        <v>11</v>
      </c>
      <c r="F854">
        <v>8</v>
      </c>
      <c r="G854">
        <v>1</v>
      </c>
      <c r="H854" s="1">
        <v>4.5601851851851853E-3</v>
      </c>
      <c r="I854" t="s">
        <v>18</v>
      </c>
      <c r="J854" s="2" t="str">
        <f>HYPERLINK("https://www.nba.com/stats/events?CFID=&amp;CFPARAMS=&amp;GameEventID=54&amp;GameID=0021400220&amp;Season=2014-15&amp;flag=1&amp;title=Leonard%2012'%20Jump%20Shot%20(4%20PTS)%20(Diaw%201%20AST)", "Leonard 12' Jump Shot (4 PTS) (Diaw 1 AST)")</f>
        <v>Leonard 12' Jump Shot (4 PTS) (Diaw 1 AST)</v>
      </c>
      <c r="K854" s="2" t="str">
        <f>HYPERLINK("https://www.nba.com/game/...-vs-...-0021400220/play-by-play?watchFullGame=true", "SAS vs IND - Q1 06:34.00")</f>
        <v>SAS vs IND - Q1 06:34.00</v>
      </c>
      <c r="L854">
        <v>12</v>
      </c>
      <c r="M854">
        <v>-64</v>
      </c>
      <c r="N854">
        <v>107</v>
      </c>
      <c r="O854">
        <v>-64</v>
      </c>
      <c r="P854">
        <v>107</v>
      </c>
    </row>
    <row r="855" spans="1:16" x14ac:dyDescent="0.25">
      <c r="A855">
        <v>22300264</v>
      </c>
      <c r="B855">
        <v>2023</v>
      </c>
      <c r="C855" t="s">
        <v>32</v>
      </c>
      <c r="D855" t="s">
        <v>19</v>
      </c>
      <c r="E855">
        <v>109</v>
      </c>
      <c r="F855">
        <v>125</v>
      </c>
      <c r="G855">
        <v>4</v>
      </c>
      <c r="H855" s="1">
        <v>2.8240740740740739E-3</v>
      </c>
      <c r="I855" t="s">
        <v>23</v>
      </c>
      <c r="J855" s="2" t="str">
        <f>HYPERLINK("https://www.nba.com/stats/events?CFID=&amp;CFPARAMS=&amp;GameEventID=621&amp;GameID=0022300264&amp;Season=2023-24&amp;flag=1&amp;title=Leonard%2013'%20turnaround%20Jump%20Shot%20(32%20PTS)", "13' turnaround Jump Shot (32 PTS)")</f>
        <v>13' turnaround Jump Shot (32 PTS)</v>
      </c>
      <c r="K855" s="2" t="str">
        <f>HYPERLINK("https://www.nba.com/game/...-vs-...-0022300264/play-by-play?watchFullGame=true", "LAC vs SAC - Q4 04:04.00")</f>
        <v>LAC vs SAC - Q4 04:04.00</v>
      </c>
      <c r="L855">
        <v>13.34</v>
      </c>
      <c r="M855">
        <v>81.95</v>
      </c>
      <c r="N855">
        <v>37.25</v>
      </c>
      <c r="O855">
        <v>-64</v>
      </c>
      <c r="P855">
        <v>117</v>
      </c>
    </row>
    <row r="856" spans="1:16" x14ac:dyDescent="0.25">
      <c r="A856">
        <v>22000224</v>
      </c>
      <c r="B856">
        <v>2020</v>
      </c>
      <c r="C856" t="s">
        <v>32</v>
      </c>
      <c r="D856" t="s">
        <v>19</v>
      </c>
      <c r="E856">
        <v>25</v>
      </c>
      <c r="F856">
        <v>26</v>
      </c>
      <c r="G856">
        <v>1</v>
      </c>
      <c r="H856" s="1">
        <v>9.0277777777777774E-4</v>
      </c>
      <c r="I856" t="s">
        <v>23</v>
      </c>
      <c r="J856" s="2" t="str">
        <f>HYPERLINK("https://www.nba.com/stats/events?CFID=&amp;CFPARAMS=&amp;GameEventID=129&amp;GameID=0022000224&amp;Season=2020-21&amp;flag=1&amp;title=Leonard%2010'%20turnaround%20Jump%20Shot%20(10%20PTS)", "10' turnaround Jump Shot (10 PTS)")</f>
        <v>10' turnaround Jump Shot (10 PTS)</v>
      </c>
      <c r="K856" s="2" t="str">
        <f>HYPERLINK("https://www.nba.com/game/...-vs-...-0022000224/play-by-play?watchFullGame=true", "LAC vs SAC - Q1 01:18.00")</f>
        <v>LAC vs SAC - Q1 01:18.00</v>
      </c>
      <c r="L856">
        <v>10.41</v>
      </c>
      <c r="M856">
        <v>85.63</v>
      </c>
      <c r="N856">
        <v>37.32</v>
      </c>
      <c r="O856">
        <v>-63</v>
      </c>
      <c r="P856">
        <v>83</v>
      </c>
    </row>
    <row r="857" spans="1:16" x14ac:dyDescent="0.25">
      <c r="A857">
        <v>21500242</v>
      </c>
      <c r="B857">
        <v>2015</v>
      </c>
      <c r="C857" t="s">
        <v>32</v>
      </c>
      <c r="D857" t="s">
        <v>24</v>
      </c>
      <c r="E857">
        <v>70</v>
      </c>
      <c r="F857">
        <v>48</v>
      </c>
      <c r="G857">
        <v>3</v>
      </c>
      <c r="H857" s="1">
        <v>4.2476851851851851E-3</v>
      </c>
      <c r="I857" t="s">
        <v>18</v>
      </c>
      <c r="J857" s="2" t="str">
        <f>HYPERLINK("https://www.nba.com/stats/events?CFID=&amp;CFPARAMS=&amp;GameEventID=328&amp;GameID=0021500242&amp;Season=2015-16&amp;flag=1&amp;title=Leonard%2011'%20Turnaround%20Jump%20Shot%20(22%20PTS)", "Leonard 11' Turnaround Jump Shot (22 PTS)")</f>
        <v>Leonard 11' Turnaround Jump Shot (22 PTS)</v>
      </c>
      <c r="K857" s="2" t="str">
        <f>HYPERLINK("https://www.nba.com/game/...-vs-...-0021500242/play-by-play?watchFullGame=true", "SAS vs ATL - Q3 06:07.00")</f>
        <v>SAS vs ATL - Q3 06:07.00</v>
      </c>
      <c r="L857">
        <v>11</v>
      </c>
      <c r="M857">
        <v>-63</v>
      </c>
      <c r="N857">
        <v>85</v>
      </c>
      <c r="O857">
        <v>-63</v>
      </c>
      <c r="P857">
        <v>85</v>
      </c>
    </row>
    <row r="858" spans="1:16" x14ac:dyDescent="0.25">
      <c r="A858">
        <v>21901291</v>
      </c>
      <c r="B858">
        <v>2019</v>
      </c>
      <c r="C858" t="s">
        <v>32</v>
      </c>
      <c r="D858" t="s">
        <v>22</v>
      </c>
      <c r="E858">
        <v>8</v>
      </c>
      <c r="F858">
        <v>18</v>
      </c>
      <c r="G858">
        <v>1</v>
      </c>
      <c r="H858" s="1">
        <v>5.3009259259259259E-3</v>
      </c>
      <c r="I858" t="s">
        <v>23</v>
      </c>
      <c r="J858" s="2" t="str">
        <f>HYPERLINK("https://www.nba.com/stats/events?CFID=&amp;CFPARAMS=&amp;GameEventID=42&amp;GameID=0021901291&amp;Season=2019-20&amp;flag=1&amp;title=Leonard%2021'%20jumpshot%20(4%20PTS)", "21' jumpshot (4 PTS)")</f>
        <v>21' jumpshot (4 PTS)</v>
      </c>
      <c r="K858" s="2" t="str">
        <f>HYPERLINK("https://www.nba.com/game/...-vs-...-0021901291/play-by-play?watchFullGame=true", "LAC vs BKN - Q1 07:38.00")</f>
        <v>LAC vs BKN - Q1 07:38.00</v>
      </c>
      <c r="L858">
        <v>20.91</v>
      </c>
      <c r="M858">
        <v>73.8</v>
      </c>
      <c r="N858">
        <v>37.32</v>
      </c>
      <c r="O858">
        <v>-63</v>
      </c>
      <c r="P858">
        <v>194</v>
      </c>
    </row>
    <row r="859" spans="1:16" x14ac:dyDescent="0.25">
      <c r="A859">
        <v>21500726</v>
      </c>
      <c r="B859">
        <v>2015</v>
      </c>
      <c r="C859" t="s">
        <v>16</v>
      </c>
      <c r="D859" t="s">
        <v>19</v>
      </c>
      <c r="E859">
        <v>19</v>
      </c>
      <c r="F859">
        <v>4</v>
      </c>
      <c r="G859">
        <v>1</v>
      </c>
      <c r="H859" s="1">
        <v>4.8495370370370368E-3</v>
      </c>
      <c r="I859" t="s">
        <v>18</v>
      </c>
      <c r="J859" s="2" t="str">
        <f>HYPERLINK("https://www.nba.com/stats/events?CFID=&amp;CFPARAMS=&amp;GameEventID=53&amp;GameID=0021500726&amp;Season=2015-16&amp;flag=1&amp;title=Leonard%2025'%203PT%20Jump%20Shot%20(6%20PTS)%20(Parker%201%20AST)", "Leonard 25' 3PT Jump Shot (6 PTS) (Parker 1 AST)")</f>
        <v>Leonard 25' 3PT Jump Shot (6 PTS) (Parker 1 AST)</v>
      </c>
      <c r="K859" s="2" t="str">
        <f>HYPERLINK("https://www.nba.com/game/...-vs-...-0021500726/play-by-play?watchFullGame=true", "SAS vs ORL - Q1 06:59.00")</f>
        <v>SAS vs ORL - Q1 06:59.00</v>
      </c>
      <c r="L859">
        <v>25</v>
      </c>
      <c r="M859">
        <v>-63</v>
      </c>
      <c r="N859">
        <v>237</v>
      </c>
      <c r="O859">
        <v>-63</v>
      </c>
      <c r="P859">
        <v>237</v>
      </c>
    </row>
    <row r="860" spans="1:16" x14ac:dyDescent="0.25">
      <c r="A860">
        <v>21900618</v>
      </c>
      <c r="B860">
        <v>2019</v>
      </c>
      <c r="C860" t="s">
        <v>16</v>
      </c>
      <c r="D860" t="s">
        <v>22</v>
      </c>
      <c r="E860">
        <v>15</v>
      </c>
      <c r="F860">
        <v>13</v>
      </c>
      <c r="G860">
        <v>1</v>
      </c>
      <c r="H860" s="1">
        <v>5.6249999999999998E-3</v>
      </c>
      <c r="I860" t="s">
        <v>23</v>
      </c>
      <c r="J860" s="2" t="str">
        <f>HYPERLINK("https://www.nba.com/stats/events?CFID=&amp;CFPARAMS=&amp;GameEventID=36&amp;GameID=0021900618&amp;Season=2019-20&amp;flag=1&amp;title=Leonard%2025'%203PT%20%20(7%20PTS)%20(P.%20Beverley%203%20AST)", "25' 3PT  (7 PTS) (P. Beverley 3 AST)")</f>
        <v>25' 3PT  (7 PTS) (P. Beverley 3 AST)</v>
      </c>
      <c r="K860" s="2" t="str">
        <f>HYPERLINK("https://www.nba.com/game/...-vs-...-0021900618/play-by-play?watchFullGame=true", "LAC vs ORL - Q1 08:06.00")</f>
        <v>LAC vs ORL - Q1 08:06.00</v>
      </c>
      <c r="L860">
        <v>25.44</v>
      </c>
      <c r="M860">
        <v>68.77</v>
      </c>
      <c r="N860">
        <v>37.43</v>
      </c>
      <c r="O860">
        <v>-63</v>
      </c>
      <c r="P860">
        <v>241</v>
      </c>
    </row>
    <row r="861" spans="1:16" x14ac:dyDescent="0.25">
      <c r="A861">
        <v>22000105</v>
      </c>
      <c r="B861">
        <v>2020</v>
      </c>
      <c r="C861" t="s">
        <v>16</v>
      </c>
      <c r="D861" t="s">
        <v>19</v>
      </c>
      <c r="E861">
        <v>53</v>
      </c>
      <c r="F861">
        <v>67</v>
      </c>
      <c r="G861">
        <v>3</v>
      </c>
      <c r="H861" s="1">
        <v>6.4583333333333333E-3</v>
      </c>
      <c r="I861" t="s">
        <v>23</v>
      </c>
      <c r="J861" s="2" t="str">
        <f>HYPERLINK("https://www.nba.com/stats/events?CFID=&amp;CFPARAMS=&amp;GameEventID=347&amp;GameID=0022000105&amp;Season=2020-21&amp;flag=1&amp;title=Leonard%2025'%203PT%20step%20back%20(22%20PTS)", "25' 3PT step back (22 PTS)")</f>
        <v>25' 3PT step back (22 PTS)</v>
      </c>
      <c r="K861" s="2" t="str">
        <f>HYPERLINK("https://www.nba.com/game/...-vs-...-0022000105/play-by-play?watchFullGame=true", "LAC vs SAS - Q3 09:18.00")</f>
        <v>LAC vs SAS - Q3 09:18.00</v>
      </c>
      <c r="L861">
        <v>25.97</v>
      </c>
      <c r="M861">
        <v>67.62</v>
      </c>
      <c r="N861">
        <v>37.32</v>
      </c>
      <c r="O861">
        <v>-63</v>
      </c>
      <c r="P861">
        <v>252</v>
      </c>
    </row>
    <row r="862" spans="1:16" x14ac:dyDescent="0.25">
      <c r="A862">
        <v>41600232</v>
      </c>
      <c r="B862" t="s">
        <v>30</v>
      </c>
      <c r="C862" t="s">
        <v>16</v>
      </c>
      <c r="D862" t="s">
        <v>19</v>
      </c>
      <c r="E862">
        <v>3</v>
      </c>
      <c r="F862">
        <v>0</v>
      </c>
      <c r="G862">
        <v>1</v>
      </c>
      <c r="H862" s="1">
        <v>7.8125E-3</v>
      </c>
      <c r="I862" t="s">
        <v>18</v>
      </c>
      <c r="J862" s="2" t="str">
        <f>HYPERLINK("https://www.nba.com/stats/events?CFID=&amp;CFPARAMS=&amp;GameEventID=5&amp;GameID=0041600232&amp;Season=2016-17&amp;flag=1&amp;title=Leonard%2026'%203PT%20Jump%20Shot%20(3%20PTS)%20(Green%201%20AST)", "Leonard 26' 3PT Jump Shot (3 PTS) (Green 1 AST)")</f>
        <v>Leonard 26' 3PT Jump Shot (3 PTS) (Green 1 AST)</v>
      </c>
      <c r="K862" s="2" t="str">
        <f>HYPERLINK("https://www.nba.com/game/...-vs-...-0041600232/play-by-play?watchFullGame=true", "SAS vs HOU - Q1 11:15.00")</f>
        <v>SAS vs HOU - Q1 11:15.00</v>
      </c>
      <c r="L862">
        <v>26</v>
      </c>
      <c r="M862">
        <v>-63</v>
      </c>
      <c r="N862">
        <v>252</v>
      </c>
      <c r="O862">
        <v>-63</v>
      </c>
      <c r="P862">
        <v>252</v>
      </c>
    </row>
    <row r="863" spans="1:16" x14ac:dyDescent="0.25">
      <c r="A863">
        <v>22301003</v>
      </c>
      <c r="B863">
        <v>2023</v>
      </c>
      <c r="C863" t="s">
        <v>32</v>
      </c>
      <c r="D863" t="s">
        <v>47</v>
      </c>
      <c r="E863">
        <v>58</v>
      </c>
      <c r="F863">
        <v>70</v>
      </c>
      <c r="G863">
        <v>3</v>
      </c>
      <c r="H863" s="1">
        <v>4.5833333333333334E-3</v>
      </c>
      <c r="I863" t="s">
        <v>23</v>
      </c>
      <c r="J863" s="2" t="str">
        <f>HYPERLINK("https://www.nba.com/stats/events?CFID=&amp;CFPARAMS=&amp;GameEventID=321&amp;GameID=0022301003&amp;Season=2023-24&amp;flag=1&amp;title=Leonard%206'%20running%20Layup%20(13%20PTS)%20(J.%20Harden%209%20AST)", "6' running Layup (13 PTS) (J. Harden 9 AST)")</f>
        <v>6' running Layup (13 PTS) (J. Harden 9 AST)</v>
      </c>
      <c r="K863" s="2" t="str">
        <f>HYPERLINK("https://www.nba.com/game/...-vs-...-0022301003/play-by-play?watchFullGame=true", "LAC vs POR - Q3 06:36.00")</f>
        <v>LAC vs POR - Q3 06:36.00</v>
      </c>
      <c r="L863">
        <v>6.68</v>
      </c>
      <c r="M863">
        <v>8.1</v>
      </c>
      <c r="N863">
        <v>62.5</v>
      </c>
      <c r="O863">
        <v>-62</v>
      </c>
      <c r="P863">
        <v>24</v>
      </c>
    </row>
    <row r="864" spans="1:16" x14ac:dyDescent="0.25">
      <c r="A864">
        <v>41300222</v>
      </c>
      <c r="B864" t="s">
        <v>26</v>
      </c>
      <c r="C864" t="s">
        <v>16</v>
      </c>
      <c r="D864" t="s">
        <v>19</v>
      </c>
      <c r="E864">
        <v>7</v>
      </c>
      <c r="F864">
        <v>7</v>
      </c>
      <c r="G864">
        <v>1</v>
      </c>
      <c r="H864" s="1">
        <v>6.6087962962962966E-3</v>
      </c>
      <c r="I864" t="s">
        <v>18</v>
      </c>
      <c r="J864" s="2" t="str">
        <f>HYPERLINK("https://www.nba.com/stats/events?CFID=&amp;CFPARAMS=&amp;GameEventID=20&amp;GameID=0041300222&amp;Season=2013-14&amp;flag=1&amp;title=Leonard%2025'%203PT%20Jump%20Shot%20(5%20PTS)%20(Parker%201%20AST)", "Leonard 25' 3PT Jump Shot (5 PTS) (Parker 1 AST)")</f>
        <v>Leonard 25' 3PT Jump Shot (5 PTS) (Parker 1 AST)</v>
      </c>
      <c r="K864" s="2" t="str">
        <f>HYPERLINK("https://www.nba.com/game/...-vs-...-0041300222/play-by-play?watchFullGame=true", "SAS vs POR - Q1 09:31.00")</f>
        <v>SAS vs POR - Q1 09:31.00</v>
      </c>
      <c r="L864">
        <v>25</v>
      </c>
      <c r="M864">
        <v>-62</v>
      </c>
      <c r="N864">
        <v>246</v>
      </c>
      <c r="O864">
        <v>-62</v>
      </c>
      <c r="P864">
        <v>246</v>
      </c>
    </row>
    <row r="865" spans="1:16" x14ac:dyDescent="0.25">
      <c r="A865">
        <v>22300553</v>
      </c>
      <c r="B865">
        <v>2023</v>
      </c>
      <c r="C865" t="s">
        <v>32</v>
      </c>
      <c r="D865" t="s">
        <v>19</v>
      </c>
      <c r="E865">
        <v>21</v>
      </c>
      <c r="F865">
        <v>10</v>
      </c>
      <c r="G865">
        <v>1</v>
      </c>
      <c r="H865" s="1">
        <v>2.4421296296296296E-3</v>
      </c>
      <c r="I865" t="s">
        <v>23</v>
      </c>
      <c r="J865" s="2" t="str">
        <f>HYPERLINK("https://www.nba.com/stats/events?CFID=&amp;CFPARAMS=&amp;GameEventID=94&amp;GameID=0022300553&amp;Season=2023-24&amp;flag=1&amp;title=Leonard%208'%20Jump%20Shot%20(6%20PTS)%20(R.%20Westbrook%201%20AST)", "8' Jump Shot (6 PTS) (R. Westbrook 1 AST)")</f>
        <v>8' Jump Shot (6 PTS) (R. Westbrook 1 AST)</v>
      </c>
      <c r="K865" s="2" t="str">
        <f>HYPERLINK("https://www.nba.com/game/...-vs-...-0022300553/play-by-play?watchFullGame=true", "LAC vs MIN - Q1 03:31.00")</f>
        <v>LAC vs MIN - Q1 03:31.00</v>
      </c>
      <c r="L865">
        <v>8.41</v>
      </c>
      <c r="M865">
        <v>11.7</v>
      </c>
      <c r="N865">
        <v>62.28</v>
      </c>
      <c r="O865">
        <v>-61</v>
      </c>
      <c r="P865">
        <v>57</v>
      </c>
    </row>
    <row r="866" spans="1:16" x14ac:dyDescent="0.25">
      <c r="A866">
        <v>21601056</v>
      </c>
      <c r="B866">
        <v>2016</v>
      </c>
      <c r="C866" t="s">
        <v>32</v>
      </c>
      <c r="D866" t="s">
        <v>31</v>
      </c>
      <c r="E866">
        <v>7</v>
      </c>
      <c r="F866">
        <v>7</v>
      </c>
      <c r="G866">
        <v>1</v>
      </c>
      <c r="H866" s="1">
        <v>5.208333333333333E-3</v>
      </c>
      <c r="I866" t="s">
        <v>18</v>
      </c>
      <c r="J866" s="2" t="str">
        <f>HYPERLINK("https://www.nba.com/stats/events?CFID=&amp;CFPARAMS=&amp;GameEventID=37&amp;GameID=0021601056&amp;Season=2016-17&amp;flag=1&amp;title=Leonard%2012'%20Step%20Back%20Jump%20Shot%20(2%20PTS)%20(Parker%201%20AST)", "Leonard 12' Step Back Jump Shot (2 PTS) (Parker 1 AST)")</f>
        <v>Leonard 12' Step Back Jump Shot (2 PTS) (Parker 1 AST)</v>
      </c>
      <c r="K866" s="2" t="str">
        <f>HYPERLINK("https://www.nba.com/game/...-vs-...-0021601056/play-by-play?watchFullGame=true", "SAS vs MIN - Q1 07:30.00")</f>
        <v>SAS vs MIN - Q1 07:30.00</v>
      </c>
      <c r="L866">
        <v>12</v>
      </c>
      <c r="M866">
        <v>-61</v>
      </c>
      <c r="N866">
        <v>105</v>
      </c>
      <c r="O866">
        <v>-61</v>
      </c>
      <c r="P866">
        <v>105</v>
      </c>
    </row>
    <row r="867" spans="1:16" x14ac:dyDescent="0.25">
      <c r="A867">
        <v>22000061</v>
      </c>
      <c r="B867">
        <v>2020</v>
      </c>
      <c r="C867" t="s">
        <v>32</v>
      </c>
      <c r="D867" t="s">
        <v>19</v>
      </c>
      <c r="E867">
        <v>80</v>
      </c>
      <c r="F867">
        <v>57</v>
      </c>
      <c r="G867">
        <v>3</v>
      </c>
      <c r="H867" s="1">
        <v>7.6620370370370366E-3</v>
      </c>
      <c r="I867" t="s">
        <v>23</v>
      </c>
      <c r="J867" s="2" t="str">
        <f>HYPERLINK("https://www.nba.com/stats/events?CFID=&amp;CFPARAMS=&amp;GameEventID=323&amp;GameID=0022000061&amp;Season=2020-21&amp;flag=1&amp;title=Leonard%2013'%20fadeaway%20Jump%20Shot%20(16%20PTS)", "13' fadeaway Jump Shot (16 PTS)")</f>
        <v>13' fadeaway Jump Shot (16 PTS)</v>
      </c>
      <c r="K867" s="2" t="str">
        <f>HYPERLINK("https://www.nba.com/game/...-vs-...-0022000061/play-by-play?watchFullGame=true", "LAC vs POR - Q3 11:02.00")</f>
        <v>LAC vs POR - Q3 11:02.00</v>
      </c>
      <c r="L867">
        <v>13.21</v>
      </c>
      <c r="M867">
        <v>81.95</v>
      </c>
      <c r="N867">
        <v>37.81</v>
      </c>
      <c r="O867">
        <v>-61</v>
      </c>
      <c r="P867">
        <v>117</v>
      </c>
    </row>
    <row r="868" spans="1:16" x14ac:dyDescent="0.25">
      <c r="A868">
        <v>22300716</v>
      </c>
      <c r="B868">
        <v>2023</v>
      </c>
      <c r="C868" t="s">
        <v>16</v>
      </c>
      <c r="D868" t="s">
        <v>19</v>
      </c>
      <c r="E868">
        <v>130</v>
      </c>
      <c r="F868">
        <v>137</v>
      </c>
      <c r="G868">
        <v>4</v>
      </c>
      <c r="H868" s="1">
        <v>1.238425925925926E-3</v>
      </c>
      <c r="I868" t="s">
        <v>23</v>
      </c>
      <c r="J868" s="2" t="str">
        <f>HYPERLINK("https://www.nba.com/stats/events?CFID=&amp;CFPARAMS=&amp;GameEventID=618&amp;GameID=0022300716&amp;Season=2023-24&amp;flag=1&amp;title=Leonard%2024'%203PT%20pullup%20(34%20PTS)%20(P.%20George%205%20AST)", "24' 3PT pullup (34 PTS) (P. George 5 AST)")</f>
        <v>24' 3PT pullup (34 PTS) (P. George 5 AST)</v>
      </c>
      <c r="K868" s="2" t="str">
        <f>HYPERLINK("https://www.nba.com/game/...-vs-...-0022300716/play-by-play?watchFullGame=true", "LAC vs ATL - Q4 01:47.00")</f>
        <v>LAC vs ATL - Q4 01:47.00</v>
      </c>
      <c r="L868">
        <v>24.75</v>
      </c>
      <c r="M868">
        <v>31.09</v>
      </c>
      <c r="N868">
        <v>62.25</v>
      </c>
      <c r="O868">
        <v>-61</v>
      </c>
      <c r="P868">
        <v>240</v>
      </c>
    </row>
    <row r="869" spans="1:16" x14ac:dyDescent="0.25">
      <c r="A869">
        <v>21301127</v>
      </c>
      <c r="B869">
        <v>2013</v>
      </c>
      <c r="C869" t="s">
        <v>32</v>
      </c>
      <c r="D869" t="s">
        <v>43</v>
      </c>
      <c r="E869">
        <v>71</v>
      </c>
      <c r="F869">
        <v>65</v>
      </c>
      <c r="G869">
        <v>3</v>
      </c>
      <c r="H869" s="1">
        <v>1.8981481481481482E-3</v>
      </c>
      <c r="I869" t="s">
        <v>18</v>
      </c>
      <c r="J869" s="2" t="str">
        <f>HYPERLINK("https://www.nba.com/stats/events?CFID=&amp;CFPARAMS=&amp;GameEventID=358&amp;GameID=0021301127&amp;Season=2013-14&amp;flag=1&amp;title=Leonard%209'%20Turnaround%20Hook%20Shot%20(11%20PTS)", "Leonard 9' Turnaround Hook Shot (11 PTS)")</f>
        <v>Leonard 9' Turnaround Hook Shot (11 PTS)</v>
      </c>
      <c r="K869" s="2" t="str">
        <f>HYPERLINK("https://www.nba.com/game/...-vs-...-0021301127/play-by-play?watchFullGame=true", "SAS vs OKC - Q3 02:44.00")</f>
        <v>SAS vs OKC - Q3 02:44.00</v>
      </c>
      <c r="L869">
        <v>9</v>
      </c>
      <c r="M869">
        <v>-60</v>
      </c>
      <c r="N869">
        <v>63</v>
      </c>
      <c r="O869">
        <v>-60</v>
      </c>
      <c r="P869">
        <v>63</v>
      </c>
    </row>
    <row r="870" spans="1:16" x14ac:dyDescent="0.25">
      <c r="A870">
        <v>22200239</v>
      </c>
      <c r="B870">
        <v>2022</v>
      </c>
      <c r="C870" t="s">
        <v>32</v>
      </c>
      <c r="D870" t="s">
        <v>19</v>
      </c>
      <c r="E870">
        <v>69</v>
      </c>
      <c r="F870">
        <v>52</v>
      </c>
      <c r="G870">
        <v>3</v>
      </c>
      <c r="H870" s="1">
        <v>6.875E-3</v>
      </c>
      <c r="I870" t="s">
        <v>23</v>
      </c>
      <c r="J870" s="2" t="str">
        <f>HYPERLINK("https://www.nba.com/stats/events?CFID=&amp;CFPARAMS=&amp;GameEventID=334&amp;GameID=0022200239&amp;Season=2022-23&amp;flag=1&amp;title=Leonard%2018'%20Jump%20Shot%20(6%20PTS)", "18' Jump Shot (6 PTS)")</f>
        <v>18' Jump Shot (6 PTS)</v>
      </c>
      <c r="K870" s="2" t="str">
        <f>HYPERLINK("https://www.nba.com/game/...-vs-...-0022200239/play-by-play?watchFullGame=true", "LAC vs SAS - Q3 09:54.00")</f>
        <v>LAC vs SAS - Q3 09:54.00</v>
      </c>
      <c r="L870">
        <v>18.059999999999999</v>
      </c>
      <c r="M870">
        <v>23.7</v>
      </c>
      <c r="N870">
        <v>62.01</v>
      </c>
      <c r="O870">
        <v>-60</v>
      </c>
      <c r="P870">
        <v>170</v>
      </c>
    </row>
    <row r="871" spans="1:16" x14ac:dyDescent="0.25">
      <c r="A871">
        <v>22301028</v>
      </c>
      <c r="B871">
        <v>2023</v>
      </c>
      <c r="C871" t="s">
        <v>32</v>
      </c>
      <c r="D871" t="s">
        <v>19</v>
      </c>
      <c r="E871">
        <v>25</v>
      </c>
      <c r="F871">
        <v>34</v>
      </c>
      <c r="G871">
        <v>1</v>
      </c>
      <c r="H871" s="1">
        <v>1.0763888888888889E-3</v>
      </c>
      <c r="I871" t="s">
        <v>23</v>
      </c>
      <c r="J871" s="2" t="str">
        <f>HYPERLINK("https://www.nba.com/stats/events?CFID=&amp;CFPARAMS=&amp;GameEventID=112&amp;GameID=0022301028&amp;Season=2023-24&amp;flag=1&amp;title=Leonard%206'%20driving%20floating%20bank%20Jump%20Shot%20(2%20PTS)%20(N.%20Powell%201%20AST)", "6' driving floating bank Jump Shot (2 PTS) (N. Powell 1 AST)")</f>
        <v>6' driving floating bank Jump Shot (2 PTS) (N. Powell 1 AST)</v>
      </c>
      <c r="K871" s="2" t="str">
        <f>HYPERLINK("https://www.nba.com/game/...-vs-...-0022301028/play-by-play?watchFullGame=true", "LAC vs PHI - Q1 01:33.00")</f>
        <v>LAC vs PHI - Q1 01:33.00</v>
      </c>
      <c r="L871">
        <v>6.59</v>
      </c>
      <c r="M871">
        <v>91.25</v>
      </c>
      <c r="N871">
        <v>38.24</v>
      </c>
      <c r="O871">
        <v>-59</v>
      </c>
      <c r="P871">
        <v>30</v>
      </c>
    </row>
    <row r="872" spans="1:16" x14ac:dyDescent="0.25">
      <c r="A872">
        <v>22300151</v>
      </c>
      <c r="B872">
        <v>2023</v>
      </c>
      <c r="C872" t="s">
        <v>32</v>
      </c>
      <c r="D872" t="s">
        <v>19</v>
      </c>
      <c r="E872">
        <v>58</v>
      </c>
      <c r="F872">
        <v>61</v>
      </c>
      <c r="G872">
        <v>3</v>
      </c>
      <c r="H872" s="1">
        <v>4.4907407407407405E-3</v>
      </c>
      <c r="I872" t="s">
        <v>23</v>
      </c>
      <c r="J872" s="2" t="str">
        <f>HYPERLINK("https://www.nba.com/stats/events?CFID=&amp;CFPARAMS=&amp;GameEventID=346&amp;GameID=0022300151&amp;Season=2023-24&amp;flag=1&amp;title=Leonard%207'%20turnaround%20bank%20Jump%20Shot%20(13%20PTS)", "7' turnaround bank Jump Shot (13 PTS)")</f>
        <v>7' turnaround bank Jump Shot (13 PTS)</v>
      </c>
      <c r="K872" s="2" t="str">
        <f>HYPERLINK("https://www.nba.com/game/...-vs-...-0022300151/play-by-play?watchFullGame=true", "LAC vs NYK - Q3 06:28.00")</f>
        <v>LAC vs NYK - Q3 06:28.00</v>
      </c>
      <c r="L872">
        <v>7.02</v>
      </c>
      <c r="M872">
        <v>9.67</v>
      </c>
      <c r="N872">
        <v>61.76</v>
      </c>
      <c r="O872">
        <v>-59</v>
      </c>
      <c r="P872">
        <v>38</v>
      </c>
    </row>
    <row r="873" spans="1:16" x14ac:dyDescent="0.25">
      <c r="A873">
        <v>41200407</v>
      </c>
      <c r="B873" t="s">
        <v>27</v>
      </c>
      <c r="C873" t="s">
        <v>32</v>
      </c>
      <c r="D873" t="s">
        <v>24</v>
      </c>
      <c r="E873">
        <v>46</v>
      </c>
      <c r="F873">
        <v>46</v>
      </c>
      <c r="G873">
        <v>3</v>
      </c>
      <c r="H873" s="1">
        <v>7.951388888888888E-3</v>
      </c>
      <c r="I873" t="s">
        <v>18</v>
      </c>
      <c r="J873" s="2" t="str">
        <f>HYPERLINK("https://www.nba.com/stats/events?CFID=&amp;CFPARAMS=&amp;GameEventID=277&amp;GameID=0041200407&amp;Season=2012-13&amp;flag=1&amp;title=Leonard%2012'%20Turnaround%20Jump%20Shot%20(7%20PTS)", "Leonard 12' Turnaround Jump Shot (7 PTS)")</f>
        <v>Leonard 12' Turnaround Jump Shot (7 PTS)</v>
      </c>
      <c r="K873" s="2" t="str">
        <f>HYPERLINK("https://www.nba.com/game/...-vs-...-0041200407/play-by-play?watchFullGame=true", "SAS vs MIA - Q3 11:27.00")</f>
        <v>SAS vs MIA - Q3 11:27.00</v>
      </c>
      <c r="L873">
        <v>12</v>
      </c>
      <c r="M873">
        <v>-59</v>
      </c>
      <c r="N873">
        <v>102</v>
      </c>
      <c r="O873">
        <v>-59</v>
      </c>
      <c r="P873">
        <v>102</v>
      </c>
    </row>
    <row r="874" spans="1:16" x14ac:dyDescent="0.25">
      <c r="A874">
        <v>22300179</v>
      </c>
      <c r="B874">
        <v>2023</v>
      </c>
      <c r="C874" t="s">
        <v>32</v>
      </c>
      <c r="D874" t="s">
        <v>19</v>
      </c>
      <c r="E874">
        <v>9</v>
      </c>
      <c r="F874">
        <v>19</v>
      </c>
      <c r="G874">
        <v>1</v>
      </c>
      <c r="H874" s="1">
        <v>4.2129629629629626E-3</v>
      </c>
      <c r="I874" t="s">
        <v>23</v>
      </c>
      <c r="J874" s="2" t="str">
        <f>HYPERLINK("https://www.nba.com/stats/events?CFID=&amp;CFPARAMS=&amp;GameEventID=70&amp;GameID=0022300179&amp;Season=2023-24&amp;flag=1&amp;title=Leonard%2012'%20turnaround%20fadeaway%20Jump%20Shot%20(4%20PTS)", "12' turnaround fadeaway Jump Shot (4 PTS)")</f>
        <v>12' turnaround fadeaway Jump Shot (4 PTS)</v>
      </c>
      <c r="K874" s="2" t="str">
        <f>HYPERLINK("https://www.nba.com/game/...-vs-...-0022300179/play-by-play?watchFullGame=true", "LAC vs MEM - Q1 06:04.00")</f>
        <v>LAC vs MEM - Q1 06:04.00</v>
      </c>
      <c r="L874">
        <v>12.13</v>
      </c>
      <c r="M874">
        <v>16.87</v>
      </c>
      <c r="N874">
        <v>61.76</v>
      </c>
      <c r="O874">
        <v>-59</v>
      </c>
      <c r="P874">
        <v>106</v>
      </c>
    </row>
    <row r="875" spans="1:16" x14ac:dyDescent="0.25">
      <c r="A875">
        <v>21500872</v>
      </c>
      <c r="B875">
        <v>2015</v>
      </c>
      <c r="C875" t="s">
        <v>32</v>
      </c>
      <c r="D875" t="s">
        <v>34</v>
      </c>
      <c r="E875">
        <v>9</v>
      </c>
      <c r="F875">
        <v>20</v>
      </c>
      <c r="G875">
        <v>1</v>
      </c>
      <c r="H875" s="1">
        <v>1.7708333333333332E-3</v>
      </c>
      <c r="I875" t="s">
        <v>18</v>
      </c>
      <c r="J875" s="2" t="str">
        <f>HYPERLINK("https://www.nba.com/stats/events?CFID=&amp;CFPARAMS=&amp;GameEventID=80&amp;GameID=0021500872&amp;Season=2015-16&amp;flag=1&amp;title=Leonard%2010'%20Turnaround%20Fadeaway%20(8%20PTS)", "Leonard 10' Turnaround Fadeaway (8 PTS)")</f>
        <v>Leonard 10' Turnaround Fadeaway (8 PTS)</v>
      </c>
      <c r="K875" s="2" t="str">
        <f>HYPERLINK("https://www.nba.com/game/...-vs-...-0021500872/play-by-play?watchFullGame=true", "SAS vs HOU - Q1 02:33.00")</f>
        <v>SAS vs HOU - Q1 02:33.00</v>
      </c>
      <c r="L875">
        <v>10</v>
      </c>
      <c r="M875">
        <v>-58</v>
      </c>
      <c r="N875">
        <v>80</v>
      </c>
      <c r="O875">
        <v>-58</v>
      </c>
      <c r="P875">
        <v>80</v>
      </c>
    </row>
    <row r="876" spans="1:16" x14ac:dyDescent="0.25">
      <c r="A876">
        <v>22300708</v>
      </c>
      <c r="B876">
        <v>2023</v>
      </c>
      <c r="C876" t="s">
        <v>32</v>
      </c>
      <c r="D876" t="s">
        <v>19</v>
      </c>
      <c r="E876">
        <v>22</v>
      </c>
      <c r="F876">
        <v>19</v>
      </c>
      <c r="G876">
        <v>1</v>
      </c>
      <c r="H876" s="1">
        <v>4.6296296296296296E-6</v>
      </c>
      <c r="I876" t="s">
        <v>23</v>
      </c>
      <c r="J876" s="2" t="str">
        <f>HYPERLINK("https://www.nba.com/stats/events?CFID=&amp;CFPARAMS=&amp;GameEventID=134&amp;GameID=0022300708&amp;Season=2023-24&amp;flag=1&amp;title=Leonard%2011'%20Jump%20Shot%20(6%20PTS)%20(R.%20Westbrook%201%20AST)", "11' Jump Shot (6 PTS) (R. Westbrook 1 AST)")</f>
        <v>11' Jump Shot (6 PTS) (R. Westbrook 1 AST)</v>
      </c>
      <c r="K876" s="2" t="str">
        <f>HYPERLINK("https://www.nba.com/game/...-vs-...-0022300708/play-by-play?watchFullGame=true", "LAC vs MIA - Q1 00:00.40")</f>
        <v>LAC vs MIA - Q1 00:00.40</v>
      </c>
      <c r="L876">
        <v>11.34</v>
      </c>
      <c r="M876">
        <v>15.98</v>
      </c>
      <c r="N876">
        <v>61.52</v>
      </c>
      <c r="O876">
        <v>-58</v>
      </c>
      <c r="P876">
        <v>98</v>
      </c>
    </row>
    <row r="877" spans="1:16" x14ac:dyDescent="0.25">
      <c r="A877">
        <v>41500151</v>
      </c>
      <c r="B877" t="s">
        <v>25</v>
      </c>
      <c r="C877" t="s">
        <v>32</v>
      </c>
      <c r="D877" t="s">
        <v>37</v>
      </c>
      <c r="E877">
        <v>55</v>
      </c>
      <c r="F877">
        <v>40</v>
      </c>
      <c r="G877">
        <v>3</v>
      </c>
      <c r="H877" s="1">
        <v>6.2962962962962964E-3</v>
      </c>
      <c r="I877" t="s">
        <v>18</v>
      </c>
      <c r="J877" s="2" t="str">
        <f>HYPERLINK("https://www.nba.com/stats/events?CFID=&amp;CFPARAMS=&amp;GameEventID=251&amp;GameID=0041500151&amp;Season=2015-16&amp;flag=1&amp;title=Leonard%2017'%20Floating%20Jump%20Shot%20(14%20PTS)", "Leonard 17' Floating Jump Shot (14 PTS)")</f>
        <v>Leonard 17' Floating Jump Shot (14 PTS)</v>
      </c>
      <c r="K877" s="2" t="str">
        <f>HYPERLINK("https://www.nba.com/game/...-vs-...-0041500151/play-by-play?watchFullGame=true", "SAS vs MEM - Q3 09:04.00")</f>
        <v>SAS vs MEM - Q3 09:04.00</v>
      </c>
      <c r="L877">
        <v>17</v>
      </c>
      <c r="M877">
        <v>-58</v>
      </c>
      <c r="N877">
        <v>156</v>
      </c>
      <c r="O877">
        <v>-58</v>
      </c>
      <c r="P877">
        <v>156</v>
      </c>
    </row>
    <row r="878" spans="1:16" x14ac:dyDescent="0.25">
      <c r="A878">
        <v>22000308</v>
      </c>
      <c r="B878">
        <v>2020</v>
      </c>
      <c r="C878" t="s">
        <v>32</v>
      </c>
      <c r="D878" t="s">
        <v>19</v>
      </c>
      <c r="E878">
        <v>29</v>
      </c>
      <c r="F878">
        <v>27</v>
      </c>
      <c r="G878">
        <v>1</v>
      </c>
      <c r="H878" s="1">
        <v>1.0069444444444444E-3</v>
      </c>
      <c r="I878" t="s">
        <v>23</v>
      </c>
      <c r="J878" s="2" t="str">
        <f>HYPERLINK("https://www.nba.com/stats/events?CFID=&amp;CFPARAMS=&amp;GameEventID=125&amp;GameID=0022000308&amp;Season=2020-21&amp;flag=1&amp;title=Leonard%2016'%20pullup%20Jump%20Shot%20(7%20PTS)", "16' pullup Jump Shot (7 PTS)")</f>
        <v>16' pullup Jump Shot (7 PTS)</v>
      </c>
      <c r="K878" s="2" t="str">
        <f>HYPERLINK("https://www.nba.com/game/...-vs-...-0022000308/play-by-play?watchFullGame=true", "LAC vs NYK - Q1 01:27.00")</f>
        <v>LAC vs NYK - Q1 01:27.00</v>
      </c>
      <c r="L878">
        <v>16.73</v>
      </c>
      <c r="M878">
        <v>22.29</v>
      </c>
      <c r="N878">
        <v>61.59</v>
      </c>
      <c r="O878">
        <v>-58</v>
      </c>
      <c r="P878">
        <v>157</v>
      </c>
    </row>
    <row r="879" spans="1:16" x14ac:dyDescent="0.25">
      <c r="A879">
        <v>22400783</v>
      </c>
      <c r="B879">
        <v>2024</v>
      </c>
      <c r="C879" t="s">
        <v>16</v>
      </c>
      <c r="D879" t="s">
        <v>19</v>
      </c>
      <c r="E879">
        <v>88</v>
      </c>
      <c r="F879">
        <v>70</v>
      </c>
      <c r="G879">
        <v>3</v>
      </c>
      <c r="H879" s="1">
        <v>4.9421296296296297E-3</v>
      </c>
      <c r="I879" t="s">
        <v>23</v>
      </c>
      <c r="J879" s="2" t="str">
        <f>HYPERLINK("https://www.nba.com/stats/events?CFID=&amp;CFPARAMS=&amp;GameEventID=402&amp;GameID=0022400783&amp;Season=2024-25&amp;flag=1&amp;title=Leonard%2026'%203PT%20pullup%20(21%20PTS)", "26' 3PT pullup (21 PTS)")</f>
        <v>26' 3PT pullup (21 PTS)</v>
      </c>
      <c r="K879" s="2" t="str">
        <f>HYPERLINK("https://www.nba.com/game/...-vs-...-0022400783/play-by-play?watchFullGame=true", "LAC vs MEM - Q3 07:07.00")</f>
        <v>LAC vs MEM - Q3 07:07.00</v>
      </c>
      <c r="L879">
        <v>26.27</v>
      </c>
      <c r="M879">
        <v>67.150000000000006</v>
      </c>
      <c r="N879">
        <v>38.46</v>
      </c>
      <c r="O879">
        <v>-58</v>
      </c>
      <c r="P879">
        <v>256</v>
      </c>
    </row>
    <row r="880" spans="1:16" x14ac:dyDescent="0.25">
      <c r="A880">
        <v>21400964</v>
      </c>
      <c r="B880">
        <v>2014</v>
      </c>
      <c r="C880" t="s">
        <v>32</v>
      </c>
      <c r="D880" t="s">
        <v>19</v>
      </c>
      <c r="E880">
        <v>2</v>
      </c>
      <c r="F880">
        <v>0</v>
      </c>
      <c r="G880">
        <v>1</v>
      </c>
      <c r="H880" s="1">
        <v>8.1250000000000003E-3</v>
      </c>
      <c r="I880" t="s">
        <v>18</v>
      </c>
      <c r="J880" s="2" t="str">
        <f>HYPERLINK("https://www.nba.com/stats/events?CFID=&amp;CFPARAMS=&amp;GameEventID=2&amp;GameID=0021400964&amp;Season=2014-15&amp;flag=1&amp;title=Leonard%2017'%20Jump%20Shot%20(2%20PTS)%20(Duncan%201%20AST)", "Leonard 17' Jump Shot (2 PTS) (Duncan 1 AST)")</f>
        <v>Leonard 17' Jump Shot (2 PTS) (Duncan 1 AST)</v>
      </c>
      <c r="K880" s="2" t="str">
        <f>HYPERLINK("https://www.nba.com/game/...-vs-...-0021400964/play-by-play?watchFullGame=true", "SAS vs CLE - Q1 11:42.00")</f>
        <v>SAS vs CLE - Q1 11:42.00</v>
      </c>
      <c r="L880">
        <v>17</v>
      </c>
      <c r="M880">
        <v>-57</v>
      </c>
      <c r="N880">
        <v>156</v>
      </c>
      <c r="O880">
        <v>-57</v>
      </c>
      <c r="P880">
        <v>156</v>
      </c>
    </row>
    <row r="881" spans="1:16" x14ac:dyDescent="0.25">
      <c r="A881">
        <v>21300363</v>
      </c>
      <c r="B881">
        <v>2013</v>
      </c>
      <c r="C881" t="s">
        <v>32</v>
      </c>
      <c r="D881" t="s">
        <v>40</v>
      </c>
      <c r="E881">
        <v>71</v>
      </c>
      <c r="F881">
        <v>66</v>
      </c>
      <c r="G881">
        <v>3</v>
      </c>
      <c r="H881" s="1">
        <v>2.6967592592592594E-3</v>
      </c>
      <c r="I881" t="s">
        <v>18</v>
      </c>
      <c r="J881" s="2" t="str">
        <f>HYPERLINK("https://www.nba.com/stats/events?CFID=&amp;CFPARAMS=&amp;GameEventID=352&amp;GameID=0021300363&amp;Season=2013-14&amp;flag=1&amp;title=Leonard%206'%20Hook%20Shot%20(10%20PTS)", "Leonard 6' Hook Shot (10 PTS)")</f>
        <v>Leonard 6' Hook Shot (10 PTS)</v>
      </c>
      <c r="K881" s="2" t="str">
        <f>HYPERLINK("https://www.nba.com/game/...-vs-...-0021300363/play-by-play?watchFullGame=true", "SAS vs LAC - Q3 03:53.00")</f>
        <v>SAS vs LAC - Q3 03:53.00</v>
      </c>
      <c r="L881">
        <v>6</v>
      </c>
      <c r="M881">
        <v>-56</v>
      </c>
      <c r="N881">
        <v>31</v>
      </c>
      <c r="O881">
        <v>-56</v>
      </c>
      <c r="P881">
        <v>31</v>
      </c>
    </row>
    <row r="882" spans="1:16" x14ac:dyDescent="0.25">
      <c r="A882">
        <v>21900068</v>
      </c>
      <c r="B882">
        <v>2019</v>
      </c>
      <c r="C882" t="s">
        <v>32</v>
      </c>
      <c r="D882" t="s">
        <v>22</v>
      </c>
      <c r="E882">
        <v>12</v>
      </c>
      <c r="F882">
        <v>6</v>
      </c>
      <c r="G882">
        <v>1</v>
      </c>
      <c r="H882" s="1">
        <v>3.5995370370370369E-3</v>
      </c>
      <c r="I882" t="s">
        <v>23</v>
      </c>
      <c r="J882" s="2" t="str">
        <f>HYPERLINK("https://www.nba.com/stats/events?CFID=&amp;CFPARAMS=&amp;GameEventID=79&amp;GameID=0021900068&amp;Season=2019-20&amp;flag=1&amp;title=[LAC]%20Leonard%20jumpshot:%20Made%20(8%20PTS)", "[LAC] Leonard jumpshot: Made (8 PTS)")</f>
        <v>[LAC] Leonard jumpshot: Made (8 PTS)</v>
      </c>
      <c r="K882" s="2" t="str">
        <f>HYPERLINK("https://www.nba.com/game/...-vs-...-0021900068/play-by-play?watchFullGame=true", "LAC vs SAS - Q1 05:11.00")</f>
        <v>LAC vs SAS - Q1 05:11.00</v>
      </c>
      <c r="L882">
        <v>6.95</v>
      </c>
      <c r="M882">
        <v>9.3800000000000008</v>
      </c>
      <c r="N882">
        <v>61.21</v>
      </c>
      <c r="O882">
        <v>-56</v>
      </c>
      <c r="P882">
        <v>36</v>
      </c>
    </row>
    <row r="883" spans="1:16" x14ac:dyDescent="0.25">
      <c r="A883">
        <v>41800111</v>
      </c>
      <c r="B883" t="s">
        <v>20</v>
      </c>
      <c r="C883" t="s">
        <v>32</v>
      </c>
      <c r="D883" t="s">
        <v>33</v>
      </c>
      <c r="E883">
        <v>2</v>
      </c>
      <c r="F883">
        <v>0</v>
      </c>
      <c r="G883">
        <v>1</v>
      </c>
      <c r="H883" s="1">
        <v>8.1828703703703699E-3</v>
      </c>
      <c r="I883" t="s">
        <v>21</v>
      </c>
      <c r="J883" s="2" t="str">
        <f>HYPERLINK("https://www.nba.com/stats/events?CFID=&amp;CFPARAMS=&amp;GameEventID=7&amp;GameID=0041800111&amp;Season=2018-19&amp;flag=1&amp;title=Leonard%209'%20Fadeaway%20Jumper%20(2%20PTS)", "Leonard 9' Fadeaway Jumper (2 PTS)")</f>
        <v>Leonard 9' Fadeaway Jumper (2 PTS)</v>
      </c>
      <c r="K883" s="2" t="str">
        <f>HYPERLINK("https://www.nba.com/game/...-vs-...-0041800111/play-by-play?watchFullGame=true", "TOR vs ORL - Q1 11:47.00")</f>
        <v>TOR vs ORL - Q1 11:47.00</v>
      </c>
      <c r="L883">
        <v>9</v>
      </c>
      <c r="M883">
        <v>-56</v>
      </c>
      <c r="N883">
        <v>69</v>
      </c>
      <c r="O883">
        <v>-56</v>
      </c>
      <c r="P883">
        <v>69</v>
      </c>
    </row>
    <row r="884" spans="1:16" x14ac:dyDescent="0.25">
      <c r="A884">
        <v>21601209</v>
      </c>
      <c r="B884">
        <v>2016</v>
      </c>
      <c r="C884" t="s">
        <v>32</v>
      </c>
      <c r="D884" t="s">
        <v>19</v>
      </c>
      <c r="E884">
        <v>34</v>
      </c>
      <c r="F884">
        <v>32</v>
      </c>
      <c r="G884">
        <v>2</v>
      </c>
      <c r="H884" s="1">
        <v>4.6180555555555558E-3</v>
      </c>
      <c r="I884" t="s">
        <v>18</v>
      </c>
      <c r="J884" s="2" t="str">
        <f>HYPERLINK("https://www.nba.com/stats/events?CFID=&amp;CFPARAMS=&amp;GameEventID=180&amp;GameID=0021601209&amp;Season=2016-17&amp;flag=1&amp;title=Leonard%2019'%20Jump%20Shot%20(7%20PTS)%20(Bertans%201%20AST)", "Leonard 19' Jump Shot (7 PTS) (Bertans 1 AST)")</f>
        <v>Leonard 19' Jump Shot (7 PTS) (Bertans 1 AST)</v>
      </c>
      <c r="K884" s="2" t="str">
        <f>HYPERLINK("https://www.nba.com/game/...-vs-...-0021601209/play-by-play?watchFullGame=true", "SAS vs POR - Q2 06:39.00")</f>
        <v>SAS vs POR - Q2 06:39.00</v>
      </c>
      <c r="L884">
        <v>19</v>
      </c>
      <c r="M884">
        <v>-56</v>
      </c>
      <c r="N884">
        <v>183</v>
      </c>
      <c r="O884">
        <v>-56</v>
      </c>
      <c r="P884">
        <v>183</v>
      </c>
    </row>
    <row r="885" spans="1:16" x14ac:dyDescent="0.25">
      <c r="A885">
        <v>22300372</v>
      </c>
      <c r="B885">
        <v>2023</v>
      </c>
      <c r="C885" t="s">
        <v>16</v>
      </c>
      <c r="D885" t="s">
        <v>19</v>
      </c>
      <c r="E885">
        <v>20</v>
      </c>
      <c r="F885">
        <v>29</v>
      </c>
      <c r="G885">
        <v>1</v>
      </c>
      <c r="H885" s="1">
        <v>1.2962962962962963E-3</v>
      </c>
      <c r="I885" t="s">
        <v>23</v>
      </c>
      <c r="J885" s="2" t="str">
        <f>HYPERLINK("https://www.nba.com/stats/events?CFID=&amp;CFPARAMS=&amp;GameEventID=139&amp;GameID=0022300372&amp;Season=2023-24&amp;flag=1&amp;title=Leonard%2025'%203PT%20%20(10%20PTS)", "25' 3PT  (10 PTS)")</f>
        <v>25' 3PT  (10 PTS)</v>
      </c>
      <c r="K885" s="2" t="str">
        <f>HYPERLINK("https://www.nba.com/game/...-vs-...-0022300372/play-by-play?watchFullGame=true", "LAC vs DAL - Q1 01:52.00")</f>
        <v>LAC vs DAL - Q1 01:52.00</v>
      </c>
      <c r="L885">
        <v>25.33</v>
      </c>
      <c r="M885">
        <v>68.150000000000006</v>
      </c>
      <c r="N885">
        <v>38.729999999999997</v>
      </c>
      <c r="O885">
        <v>-56</v>
      </c>
      <c r="P885">
        <v>247</v>
      </c>
    </row>
    <row r="886" spans="1:16" x14ac:dyDescent="0.25">
      <c r="A886">
        <v>22000554</v>
      </c>
      <c r="B886">
        <v>2020</v>
      </c>
      <c r="C886" t="s">
        <v>32</v>
      </c>
      <c r="D886" t="s">
        <v>48</v>
      </c>
      <c r="E886">
        <v>43</v>
      </c>
      <c r="F886">
        <v>58</v>
      </c>
      <c r="G886">
        <v>2</v>
      </c>
      <c r="H886" s="1">
        <v>1.4351851851851852E-3</v>
      </c>
      <c r="I886" t="s">
        <v>23</v>
      </c>
      <c r="J886" s="2" t="str">
        <f>HYPERLINK("https://www.nba.com/stats/events?CFID=&amp;CFPARAMS=&amp;GameEventID=291&amp;GameID=0022000554&amp;Season=2020-21&amp;flag=1&amp;title=Leonard%206'%20DUNK%20(14%20PTS)%20(L.%20Kennard%202%20AST)", "6' DUNK (14 PTS) (L. Kennard 2 AST)")</f>
        <v>6' DUNK (14 PTS) (L. Kennard 2 AST)</v>
      </c>
      <c r="K886" s="2" t="str">
        <f>HYPERLINK("https://www.nba.com/game/...-vs-...-0022000554/play-by-play?watchFullGame=true", "LAC vs WAS - Q2 02:04.00")</f>
        <v>LAC vs WAS - Q2 02:04.00</v>
      </c>
      <c r="L886">
        <v>6.42</v>
      </c>
      <c r="M886">
        <v>9.02</v>
      </c>
      <c r="N886">
        <v>61.1</v>
      </c>
      <c r="O886">
        <v>-55</v>
      </c>
      <c r="P886">
        <v>32</v>
      </c>
    </row>
    <row r="887" spans="1:16" x14ac:dyDescent="0.25">
      <c r="A887">
        <v>21601170</v>
      </c>
      <c r="B887">
        <v>2016</v>
      </c>
      <c r="C887" t="s">
        <v>32</v>
      </c>
      <c r="D887" t="s">
        <v>19</v>
      </c>
      <c r="E887">
        <v>2</v>
      </c>
      <c r="F887">
        <v>2</v>
      </c>
      <c r="G887">
        <v>1</v>
      </c>
      <c r="H887" s="1">
        <v>7.4652777777777781E-3</v>
      </c>
      <c r="I887" t="s">
        <v>18</v>
      </c>
      <c r="J887" s="2" t="str">
        <f>HYPERLINK("https://www.nba.com/stats/events?CFID=&amp;CFPARAMS=&amp;GameEventID=9&amp;GameID=0021601170&amp;Season=2016-17&amp;flag=1&amp;title=Leonard%2010'%20Jump%20Shot%20(2%20PTS)", "Leonard 10' Jump Shot (2 PTS)")</f>
        <v>Leonard 10' Jump Shot (2 PTS)</v>
      </c>
      <c r="K887" s="2" t="str">
        <f>HYPERLINK("https://www.nba.com/game/...-vs-...-0021601170/play-by-play?watchFullGame=true", "SAS vs LAL - Q1 10:45.00")</f>
        <v>SAS vs LAL - Q1 10:45.00</v>
      </c>
      <c r="L887">
        <v>10</v>
      </c>
      <c r="M887">
        <v>-55</v>
      </c>
      <c r="N887">
        <v>82</v>
      </c>
      <c r="O887">
        <v>-55</v>
      </c>
      <c r="P887">
        <v>82</v>
      </c>
    </row>
    <row r="888" spans="1:16" x14ac:dyDescent="0.25">
      <c r="A888">
        <v>21900157</v>
      </c>
      <c r="B888">
        <v>2019</v>
      </c>
      <c r="C888" t="s">
        <v>32</v>
      </c>
      <c r="D888" t="s">
        <v>22</v>
      </c>
      <c r="E888">
        <v>85</v>
      </c>
      <c r="F888">
        <v>86</v>
      </c>
      <c r="G888">
        <v>4</v>
      </c>
      <c r="H888" s="1">
        <v>3.6689814814814814E-3</v>
      </c>
      <c r="I888" t="s">
        <v>23</v>
      </c>
      <c r="J888" s="2" t="str">
        <f>HYPERLINK("https://www.nba.com/stats/events?CFID=&amp;CFPARAMS=&amp;GameEventID=609&amp;GameID=0021900157&amp;Season=2019-20&amp;flag=1&amp;title=Leonard%2013'%20jumpshot%20(26%20PTS)", "13' jumpshot (26 PTS)")</f>
        <v>13' jumpshot (26 PTS)</v>
      </c>
      <c r="K888" s="2" t="str">
        <f>HYPERLINK("https://www.nba.com/game/...-vs-...-0021900157/play-by-play?watchFullGame=true", "LAC vs HOU - Q4 05:17.00")</f>
        <v>LAC vs HOU - Q4 05:17.00</v>
      </c>
      <c r="L888">
        <v>13.1</v>
      </c>
      <c r="M888">
        <v>17.66</v>
      </c>
      <c r="N888">
        <v>60.96</v>
      </c>
      <c r="O888">
        <v>-55</v>
      </c>
      <c r="P888">
        <v>113</v>
      </c>
    </row>
    <row r="889" spans="1:16" x14ac:dyDescent="0.25">
      <c r="A889">
        <v>21601161</v>
      </c>
      <c r="B889">
        <v>2016</v>
      </c>
      <c r="C889" t="s">
        <v>32</v>
      </c>
      <c r="D889" t="s">
        <v>29</v>
      </c>
      <c r="E889">
        <v>27</v>
      </c>
      <c r="F889">
        <v>28</v>
      </c>
      <c r="G889">
        <v>2</v>
      </c>
      <c r="H889" s="1">
        <v>2.8009259259259259E-3</v>
      </c>
      <c r="I889" t="s">
        <v>18</v>
      </c>
      <c r="J889" s="2" t="str">
        <f>HYPERLINK("https://www.nba.com/stats/events?CFID=&amp;CFPARAMS=&amp;GameEventID=194&amp;GameID=0021601161&amp;Season=2016-17&amp;flag=1&amp;title=Leonard%2020'%20Pullup%20Jump%20Shot%20(5%20PTS)", "Leonard 20' Pullup Jump Shot (5 PTS)")</f>
        <v>Leonard 20' Pullup Jump Shot (5 PTS)</v>
      </c>
      <c r="K889" s="2" t="str">
        <f>HYPERLINK("https://www.nba.com/game/...-vs-...-0021601161/play-by-play?watchFullGame=true", "SAS vs MEM - Q2 04:02.00")</f>
        <v>SAS vs MEM - Q2 04:02.00</v>
      </c>
      <c r="L889">
        <v>20</v>
      </c>
      <c r="M889">
        <v>-55</v>
      </c>
      <c r="N889">
        <v>193</v>
      </c>
      <c r="O889">
        <v>-55</v>
      </c>
      <c r="P889">
        <v>193</v>
      </c>
    </row>
    <row r="890" spans="1:16" x14ac:dyDescent="0.25">
      <c r="A890">
        <v>22300807</v>
      </c>
      <c r="B890">
        <v>2023</v>
      </c>
      <c r="C890" t="s">
        <v>16</v>
      </c>
      <c r="D890" t="s">
        <v>19</v>
      </c>
      <c r="E890">
        <v>75</v>
      </c>
      <c r="F890">
        <v>79</v>
      </c>
      <c r="G890">
        <v>3</v>
      </c>
      <c r="H890" s="1">
        <v>0</v>
      </c>
      <c r="I890" t="s">
        <v>23</v>
      </c>
      <c r="J890" s="2" t="str">
        <f>HYPERLINK("https://www.nba.com/stats/events?CFID=&amp;CFPARAMS=&amp;GameEventID=485&amp;GameID=0022300807&amp;Season=2023-24&amp;flag=1&amp;title=Leonard%2025'%203PT%20fadeaway%20(20%20PTS)", "25' 3PT fadeaway (20 PTS)")</f>
        <v>25' 3PT fadeaway (20 PTS)</v>
      </c>
      <c r="K890" s="2" t="str">
        <f>HYPERLINK("https://www.nba.com/game/...-vs-...-0022300807/play-by-play?watchFullGame=true", "LAC vs MEM - Q3 00:00.00")</f>
        <v>LAC vs MEM - Q3 00:00.00</v>
      </c>
      <c r="L890">
        <v>25.54</v>
      </c>
      <c r="M890">
        <v>67.89</v>
      </c>
      <c r="N890">
        <v>38.97</v>
      </c>
      <c r="O890">
        <v>-55</v>
      </c>
      <c r="P890">
        <v>249</v>
      </c>
    </row>
    <row r="891" spans="1:16" x14ac:dyDescent="0.25">
      <c r="A891">
        <v>21600701</v>
      </c>
      <c r="B891">
        <v>2016</v>
      </c>
      <c r="C891" t="s">
        <v>16</v>
      </c>
      <c r="D891" t="s">
        <v>19</v>
      </c>
      <c r="E891">
        <v>102</v>
      </c>
      <c r="F891">
        <v>95</v>
      </c>
      <c r="G891">
        <v>4</v>
      </c>
      <c r="H891" s="1">
        <v>3.8888888888888888E-3</v>
      </c>
      <c r="I891" t="s">
        <v>18</v>
      </c>
      <c r="J891" s="2" t="str">
        <f>HYPERLINK("https://www.nba.com/stats/events?CFID=&amp;CFPARAMS=&amp;GameEventID=496&amp;GameID=0021600701&amp;Season=2016-17&amp;flag=1&amp;title=Leonard%2027'%203PT%20Jump%20Shot%20(23%20PTS)%20(Parker%203%20AST)", "Leonard 27' 3PT Jump Shot (23 PTS) (Parker 3 AST)")</f>
        <v>Leonard 27' 3PT Jump Shot (23 PTS) (Parker 3 AST)</v>
      </c>
      <c r="K891" s="2" t="str">
        <f>HYPERLINK("https://www.nba.com/game/...-vs-...-0021600701/play-by-play?watchFullGame=true", "SAS vs NOP - Q4 05:36.00")</f>
        <v>SAS vs NOP - Q4 05:36.00</v>
      </c>
      <c r="L891">
        <v>27</v>
      </c>
      <c r="M891">
        <v>-55</v>
      </c>
      <c r="N891">
        <v>262</v>
      </c>
      <c r="O891">
        <v>-55</v>
      </c>
      <c r="P891">
        <v>262</v>
      </c>
    </row>
    <row r="892" spans="1:16" x14ac:dyDescent="0.25">
      <c r="A892">
        <v>41200311</v>
      </c>
      <c r="B892" t="s">
        <v>27</v>
      </c>
      <c r="C892" t="s">
        <v>32</v>
      </c>
      <c r="D892" t="s">
        <v>19</v>
      </c>
      <c r="E892">
        <v>75</v>
      </c>
      <c r="F892">
        <v>59</v>
      </c>
      <c r="G892">
        <v>4</v>
      </c>
      <c r="H892" s="1">
        <v>7.5231481481481477E-3</v>
      </c>
      <c r="I892" t="s">
        <v>18</v>
      </c>
      <c r="J892" s="2" t="str">
        <f>HYPERLINK("https://www.nba.com/stats/events?CFID=&amp;CFPARAMS=&amp;GameEventID=348&amp;GameID=0041200311&amp;Season=2012-13&amp;flag=1&amp;title=Leonard%205'%20Jump%20Shot%20(10%20PTS)%20(Parker%207%20AST)", "Leonard 5' Jump Shot (10 PTS) (Parker 7 AST)")</f>
        <v>Leonard 5' Jump Shot (10 PTS) (Parker 7 AST)</v>
      </c>
      <c r="K892" s="2" t="str">
        <f>HYPERLINK("https://www.nba.com/game/...-vs-...-0041200311/play-by-play?watchFullGame=true", "SAS vs MEM - Q4 10:50.00")</f>
        <v>SAS vs MEM - Q4 10:50.00</v>
      </c>
      <c r="L892">
        <v>5</v>
      </c>
      <c r="M892">
        <v>-54</v>
      </c>
      <c r="N892">
        <v>0</v>
      </c>
      <c r="O892">
        <v>-54</v>
      </c>
      <c r="P892">
        <v>0</v>
      </c>
    </row>
    <row r="893" spans="1:16" x14ac:dyDescent="0.25">
      <c r="A893">
        <v>22200480</v>
      </c>
      <c r="B893">
        <v>2022</v>
      </c>
      <c r="C893" t="s">
        <v>32</v>
      </c>
      <c r="D893" t="s">
        <v>19</v>
      </c>
      <c r="E893">
        <v>36</v>
      </c>
      <c r="F893">
        <v>53</v>
      </c>
      <c r="G893">
        <v>2</v>
      </c>
      <c r="H893" s="1">
        <v>3.9120370370370368E-3</v>
      </c>
      <c r="I893" t="s">
        <v>23</v>
      </c>
      <c r="J893" s="2" t="str">
        <f>HYPERLINK("https://www.nba.com/stats/events?CFID=&amp;CFPARAMS=&amp;GameEventID=212&amp;GameID=0022200480&amp;Season=2022-23&amp;flag=1&amp;title=Leonard%20pullup%20Jump%20Shot%20(10%20PTS)", "Pullup Jump Shot (10 PTS)")</f>
        <v>Pullup Jump Shot (10 PTS)</v>
      </c>
      <c r="K893" s="2" t="str">
        <f>HYPERLINK("https://www.nba.com/game/...-vs-...-0022200480/play-by-play?watchFullGame=true", "LAC vs PHI - Q2 05:38.00")</f>
        <v>LAC vs PHI - Q2 05:38.00</v>
      </c>
      <c r="L893">
        <v>5.66</v>
      </c>
      <c r="M893">
        <v>92.56</v>
      </c>
      <c r="N893">
        <v>39.22</v>
      </c>
      <c r="O893">
        <v>-54</v>
      </c>
      <c r="P893">
        <v>17</v>
      </c>
    </row>
    <row r="894" spans="1:16" x14ac:dyDescent="0.25">
      <c r="A894">
        <v>21900406</v>
      </c>
      <c r="B894">
        <v>2019</v>
      </c>
      <c r="C894" t="s">
        <v>32</v>
      </c>
      <c r="D894" t="s">
        <v>22</v>
      </c>
      <c r="E894">
        <v>54</v>
      </c>
      <c r="F894">
        <v>44</v>
      </c>
      <c r="G894">
        <v>2</v>
      </c>
      <c r="H894" s="1">
        <v>7.8703703703703702E-5</v>
      </c>
      <c r="I894" t="s">
        <v>23</v>
      </c>
      <c r="J894" s="2" t="str">
        <f>HYPERLINK("https://www.nba.com/stats/events?CFID=&amp;CFPARAMS=&amp;GameEventID=343&amp;GameID=0021900406&amp;Season=2019-20&amp;flag=1&amp;title=Leonard%2010'%20jumpshot%20(8%20PTS)", "10' jumpshot (8 PTS)")</f>
        <v>10' jumpshot (8 PTS)</v>
      </c>
      <c r="K894" s="2" t="str">
        <f>HYPERLINK("https://www.nba.com/game/...-vs-...-0021900406/play-by-play?watchFullGame=true", "LAC vs PHX - Q2 00:06.80")</f>
        <v>LAC vs PHX - Q2 00:06.80</v>
      </c>
      <c r="L894">
        <v>10.210000000000001</v>
      </c>
      <c r="M894">
        <v>14.24</v>
      </c>
      <c r="N894">
        <v>60.72</v>
      </c>
      <c r="O894">
        <v>-54</v>
      </c>
      <c r="P894">
        <v>81</v>
      </c>
    </row>
    <row r="895" spans="1:16" x14ac:dyDescent="0.25">
      <c r="A895">
        <v>22300127</v>
      </c>
      <c r="B895">
        <v>2023</v>
      </c>
      <c r="C895" t="s">
        <v>32</v>
      </c>
      <c r="D895" t="s">
        <v>19</v>
      </c>
      <c r="E895">
        <v>2</v>
      </c>
      <c r="F895">
        <v>2</v>
      </c>
      <c r="G895">
        <v>1</v>
      </c>
      <c r="H895" s="1">
        <v>7.4421296296296293E-3</v>
      </c>
      <c r="I895" t="s">
        <v>23</v>
      </c>
      <c r="J895" s="2" t="str">
        <f>HYPERLINK("https://www.nba.com/stats/events?CFID=&amp;CFPARAMS=&amp;GameEventID=18&amp;GameID=0022300127&amp;Season=2023-24&amp;flag=1&amp;title=Leonard%2014'%20pullup%20Jump%20Shot%20(2%20PTS)%20(R.%20Westbrook%201%20AST)", "14' pullup Jump Shot (2 PTS) (R. Westbrook 1 AST)")</f>
        <v>14' pullup Jump Shot (2 PTS) (R. Westbrook 1 AST)</v>
      </c>
      <c r="K895" s="2" t="str">
        <f>HYPERLINK("https://www.nba.com/game/...-vs-...-0022300127/play-by-play?watchFullGame=true", "LAC vs LAL - Q1 10:43.00")</f>
        <v>LAC vs LAL - Q1 10:43.00</v>
      </c>
      <c r="L895">
        <v>14.75</v>
      </c>
      <c r="M895">
        <v>79.81</v>
      </c>
      <c r="N895">
        <v>39.22</v>
      </c>
      <c r="O895">
        <v>-54</v>
      </c>
      <c r="P895">
        <v>137</v>
      </c>
    </row>
    <row r="896" spans="1:16" x14ac:dyDescent="0.25">
      <c r="A896">
        <v>22200932</v>
      </c>
      <c r="B896">
        <v>2022</v>
      </c>
      <c r="C896" t="s">
        <v>16</v>
      </c>
      <c r="D896" t="s">
        <v>19</v>
      </c>
      <c r="E896">
        <v>11</v>
      </c>
      <c r="F896">
        <v>4</v>
      </c>
      <c r="G896">
        <v>1</v>
      </c>
      <c r="H896" s="1">
        <v>5.9606481481481481E-3</v>
      </c>
      <c r="I896" t="s">
        <v>23</v>
      </c>
      <c r="J896" s="2" t="str">
        <f>HYPERLINK("https://www.nba.com/stats/events?CFID=&amp;CFPARAMS=&amp;GameEventID=39&amp;GameID=0022200932&amp;Season=2022-23&amp;flag=1&amp;title=Leonard%2025'%203PT%20running%20pullup%20(3%20PTS)%20(I.%20Zubac%201%20AST)", "25' 3PT running pullup (3 PTS) (I. Zubac 1 AST)")</f>
        <v>25' 3PT running pullup (3 PTS) (I. Zubac 1 AST)</v>
      </c>
      <c r="K896" s="2" t="str">
        <f>HYPERLINK("https://www.nba.com/game/...-vs-...-0022200932/play-by-play?watchFullGame=true", "LAC vs MIN - Q1 08:35.00")</f>
        <v>LAC vs MIN - Q1 08:35.00</v>
      </c>
      <c r="L896">
        <v>25.31</v>
      </c>
      <c r="M896">
        <v>68.12</v>
      </c>
      <c r="N896">
        <v>39.1</v>
      </c>
      <c r="O896">
        <v>-54</v>
      </c>
      <c r="P896">
        <v>247</v>
      </c>
    </row>
    <row r="897" spans="1:16" x14ac:dyDescent="0.25">
      <c r="A897">
        <v>22201215</v>
      </c>
      <c r="B897">
        <v>2022</v>
      </c>
      <c r="C897" t="s">
        <v>16</v>
      </c>
      <c r="D897" t="s">
        <v>19</v>
      </c>
      <c r="E897">
        <v>100</v>
      </c>
      <c r="F897">
        <v>89</v>
      </c>
      <c r="G897">
        <v>3</v>
      </c>
      <c r="H897" s="1">
        <v>2.2800925925925927E-3</v>
      </c>
      <c r="I897" t="s">
        <v>23</v>
      </c>
      <c r="J897" s="2" t="str">
        <f>HYPERLINK("https://www.nba.com/stats/events?CFID=&amp;CFPARAMS=&amp;GameEventID=447&amp;GameID=0022201215&amp;Season=2022-23&amp;flag=1&amp;title=Leonard%2025'%203PT%20%20(25%20PTS)", "25' 3PT  (25 PTS)")</f>
        <v>25' 3PT  (25 PTS)</v>
      </c>
      <c r="K897" s="2" t="str">
        <f>HYPERLINK("https://www.nba.com/game/...-vs-...-0022201215/play-by-play?watchFullGame=true", "LAC vs POR - Q3 03:17.00")</f>
        <v>LAC vs POR - Q3 03:17.00</v>
      </c>
      <c r="L897">
        <v>25.99</v>
      </c>
      <c r="M897">
        <v>32.64</v>
      </c>
      <c r="N897">
        <v>60.78</v>
      </c>
      <c r="O897">
        <v>-54</v>
      </c>
      <c r="P897">
        <v>254</v>
      </c>
    </row>
    <row r="898" spans="1:16" x14ac:dyDescent="0.25">
      <c r="A898">
        <v>21600962</v>
      </c>
      <c r="B898">
        <v>2016</v>
      </c>
      <c r="C898" t="s">
        <v>32</v>
      </c>
      <c r="D898" t="s">
        <v>40</v>
      </c>
      <c r="E898">
        <v>50</v>
      </c>
      <c r="F898">
        <v>43</v>
      </c>
      <c r="G898">
        <v>2</v>
      </c>
      <c r="H898" s="1">
        <v>1.8981481481481482E-3</v>
      </c>
      <c r="I898" t="s">
        <v>18</v>
      </c>
      <c r="J898" s="2" t="str">
        <f>HYPERLINK("https://www.nba.com/stats/events?CFID=&amp;CFPARAMS=&amp;GameEventID=221&amp;GameID=0021600962&amp;Season=2016-17&amp;flag=1&amp;title=Leonard%206'%20Hook%20Shot%20(12%20PTS)%20(Gasol%201%20AST)", "Leonard 6' Hook Shot (12 PTS) (Gasol 1 AST)")</f>
        <v>Leonard 6' Hook Shot (12 PTS) (Gasol 1 AST)</v>
      </c>
      <c r="K898" s="2" t="str">
        <f>HYPERLINK("https://www.nba.com/game/...-vs-...-0021600962/play-by-play?watchFullGame=true", "SAS vs OKC - Q2 02:44.00")</f>
        <v>SAS vs OKC - Q2 02:44.00</v>
      </c>
      <c r="L898">
        <v>6</v>
      </c>
      <c r="M898">
        <v>-53</v>
      </c>
      <c r="N898">
        <v>16</v>
      </c>
      <c r="O898">
        <v>-53</v>
      </c>
      <c r="P898">
        <v>16</v>
      </c>
    </row>
    <row r="899" spans="1:16" x14ac:dyDescent="0.25">
      <c r="A899">
        <v>21900626</v>
      </c>
      <c r="B899">
        <v>2019</v>
      </c>
      <c r="C899" t="s">
        <v>32</v>
      </c>
      <c r="D899" t="s">
        <v>22</v>
      </c>
      <c r="E899">
        <v>54</v>
      </c>
      <c r="F899">
        <v>55</v>
      </c>
      <c r="G899">
        <v>2</v>
      </c>
      <c r="H899" s="1">
        <v>4.4675925925925924E-3</v>
      </c>
      <c r="I899" t="s">
        <v>23</v>
      </c>
      <c r="J899" s="2" t="str">
        <f>HYPERLINK("https://www.nba.com/stats/events?CFID=&amp;CFPARAMS=&amp;GameEventID=267&amp;GameID=0021900626&amp;Season=2019-20&amp;flag=1&amp;title=Leonard%209'%20jumpshot%20(17%20PTS)", "9' jumpshot (17 PTS)")</f>
        <v>9' jumpshot (17 PTS)</v>
      </c>
      <c r="K899" s="2" t="str">
        <f>HYPERLINK("https://www.nba.com/game/...-vs-...-0021900626/play-by-play?watchFullGame=true", "LAC vs NOP - Q2 06:26.00")</f>
        <v>LAC vs NOP - Q2 06:26.00</v>
      </c>
      <c r="L899">
        <v>9.3699999999999992</v>
      </c>
      <c r="M899">
        <v>13.22</v>
      </c>
      <c r="N899">
        <v>60.61</v>
      </c>
      <c r="O899">
        <v>-53</v>
      </c>
      <c r="P899">
        <v>72</v>
      </c>
    </row>
    <row r="900" spans="1:16" x14ac:dyDescent="0.25">
      <c r="A900">
        <v>22000605</v>
      </c>
      <c r="B900">
        <v>2020</v>
      </c>
      <c r="C900" t="s">
        <v>32</v>
      </c>
      <c r="D900" t="s">
        <v>19</v>
      </c>
      <c r="E900">
        <v>52</v>
      </c>
      <c r="F900">
        <v>61</v>
      </c>
      <c r="G900">
        <v>3</v>
      </c>
      <c r="H900" s="1">
        <v>6.9675925925925929E-3</v>
      </c>
      <c r="I900" t="s">
        <v>23</v>
      </c>
      <c r="J900" s="2" t="str">
        <f>HYPERLINK("https://www.nba.com/stats/events?CFID=&amp;CFPARAMS=&amp;GameEventID=280&amp;GameID=0022000605&amp;Season=2020-21&amp;flag=1&amp;title=Leonard%2010'%20driving%20floating%20Jump%20Shot%20(10%20PTS)%20(M.%20Morris%20Sr.%203%20AST)", "10' driving floating Jump Shot (10 PTS) (M. Morris Sr. 3 AST)")</f>
        <v>10' driving floating Jump Shot (10 PTS) (M. Morris Sr. 3 AST)</v>
      </c>
      <c r="K900" s="2" t="str">
        <f>HYPERLINK("https://www.nba.com/game/...-vs-...-0022000605/play-by-play?watchFullGame=true", "LAC vs DAL - Q3 10:02.00")</f>
        <v>LAC vs DAL - Q3 10:02.00</v>
      </c>
      <c r="L900">
        <v>10.050000000000001</v>
      </c>
      <c r="M900">
        <v>14.67</v>
      </c>
      <c r="N900">
        <v>60.61</v>
      </c>
      <c r="O900">
        <v>-53</v>
      </c>
      <c r="P900">
        <v>85</v>
      </c>
    </row>
    <row r="901" spans="1:16" x14ac:dyDescent="0.25">
      <c r="A901">
        <v>22300304</v>
      </c>
      <c r="B901">
        <v>2023</v>
      </c>
      <c r="C901" t="s">
        <v>32</v>
      </c>
      <c r="D901" t="s">
        <v>19</v>
      </c>
      <c r="E901">
        <v>40</v>
      </c>
      <c r="F901">
        <v>27</v>
      </c>
      <c r="G901">
        <v>1</v>
      </c>
      <c r="H901" s="1">
        <v>6.6435185185185184E-4</v>
      </c>
      <c r="I901" t="s">
        <v>23</v>
      </c>
      <c r="J901" s="2" t="str">
        <f>HYPERLINK("https://www.nba.com/stats/events?CFID=&amp;CFPARAMS=&amp;GameEventID=129&amp;GameID=0022300304&amp;Season=2023-24&amp;flag=1&amp;title=Leonard%2011'%20fadeaway%20Jump%20Shot%20(9%20PTS)%20(R.%20Westbrook%204%20AST)", "11' fadeaway Jump Shot (9 PTS) (R. Westbrook 4 AST)")</f>
        <v>11' fadeaway Jump Shot (9 PTS) (R. Westbrook 4 AST)</v>
      </c>
      <c r="K901" s="2" t="str">
        <f>HYPERLINK("https://www.nba.com/game/...-vs-...-0022300304/play-by-play?watchFullGame=true", "LAC vs POR - Q1 00:57.40")</f>
        <v>LAC vs POR - Q1 00:57.40</v>
      </c>
      <c r="L901">
        <v>11.65</v>
      </c>
      <c r="M901">
        <v>83.36</v>
      </c>
      <c r="N901">
        <v>39.46</v>
      </c>
      <c r="O901">
        <v>-53</v>
      </c>
      <c r="P901">
        <v>104</v>
      </c>
    </row>
    <row r="902" spans="1:16" x14ac:dyDescent="0.25">
      <c r="A902">
        <v>22200617</v>
      </c>
      <c r="B902">
        <v>2022</v>
      </c>
      <c r="C902" t="s">
        <v>32</v>
      </c>
      <c r="D902" t="s">
        <v>19</v>
      </c>
      <c r="E902">
        <v>10</v>
      </c>
      <c r="F902">
        <v>4</v>
      </c>
      <c r="G902">
        <v>1</v>
      </c>
      <c r="H902" s="1">
        <v>5.6597222222222222E-3</v>
      </c>
      <c r="I902" t="s">
        <v>23</v>
      </c>
      <c r="J902" s="2" t="str">
        <f>HYPERLINK("https://www.nba.com/stats/events?CFID=&amp;CFPARAMS=&amp;GameEventID=47&amp;GameID=0022200617&amp;Season=2022-23&amp;flag=1&amp;title=Leonard%2011'%20running%20pullup%20Jump%20Shot%20(2%20PTS)", "11' running pullup Jump Shot (2 PTS)")</f>
        <v>11' running pullup Jump Shot (2 PTS)</v>
      </c>
      <c r="K902" s="2" t="str">
        <f>HYPERLINK("https://www.nba.com/game/...-vs-...-0022200617/play-by-play?watchFullGame=true", "LAC vs DAL - Q1 08:09.00")</f>
        <v>LAC vs DAL - Q1 08:09.00</v>
      </c>
      <c r="L902">
        <v>11.76</v>
      </c>
      <c r="M902">
        <v>83.23</v>
      </c>
      <c r="N902">
        <v>39.46</v>
      </c>
      <c r="O902">
        <v>-53</v>
      </c>
      <c r="P902">
        <v>105</v>
      </c>
    </row>
    <row r="903" spans="1:16" x14ac:dyDescent="0.25">
      <c r="A903">
        <v>21601099</v>
      </c>
      <c r="B903">
        <v>2016</v>
      </c>
      <c r="C903" t="s">
        <v>32</v>
      </c>
      <c r="D903" t="s">
        <v>40</v>
      </c>
      <c r="E903">
        <v>64</v>
      </c>
      <c r="F903">
        <v>40</v>
      </c>
      <c r="G903">
        <v>2</v>
      </c>
      <c r="H903" s="1">
        <v>0</v>
      </c>
      <c r="I903" t="s">
        <v>18</v>
      </c>
      <c r="J903" s="2" t="str">
        <f>HYPERLINK("https://www.nba.com/stats/events?CFID=&amp;CFPARAMS=&amp;GameEventID=258&amp;GameID=0021601099&amp;Season=2016-17&amp;flag=1&amp;title=Leonard%2015'%20Hook%20Shot%20(15%20PTS)", "Leonard 15' Hook Shot (15 PTS)")</f>
        <v>Leonard 15' Hook Shot (15 PTS)</v>
      </c>
      <c r="K903" s="2" t="str">
        <f>HYPERLINK("https://www.nba.com/game/...-vs-...-0021601099/play-by-play?watchFullGame=true", "SAS vs CLE - Q2 00:00.00")</f>
        <v>SAS vs CLE - Q2 00:00.00</v>
      </c>
      <c r="L903">
        <v>15</v>
      </c>
      <c r="M903">
        <v>-53</v>
      </c>
      <c r="N903">
        <v>139</v>
      </c>
      <c r="O903">
        <v>-53</v>
      </c>
      <c r="P903">
        <v>139</v>
      </c>
    </row>
    <row r="904" spans="1:16" x14ac:dyDescent="0.25">
      <c r="A904">
        <v>22200617</v>
      </c>
      <c r="B904">
        <v>2022</v>
      </c>
      <c r="C904" t="s">
        <v>32</v>
      </c>
      <c r="D904" t="s">
        <v>19</v>
      </c>
      <c r="E904">
        <v>29</v>
      </c>
      <c r="F904">
        <v>18</v>
      </c>
      <c r="G904">
        <v>1</v>
      </c>
      <c r="H904" s="1">
        <v>1.1111111111111111E-3</v>
      </c>
      <c r="I904" t="s">
        <v>23</v>
      </c>
      <c r="J904" s="2" t="str">
        <f>HYPERLINK("https://www.nba.com/stats/events?CFID=&amp;CFPARAMS=&amp;GameEventID=110&amp;GameID=0022200617&amp;Season=2022-23&amp;flag=1&amp;title=Leonard%2018'%20step%20back%20Jump%20Shot%20(11%20PTS)", "18' step back Jump Shot (11 PTS)")</f>
        <v>18' step back Jump Shot (11 PTS)</v>
      </c>
      <c r="K904" s="2" t="str">
        <f>HYPERLINK("https://www.nba.com/game/...-vs-...-0022200617/play-by-play?watchFullGame=true", "LAC vs DAL - Q1 01:36.00")</f>
        <v>LAC vs DAL - Q1 01:36.00</v>
      </c>
      <c r="L904">
        <v>18.329999999999998</v>
      </c>
      <c r="M904">
        <v>75.739999999999995</v>
      </c>
      <c r="N904">
        <v>39.46</v>
      </c>
      <c r="O904">
        <v>-53</v>
      </c>
      <c r="P904">
        <v>176</v>
      </c>
    </row>
    <row r="905" spans="1:16" x14ac:dyDescent="0.25">
      <c r="A905">
        <v>22200438</v>
      </c>
      <c r="B905">
        <v>2022</v>
      </c>
      <c r="C905" t="s">
        <v>16</v>
      </c>
      <c r="D905" t="s">
        <v>19</v>
      </c>
      <c r="E905">
        <v>57</v>
      </c>
      <c r="F905">
        <v>59</v>
      </c>
      <c r="G905">
        <v>3</v>
      </c>
      <c r="H905" s="1">
        <v>6.6203703703703702E-3</v>
      </c>
      <c r="I905" t="s">
        <v>23</v>
      </c>
      <c r="J905" s="2" t="str">
        <f>HYPERLINK("https://www.nba.com/stats/events?CFID=&amp;CFPARAMS=&amp;GameEventID=336&amp;GameID=0022200438&amp;Season=2022-23&amp;flag=1&amp;title=Leonard%2025'%203PT%20%20(21%20PTS)%20(J.%20Wall%204%20AST)", "25' 3PT  (21 PTS) (J. Wall 4 AST)")</f>
        <v>25' 3PT  (21 PTS) (J. Wall 4 AST)</v>
      </c>
      <c r="K905" s="2" t="str">
        <f>HYPERLINK("https://www.nba.com/game/...-vs-...-0022200438/play-by-play?watchFullGame=true", "LAC vs WAS - Q3 09:32.00")</f>
        <v>LAC vs WAS - Q3 09:32.00</v>
      </c>
      <c r="L905">
        <v>25.39</v>
      </c>
      <c r="M905">
        <v>67.989999999999995</v>
      </c>
      <c r="N905">
        <v>39.46</v>
      </c>
      <c r="O905">
        <v>-53</v>
      </c>
      <c r="P905">
        <v>248</v>
      </c>
    </row>
    <row r="906" spans="1:16" x14ac:dyDescent="0.25">
      <c r="A906">
        <v>22000799</v>
      </c>
      <c r="B906">
        <v>2020</v>
      </c>
      <c r="C906" t="s">
        <v>32</v>
      </c>
      <c r="D906" t="s">
        <v>19</v>
      </c>
      <c r="E906">
        <v>47</v>
      </c>
      <c r="F906">
        <v>43</v>
      </c>
      <c r="G906">
        <v>2</v>
      </c>
      <c r="H906" s="1">
        <v>3.8888888888888888E-3</v>
      </c>
      <c r="I906" t="s">
        <v>23</v>
      </c>
      <c r="J906" s="2" t="str">
        <f>HYPERLINK("https://www.nba.com/stats/events?CFID=&amp;CFPARAMS=&amp;GameEventID=256&amp;GameID=0022000799&amp;Season=2020-21&amp;flag=1&amp;title=Leonard%207'%20fadeaway%20bank%20Jump%20Shot%20(9%20PTS)%20(R.%20Jackson%204%20AST)", "7' fadeaway bank Jump Shot (9 PTS) (R. Jackson 4 AST)")</f>
        <v>7' fadeaway bank Jump Shot (9 PTS) (R. Jackson 4 AST)</v>
      </c>
      <c r="K906" s="2" t="str">
        <f>HYPERLINK("https://www.nba.com/game/...-vs-...-0022000799/play-by-play?watchFullGame=true", "LAC vs HOU - Q2 05:36.00")</f>
        <v>LAC vs HOU - Q2 05:36.00</v>
      </c>
      <c r="L906">
        <v>7.19</v>
      </c>
      <c r="M906">
        <v>89.18</v>
      </c>
      <c r="N906">
        <v>39.53</v>
      </c>
      <c r="O906">
        <v>-52</v>
      </c>
      <c r="P906">
        <v>49</v>
      </c>
    </row>
    <row r="907" spans="1:16" x14ac:dyDescent="0.25">
      <c r="A907">
        <v>21500905</v>
      </c>
      <c r="B907">
        <v>2015</v>
      </c>
      <c r="C907" t="s">
        <v>32</v>
      </c>
      <c r="D907" t="s">
        <v>33</v>
      </c>
      <c r="E907">
        <v>93</v>
      </c>
      <c r="F907">
        <v>78</v>
      </c>
      <c r="G907">
        <v>4</v>
      </c>
      <c r="H907" s="1">
        <v>3.1250000000000002E-3</v>
      </c>
      <c r="I907" t="s">
        <v>18</v>
      </c>
      <c r="J907" s="2" t="str">
        <f>HYPERLINK("https://www.nba.com/stats/events?CFID=&amp;CFPARAMS=&amp;GameEventID=411&amp;GameID=0021500905&amp;Season=2015-16&amp;flag=1&amp;title=Leonard%208'%20Fadeaway%20Jumper%20(25%20PTS)%20(Aldridge%203%20AST)", "Leonard 8' Fadeaway Jumper (25 PTS) (Aldridge 3 AST)")</f>
        <v>Leonard 8' Fadeaway Jumper (25 PTS) (Aldridge 3 AST)</v>
      </c>
      <c r="K907" s="2" t="str">
        <f>HYPERLINK("https://www.nba.com/game/...-vs-...-0021500905/play-by-play?watchFullGame=true", "SAS vs DET - Q4 04:30.00")</f>
        <v>SAS vs DET - Q4 04:30.00</v>
      </c>
      <c r="L907">
        <v>8</v>
      </c>
      <c r="M907">
        <v>-52</v>
      </c>
      <c r="N907">
        <v>67</v>
      </c>
      <c r="O907">
        <v>-52</v>
      </c>
      <c r="P907">
        <v>67</v>
      </c>
    </row>
    <row r="908" spans="1:16" x14ac:dyDescent="0.25">
      <c r="A908">
        <v>21900653</v>
      </c>
      <c r="B908">
        <v>2019</v>
      </c>
      <c r="C908" t="s">
        <v>32</v>
      </c>
      <c r="D908" t="s">
        <v>22</v>
      </c>
      <c r="E908">
        <v>56</v>
      </c>
      <c r="F908">
        <v>67</v>
      </c>
      <c r="G908">
        <v>3</v>
      </c>
      <c r="H908" s="1">
        <v>6.3541666666666668E-3</v>
      </c>
      <c r="I908" t="s">
        <v>23</v>
      </c>
      <c r="J908" s="2" t="str">
        <f>HYPERLINK("https://www.nba.com/stats/events?CFID=&amp;CFPARAMS=&amp;GameEventID=419&amp;GameID=0021900653&amp;Season=2019-20&amp;flag=1&amp;title=Leonard%2013'%20jumpshot%20(21%20PTS)", "13' jumpshot (21 PTS)")</f>
        <v>13' jumpshot (21 PTS)</v>
      </c>
      <c r="K908" s="2" t="str">
        <f>HYPERLINK("https://www.nba.com/game/...-vs-...-0021900653/play-by-play?watchFullGame=true", "LAC vs DAL - Q3 09:09.00")</f>
        <v>LAC vs DAL - Q3 09:09.00</v>
      </c>
      <c r="L908">
        <v>13.11</v>
      </c>
      <c r="M908">
        <v>82.21</v>
      </c>
      <c r="N908">
        <v>39.53</v>
      </c>
      <c r="O908">
        <v>-52</v>
      </c>
      <c r="P908">
        <v>115</v>
      </c>
    </row>
    <row r="909" spans="1:16" x14ac:dyDescent="0.25">
      <c r="A909">
        <v>21500431</v>
      </c>
      <c r="B909">
        <v>2015</v>
      </c>
      <c r="C909" t="s">
        <v>32</v>
      </c>
      <c r="D909" t="s">
        <v>17</v>
      </c>
      <c r="E909">
        <v>2</v>
      </c>
      <c r="F909">
        <v>6</v>
      </c>
      <c r="G909">
        <v>1</v>
      </c>
      <c r="H909" s="1">
        <v>6.7824074074074071E-3</v>
      </c>
      <c r="I909" t="s">
        <v>18</v>
      </c>
      <c r="J909" s="2" t="str">
        <f>HYPERLINK("https://www.nba.com/stats/events?CFID=&amp;CFPARAMS=&amp;GameEventID=14&amp;GameID=0021500431&amp;Season=2015-16&amp;flag=1&amp;title=Leonard%2013'%20Running%20Jump%20Shot%20(2%20PTS)", "Leonard 13' Running Jump Shot (2 PTS)")</f>
        <v>Leonard 13' Running Jump Shot (2 PTS)</v>
      </c>
      <c r="K909" s="2" t="str">
        <f>HYPERLINK("https://www.nba.com/game/...-vs-...-0021500431/play-by-play?watchFullGame=true", "SAS vs MIN - Q1 09:46.00")</f>
        <v>SAS vs MIN - Q1 09:46.00</v>
      </c>
      <c r="L909">
        <v>13</v>
      </c>
      <c r="M909">
        <v>-52</v>
      </c>
      <c r="N909">
        <v>124</v>
      </c>
      <c r="O909">
        <v>-52</v>
      </c>
      <c r="P909">
        <v>124</v>
      </c>
    </row>
    <row r="910" spans="1:16" x14ac:dyDescent="0.25">
      <c r="A910">
        <v>21900516</v>
      </c>
      <c r="B910">
        <v>2019</v>
      </c>
      <c r="C910" t="s">
        <v>32</v>
      </c>
      <c r="D910" t="s">
        <v>22</v>
      </c>
      <c r="E910">
        <v>64</v>
      </c>
      <c r="F910">
        <v>58</v>
      </c>
      <c r="G910">
        <v>2</v>
      </c>
      <c r="H910" s="1">
        <v>1.2152777777777778E-3</v>
      </c>
      <c r="I910" t="s">
        <v>23</v>
      </c>
      <c r="J910" s="2" t="str">
        <f>HYPERLINK("https://www.nba.com/stats/events?CFID=&amp;CFPARAMS=&amp;GameEventID=333&amp;GameID=0021900516&amp;Season=2019-20&amp;flag=1&amp;title=Leonard%2018'%20jumpshot%20(12%20PTS)", "18' jumpshot (12 PTS)")</f>
        <v>18' jumpshot (12 PTS)</v>
      </c>
      <c r="K910" s="2" t="str">
        <f>HYPERLINK("https://www.nba.com/game/...-vs-...-0021900516/play-by-play?watchFullGame=true", "LAC vs DET - Q2 01:45.00")</f>
        <v>LAC vs DET - Q2 01:45.00</v>
      </c>
      <c r="L910">
        <v>18.12</v>
      </c>
      <c r="M910">
        <v>76.53</v>
      </c>
      <c r="N910">
        <v>39.64</v>
      </c>
      <c r="O910">
        <v>-52</v>
      </c>
      <c r="P910">
        <v>168</v>
      </c>
    </row>
    <row r="911" spans="1:16" x14ac:dyDescent="0.25">
      <c r="A911">
        <v>22000799</v>
      </c>
      <c r="B911">
        <v>2020</v>
      </c>
      <c r="C911" t="s">
        <v>16</v>
      </c>
      <c r="D911" t="s">
        <v>19</v>
      </c>
      <c r="E911">
        <v>120</v>
      </c>
      <c r="F911">
        <v>101</v>
      </c>
      <c r="G911">
        <v>4</v>
      </c>
      <c r="H911" s="1">
        <v>2.488425925925926E-3</v>
      </c>
      <c r="I911" t="s">
        <v>23</v>
      </c>
      <c r="J911" s="2" t="str">
        <f>HYPERLINK("https://www.nba.com/stats/events?CFID=&amp;CFPARAMS=&amp;GameEventID=607&amp;GameID=0022000799&amp;Season=2020-21&amp;flag=1&amp;title=Leonard%2025'%203PT%20running%20pullup%20(31%20PTS)", "25' 3PT running pullup (31 PTS)")</f>
        <v>25' 3PT running pullup (31 PTS)</v>
      </c>
      <c r="K911" s="2" t="str">
        <f>HYPERLINK("https://www.nba.com/game/...-vs-...-0022000799/play-by-play?watchFullGame=true", "LAC vs HOU - Q4 03:35.00")</f>
        <v>LAC vs HOU - Q4 03:35.00</v>
      </c>
      <c r="L911">
        <v>25.98</v>
      </c>
      <c r="M911">
        <v>32.67</v>
      </c>
      <c r="N911">
        <v>60.36</v>
      </c>
      <c r="O911">
        <v>-52</v>
      </c>
      <c r="P911">
        <v>255</v>
      </c>
    </row>
    <row r="912" spans="1:16" x14ac:dyDescent="0.25">
      <c r="A912">
        <v>22200538</v>
      </c>
      <c r="B912">
        <v>2022</v>
      </c>
      <c r="C912" t="s">
        <v>32</v>
      </c>
      <c r="D912" t="s">
        <v>19</v>
      </c>
      <c r="E912">
        <v>71</v>
      </c>
      <c r="F912">
        <v>62</v>
      </c>
      <c r="G912">
        <v>3</v>
      </c>
      <c r="H912" s="1">
        <v>6.6319444444444446E-3</v>
      </c>
      <c r="I912" t="s">
        <v>23</v>
      </c>
      <c r="J912" s="2" t="str">
        <f>HYPERLINK("https://www.nba.com/stats/events?CFID=&amp;CFPARAMS=&amp;GameEventID=319&amp;GameID=0022200538&amp;Season=2022-23&amp;flag=1&amp;title=Leonard%208'%20turnaround%20fadeaway%20Jump%20Shot%20(9%20PTS)", "8' turnaround fadeaway Jump Shot (9 PTS)")</f>
        <v>8' turnaround fadeaway Jump Shot (9 PTS)</v>
      </c>
      <c r="K912" s="2" t="str">
        <f>HYPERLINK("https://www.nba.com/game/...-vs-...-0022200538/play-by-play?watchFullGame=true", "LAC vs IND - Q3 09:33.00")</f>
        <v>LAC vs IND - Q3 09:33.00</v>
      </c>
      <c r="L912">
        <v>8.14</v>
      </c>
      <c r="M912">
        <v>12.3</v>
      </c>
      <c r="N912">
        <v>60.29</v>
      </c>
      <c r="O912">
        <v>-51</v>
      </c>
      <c r="P912">
        <v>63</v>
      </c>
    </row>
    <row r="913" spans="1:16" x14ac:dyDescent="0.25">
      <c r="A913">
        <v>22200829</v>
      </c>
      <c r="B913">
        <v>2022</v>
      </c>
      <c r="C913" t="s">
        <v>32</v>
      </c>
      <c r="D913" t="s">
        <v>19</v>
      </c>
      <c r="E913">
        <v>67</v>
      </c>
      <c r="F913">
        <v>72</v>
      </c>
      <c r="G913">
        <v>3</v>
      </c>
      <c r="H913" s="1">
        <v>4.0277777777777777E-3</v>
      </c>
      <c r="I913" t="s">
        <v>23</v>
      </c>
      <c r="J913" s="2" t="str">
        <f>HYPERLINK("https://www.nba.com/stats/events?CFID=&amp;CFPARAMS=&amp;GameEventID=383&amp;GameID=0022200829&amp;Season=2022-23&amp;flag=1&amp;title=Leonard%2016'%20fadeaway%20Jump%20Shot%20(6%20PTS)%20(M.%20Morris%20Sr.%204%20AST)", "16' fadeaway Jump Shot (6 PTS) (M. Morris Sr. 4 AST)")</f>
        <v>16' fadeaway Jump Shot (6 PTS) (M. Morris Sr. 4 AST)</v>
      </c>
      <c r="K913" s="2" t="str">
        <f>HYPERLINK("https://www.nba.com/game/...-vs-...-0022200829/play-by-play?watchFullGame=true", "LAC vs DAL - Q3 05:48.00")</f>
        <v>LAC vs DAL - Q3 05:48.00</v>
      </c>
      <c r="L913">
        <v>16.14</v>
      </c>
      <c r="M913">
        <v>21.86</v>
      </c>
      <c r="N913">
        <v>60.29</v>
      </c>
      <c r="O913">
        <v>-51</v>
      </c>
      <c r="P913">
        <v>153</v>
      </c>
    </row>
    <row r="914" spans="1:16" x14ac:dyDescent="0.25">
      <c r="A914">
        <v>21901232</v>
      </c>
      <c r="B914">
        <v>2019</v>
      </c>
      <c r="C914" t="s">
        <v>16</v>
      </c>
      <c r="D914" t="s">
        <v>22</v>
      </c>
      <c r="E914">
        <v>96</v>
      </c>
      <c r="F914">
        <v>90</v>
      </c>
      <c r="G914">
        <v>4</v>
      </c>
      <c r="H914" s="1">
        <v>2.8472222222222223E-3</v>
      </c>
      <c r="I914" t="s">
        <v>23</v>
      </c>
      <c r="J914" s="2" t="str">
        <f>HYPERLINK("https://www.nba.com/stats/events?CFID=&amp;CFPARAMS=&amp;GameEventID=659&amp;GameID=0021901232&amp;Season=2019-20&amp;flag=1&amp;title=Leonard%2026'%203PT%20%20(25%20PTS)", "26' 3PT  (25 PTS)")</f>
        <v>26' 3PT  (25 PTS)</v>
      </c>
      <c r="K914" s="2" t="str">
        <f>HYPERLINK("https://www.nba.com/game/...-vs-...-0021901232/play-by-play?watchFullGame=true", "LAC vs LAL - Q4 04:06.00")</f>
        <v>LAC vs LAL - Q4 04:06.00</v>
      </c>
      <c r="L914">
        <v>26.36</v>
      </c>
      <c r="M914">
        <v>67.489999999999995</v>
      </c>
      <c r="N914">
        <v>39.770000000000003</v>
      </c>
      <c r="O914">
        <v>-51</v>
      </c>
      <c r="P914">
        <v>253</v>
      </c>
    </row>
    <row r="915" spans="1:16" x14ac:dyDescent="0.25">
      <c r="A915">
        <v>22000172</v>
      </c>
      <c r="B915">
        <v>2020</v>
      </c>
      <c r="C915" t="s">
        <v>16</v>
      </c>
      <c r="D915" t="s">
        <v>19</v>
      </c>
      <c r="E915">
        <v>97</v>
      </c>
      <c r="F915">
        <v>87</v>
      </c>
      <c r="G915">
        <v>4</v>
      </c>
      <c r="H915" s="1">
        <v>3.6574074074074074E-3</v>
      </c>
      <c r="I915" t="s">
        <v>23</v>
      </c>
      <c r="J915" s="2" t="str">
        <f>HYPERLINK("https://www.nba.com/stats/events?CFID=&amp;CFPARAMS=&amp;GameEventID=510&amp;GameID=0022000172&amp;Season=2020-21&amp;flag=1&amp;title=Leonard%2026'%203PT%20%20(23%20PTS)%20(P.%20George%205%20AST)", "26' 3PT  (23 PTS) (P. George 5 AST)")</f>
        <v>26' 3PT  (23 PTS) (P. George 5 AST)</v>
      </c>
      <c r="K915" s="2" t="str">
        <f>HYPERLINK("https://www.nba.com/game/...-vs-...-0022000172/play-by-play?watchFullGame=true", "LAC vs NOP - Q4 05:16.00")</f>
        <v>LAC vs NOP - Q4 05:16.00</v>
      </c>
      <c r="L915">
        <v>26.68</v>
      </c>
      <c r="M915">
        <v>66.540000000000006</v>
      </c>
      <c r="N915">
        <v>39.880000000000003</v>
      </c>
      <c r="O915">
        <v>-51</v>
      </c>
      <c r="P915">
        <v>262</v>
      </c>
    </row>
    <row r="916" spans="1:16" x14ac:dyDescent="0.25">
      <c r="A916">
        <v>21600925</v>
      </c>
      <c r="B916">
        <v>2016</v>
      </c>
      <c r="C916" t="s">
        <v>32</v>
      </c>
      <c r="D916" t="s">
        <v>24</v>
      </c>
      <c r="E916">
        <v>92</v>
      </c>
      <c r="F916">
        <v>90</v>
      </c>
      <c r="G916">
        <v>5</v>
      </c>
      <c r="H916" s="1">
        <v>1.8171296296296297E-3</v>
      </c>
      <c r="I916" t="s">
        <v>18</v>
      </c>
      <c r="J916" s="2" t="str">
        <f>HYPERLINK("https://www.nba.com/stats/events?CFID=&amp;CFPARAMS=&amp;GameEventID=539&amp;GameID=0021600925&amp;Season=2016-17&amp;flag=1&amp;title=Leonard%207'%20Turnaround%20Jump%20Shot%20(32%20PTS)%20(Gasol%203%20AST)", "Leonard 7' Turnaround Jump Shot (32 PTS) (Gasol 3 AST)")</f>
        <v>Leonard 7' Turnaround Jump Shot (32 PTS) (Gasol 3 AST)</v>
      </c>
      <c r="K916" s="2" t="str">
        <f>HYPERLINK("https://www.nba.com/game/...-vs-...-0021600925/play-by-play?watchFullGame=true", "SAS vs MIN - Q5 02:37.00")</f>
        <v>SAS vs MIN - Q5 02:37.00</v>
      </c>
      <c r="L916">
        <v>7</v>
      </c>
      <c r="M916">
        <v>-50</v>
      </c>
      <c r="N916">
        <v>52</v>
      </c>
      <c r="O916">
        <v>-50</v>
      </c>
      <c r="P916">
        <v>52</v>
      </c>
    </row>
    <row r="917" spans="1:16" x14ac:dyDescent="0.25">
      <c r="A917">
        <v>41800212</v>
      </c>
      <c r="B917" t="s">
        <v>20</v>
      </c>
      <c r="C917" t="s">
        <v>32</v>
      </c>
      <c r="D917" t="s">
        <v>35</v>
      </c>
      <c r="E917">
        <v>63</v>
      </c>
      <c r="F917">
        <v>66</v>
      </c>
      <c r="G917">
        <v>3</v>
      </c>
      <c r="H917" s="1">
        <v>7.0601851851851847E-4</v>
      </c>
      <c r="I917" t="s">
        <v>21</v>
      </c>
      <c r="J917" s="2" t="str">
        <f>HYPERLINK("https://www.nba.com/stats/events?CFID=&amp;CFPARAMS=&amp;GameEventID=472&amp;GameID=0041800212&amp;Season=2018-19&amp;flag=1&amp;title=Leonard%2011'%20Driving%20Floating%20Jump%20Shot%20(26%20PTS)", "Leonard 11' Driving Floating Jump Shot (26 PTS)")</f>
        <v>Leonard 11' Driving Floating Jump Shot (26 PTS)</v>
      </c>
      <c r="K917" s="2" t="str">
        <f>HYPERLINK("https://www.nba.com/game/...-vs-...-0041800212/play-by-play?watchFullGame=true", "TOR vs PHI - Q3 01:01.00")</f>
        <v>TOR vs PHI - Q3 01:01.00</v>
      </c>
      <c r="L917">
        <v>11</v>
      </c>
      <c r="M917">
        <v>-50</v>
      </c>
      <c r="N917">
        <v>96</v>
      </c>
      <c r="O917">
        <v>-50</v>
      </c>
      <c r="P917">
        <v>96</v>
      </c>
    </row>
    <row r="918" spans="1:16" x14ac:dyDescent="0.25">
      <c r="A918">
        <v>22000756</v>
      </c>
      <c r="B918">
        <v>2020</v>
      </c>
      <c r="C918" t="s">
        <v>16</v>
      </c>
      <c r="D918" t="s">
        <v>19</v>
      </c>
      <c r="E918">
        <v>13</v>
      </c>
      <c r="F918">
        <v>2</v>
      </c>
      <c r="G918">
        <v>1</v>
      </c>
      <c r="H918" s="1">
        <v>6.1574074074074074E-3</v>
      </c>
      <c r="I918" t="s">
        <v>23</v>
      </c>
      <c r="J918" s="2" t="str">
        <f>HYPERLINK("https://www.nba.com/stats/events?CFID=&amp;CFPARAMS=&amp;GameEventID=30&amp;GameID=0022000756&amp;Season=2020-21&amp;flag=1&amp;title=Leonard%2026'%203PT%20%20(3%20PTS)%20(P.%20George%202%20AST)", "26' 3PT  (3 PTS) (P. George 2 AST)")</f>
        <v>26' 3PT  (3 PTS) (P. George 2 AST)</v>
      </c>
      <c r="K918" s="2" t="str">
        <f>HYPERLINK("https://www.nba.com/game/...-vs-...-0022000756/play-by-play?watchFullGame=true", "LAC vs LAL - Q1 08:52.00")</f>
        <v>LAC vs LAL - Q1 08:52.00</v>
      </c>
      <c r="L918">
        <v>26.28</v>
      </c>
      <c r="M918">
        <v>66.97</v>
      </c>
      <c r="N918">
        <v>40.020000000000003</v>
      </c>
      <c r="O918">
        <v>-50</v>
      </c>
      <c r="P918">
        <v>258</v>
      </c>
    </row>
    <row r="919" spans="1:16" x14ac:dyDescent="0.25">
      <c r="A919">
        <v>22400983</v>
      </c>
      <c r="B919">
        <v>2024</v>
      </c>
      <c r="C919" t="s">
        <v>16</v>
      </c>
      <c r="D919" t="s">
        <v>19</v>
      </c>
      <c r="E919">
        <v>49</v>
      </c>
      <c r="F919">
        <v>24</v>
      </c>
      <c r="G919">
        <v>2</v>
      </c>
      <c r="H919" s="1">
        <v>5.0115740740740737E-3</v>
      </c>
      <c r="I919" t="s">
        <v>23</v>
      </c>
      <c r="J919" s="2" t="str">
        <f>HYPERLINK("https://www.nba.com/stats/events?CFID=&amp;CFPARAMS=&amp;GameEventID=226&amp;GameID=0022400983&amp;Season=2024-25&amp;flag=1&amp;title=Leonard%2026'%203PT%20pullup%20(7%20PTS)", "26' 3PT pullup (7 PTS)")</f>
        <v>26' 3PT pullup (7 PTS)</v>
      </c>
      <c r="K919" s="2" t="str">
        <f>HYPERLINK("https://www.nba.com/game/...-vs-...-0022400983/play-by-play?watchFullGame=true", "LAC vs WAS - Q2 07:13.00")</f>
        <v>LAC vs WAS - Q2 07:13.00</v>
      </c>
      <c r="L919">
        <v>26.53</v>
      </c>
      <c r="M919">
        <v>66.7</v>
      </c>
      <c r="N919">
        <v>39.950000000000003</v>
      </c>
      <c r="O919">
        <v>-50</v>
      </c>
      <c r="P919">
        <v>260</v>
      </c>
    </row>
    <row r="920" spans="1:16" x14ac:dyDescent="0.25">
      <c r="A920">
        <v>21300363</v>
      </c>
      <c r="B920">
        <v>2013</v>
      </c>
      <c r="C920" t="s">
        <v>32</v>
      </c>
      <c r="D920" t="s">
        <v>19</v>
      </c>
      <c r="E920">
        <v>53</v>
      </c>
      <c r="F920">
        <v>47</v>
      </c>
      <c r="G920">
        <v>2</v>
      </c>
      <c r="H920" s="1">
        <v>3.7962962962962961E-4</v>
      </c>
      <c r="I920" t="s">
        <v>18</v>
      </c>
      <c r="J920" s="2" t="str">
        <f>HYPERLINK("https://www.nba.com/stats/events?CFID=&amp;CFPARAMS=&amp;GameEventID=248&amp;GameID=0021300363&amp;Season=2013-14&amp;flag=1&amp;title=Leonard%208'%20Jump%20Shot%20(4%20PTS)", "Leonard 8' Jump Shot (4 PTS)")</f>
        <v>Leonard 8' Jump Shot (4 PTS)</v>
      </c>
      <c r="K920" s="2" t="str">
        <f>HYPERLINK("https://www.nba.com/game/...-vs-...-0021300363/play-by-play?watchFullGame=true", "SAS vs LAC - Q2 00:32.80")</f>
        <v>SAS vs LAC - Q2 00:32.80</v>
      </c>
      <c r="L920">
        <v>8</v>
      </c>
      <c r="M920">
        <v>-49</v>
      </c>
      <c r="N920">
        <v>61</v>
      </c>
      <c r="O920">
        <v>-49</v>
      </c>
      <c r="P920">
        <v>61</v>
      </c>
    </row>
    <row r="921" spans="1:16" x14ac:dyDescent="0.25">
      <c r="A921">
        <v>22300537</v>
      </c>
      <c r="B921">
        <v>2023</v>
      </c>
      <c r="C921" t="s">
        <v>32</v>
      </c>
      <c r="D921" t="s">
        <v>19</v>
      </c>
      <c r="E921">
        <v>65</v>
      </c>
      <c r="F921">
        <v>84</v>
      </c>
      <c r="G921">
        <v>3</v>
      </c>
      <c r="H921" s="1">
        <v>3.7615740740740739E-3</v>
      </c>
      <c r="I921" t="s">
        <v>23</v>
      </c>
      <c r="J921" s="2" t="str">
        <f>HYPERLINK("https://www.nba.com/stats/events?CFID=&amp;CFPARAMS=&amp;GameEventID=389&amp;GameID=0022300537&amp;Season=2023-24&amp;flag=1&amp;title=Leonard%2013'%20pullup%20Jump%20Shot%20(17%20PTS)", "13' pullup Jump Shot (17 PTS)")</f>
        <v>13' pullup Jump Shot (17 PTS)</v>
      </c>
      <c r="K921" s="2" t="str">
        <f>HYPERLINK("https://www.nba.com/game/...-vs-...-0022300537/play-by-play?watchFullGame=true", "LAC vs MEM - Q3 05:25.00")</f>
        <v>LAC vs MEM - Q3 05:25.00</v>
      </c>
      <c r="L921">
        <v>13.16</v>
      </c>
      <c r="M921">
        <v>81.42</v>
      </c>
      <c r="N921">
        <v>40.200000000000003</v>
      </c>
      <c r="O921">
        <v>-49</v>
      </c>
      <c r="P921">
        <v>122</v>
      </c>
    </row>
    <row r="922" spans="1:16" x14ac:dyDescent="0.25">
      <c r="A922">
        <v>21900002</v>
      </c>
      <c r="B922">
        <v>2019</v>
      </c>
      <c r="C922" t="s">
        <v>32</v>
      </c>
      <c r="D922" t="s">
        <v>19</v>
      </c>
      <c r="E922">
        <v>24</v>
      </c>
      <c r="F922">
        <v>25</v>
      </c>
      <c r="G922">
        <v>2</v>
      </c>
      <c r="H922" s="1">
        <v>7.9282407407407409E-3</v>
      </c>
      <c r="I922" t="s">
        <v>23</v>
      </c>
      <c r="J922" s="2" t="str">
        <f>HYPERLINK("https://www.nba.com/stats/events?CFID=&amp;CFPARAMS=&amp;GameEventID=182&amp;GameID=0021900002&amp;Season=2019-20&amp;flag=1&amp;title=Leonard%2016'%20pullup%20Jump%20Shot%20(6%20PTS)", "16' pullup Jump Shot (6 PTS)")</f>
        <v>16' pullup Jump Shot (6 PTS)</v>
      </c>
      <c r="K922" s="2" t="str">
        <f>HYPERLINK("https://www.nba.com/game/...-vs-...-0021900002/play-by-play?watchFullGame=true", "LAC vs LAL - Q2 11:25.00")</f>
        <v>LAC vs LAL - Q2 11:25.00</v>
      </c>
      <c r="L922">
        <v>16.28</v>
      </c>
      <c r="M922">
        <v>78.5</v>
      </c>
      <c r="N922">
        <v>40.130000000000003</v>
      </c>
      <c r="O922">
        <v>-49</v>
      </c>
      <c r="P922">
        <v>150</v>
      </c>
    </row>
    <row r="923" spans="1:16" x14ac:dyDescent="0.25">
      <c r="A923">
        <v>21500182</v>
      </c>
      <c r="B923">
        <v>2015</v>
      </c>
      <c r="C923" t="s">
        <v>32</v>
      </c>
      <c r="D923" t="s">
        <v>40</v>
      </c>
      <c r="E923">
        <v>0</v>
      </c>
      <c r="F923">
        <v>8</v>
      </c>
      <c r="G923">
        <v>1</v>
      </c>
      <c r="H923" s="1">
        <v>6.2037037037037035E-3</v>
      </c>
      <c r="I923" t="s">
        <v>18</v>
      </c>
      <c r="J923" s="2" t="str">
        <f>HYPERLINK("https://www.nba.com/stats/events?CFID=&amp;CFPARAMS=&amp;GameEventID=31&amp;GameID=0021500182&amp;Season=2015-16&amp;flag=1&amp;title=Leonard%206'%20Hook%20Shot%20(2%20PTS)", "Leonard 6' Hook Shot (2 PTS)")</f>
        <v>Leonard 6' Hook Shot (2 PTS)</v>
      </c>
      <c r="K923" s="2" t="str">
        <f>HYPERLINK("https://www.nba.com/game/...-vs-...-0021500182/play-by-play?watchFullGame=true", "SAS vs NOP - Q1 08:56.00")</f>
        <v>SAS vs NOP - Q1 08:56.00</v>
      </c>
      <c r="L923">
        <v>6</v>
      </c>
      <c r="M923">
        <v>-48</v>
      </c>
      <c r="N923">
        <v>28</v>
      </c>
      <c r="O923">
        <v>-48</v>
      </c>
      <c r="P923">
        <v>28</v>
      </c>
    </row>
    <row r="924" spans="1:16" x14ac:dyDescent="0.25">
      <c r="A924">
        <v>22000188</v>
      </c>
      <c r="B924">
        <v>2020</v>
      </c>
      <c r="C924" t="s">
        <v>32</v>
      </c>
      <c r="D924" t="s">
        <v>19</v>
      </c>
      <c r="E924">
        <v>67</v>
      </c>
      <c r="F924">
        <v>80</v>
      </c>
      <c r="G924">
        <v>3</v>
      </c>
      <c r="H924" s="1">
        <v>5.9027777777777776E-3</v>
      </c>
      <c r="I924" t="s">
        <v>23</v>
      </c>
      <c r="J924" s="2" t="str">
        <f>HYPERLINK("https://www.nba.com/stats/events?CFID=&amp;CFPARAMS=&amp;GameEventID=361&amp;GameID=0022000188&amp;Season=2020-21&amp;flag=1&amp;title=Leonard%2011'%20fadeaway%20Jump%20Shot%20(20%20PTS)", "11' fadeaway Jump Shot (20 PTS)")</f>
        <v>11' fadeaway Jump Shot (20 PTS)</v>
      </c>
      <c r="K924" s="2" t="str">
        <f>HYPERLINK("https://www.nba.com/game/...-vs-...-0022000188/play-by-play?watchFullGame=true", "LAC vs SAC - Q3 08:30.00")</f>
        <v>LAC vs SAC - Q3 08:30.00</v>
      </c>
      <c r="L924">
        <v>11.22</v>
      </c>
      <c r="M924">
        <v>16.38</v>
      </c>
      <c r="N924">
        <v>59.63</v>
      </c>
      <c r="O924">
        <v>-48</v>
      </c>
      <c r="P924">
        <v>101</v>
      </c>
    </row>
    <row r="925" spans="1:16" x14ac:dyDescent="0.25">
      <c r="A925">
        <v>21300094</v>
      </c>
      <c r="B925">
        <v>2013</v>
      </c>
      <c r="C925" t="s">
        <v>32</v>
      </c>
      <c r="D925" t="s">
        <v>33</v>
      </c>
      <c r="E925">
        <v>60</v>
      </c>
      <c r="F925">
        <v>92</v>
      </c>
      <c r="G925">
        <v>4</v>
      </c>
      <c r="H925" s="1">
        <v>8.0902777777777778E-3</v>
      </c>
      <c r="I925" t="s">
        <v>18</v>
      </c>
      <c r="J925" s="2" t="str">
        <f>HYPERLINK("https://www.nba.com/stats/events?CFID=&amp;CFPARAMS=&amp;GameEventID=399&amp;GameID=0021300094&amp;Season=2013-14&amp;flag=1&amp;title=Leonard%2012'%20Fadeaway%20Jumper%20(16%20PTS)", "Leonard 12' Fadeaway Jumper (16 PTS)")</f>
        <v>Leonard 12' Fadeaway Jumper (16 PTS)</v>
      </c>
      <c r="K925" s="2" t="str">
        <f>HYPERLINK("https://www.nba.com/game/...-vs-...-0021300094/play-by-play?watchFullGame=true", "SAS vs NYK - Q4 11:39.00")</f>
        <v>SAS vs NYK - Q4 11:39.00</v>
      </c>
      <c r="L925">
        <v>12</v>
      </c>
      <c r="M925">
        <v>-48</v>
      </c>
      <c r="N925">
        <v>110</v>
      </c>
      <c r="O925">
        <v>-48</v>
      </c>
      <c r="P925">
        <v>110</v>
      </c>
    </row>
    <row r="926" spans="1:16" x14ac:dyDescent="0.25">
      <c r="A926">
        <v>22200649</v>
      </c>
      <c r="B926">
        <v>2022</v>
      </c>
      <c r="C926" t="s">
        <v>32</v>
      </c>
      <c r="D926" t="s">
        <v>19</v>
      </c>
      <c r="E926">
        <v>91</v>
      </c>
      <c r="F926">
        <v>88</v>
      </c>
      <c r="G926">
        <v>3</v>
      </c>
      <c r="H926" s="1">
        <v>1.875E-4</v>
      </c>
      <c r="I926" t="s">
        <v>23</v>
      </c>
      <c r="J926" s="2" t="str">
        <f>HYPERLINK("https://www.nba.com/stats/events?CFID=&amp;CFPARAMS=&amp;GameEventID=474&amp;GameID=0022200649&amp;Season=2022-23&amp;flag=1&amp;title=Leonard%2012'%20fadeaway%20Jump%20Shot%20(28%20PTS)", "12' fadeaway Jump Shot (28 PTS)")</f>
        <v>12' fadeaway Jump Shot (28 PTS)</v>
      </c>
      <c r="K926" s="2" t="str">
        <f>HYPERLINK("https://www.nba.com/game/...-vs-...-0022200649/play-by-play?watchFullGame=true", "LAC vs HOU - Q3 00:16.20")</f>
        <v>LAC vs HOU - Q3 00:16.20</v>
      </c>
      <c r="L926">
        <v>12.55</v>
      </c>
      <c r="M926">
        <v>17.920000000000002</v>
      </c>
      <c r="N926">
        <v>59.56</v>
      </c>
      <c r="O926">
        <v>-48</v>
      </c>
      <c r="P926">
        <v>116</v>
      </c>
    </row>
    <row r="927" spans="1:16" x14ac:dyDescent="0.25">
      <c r="A927">
        <v>21900157</v>
      </c>
      <c r="B927">
        <v>2019</v>
      </c>
      <c r="C927" t="s">
        <v>32</v>
      </c>
      <c r="D927" t="s">
        <v>22</v>
      </c>
      <c r="E927">
        <v>38</v>
      </c>
      <c r="F927">
        <v>33</v>
      </c>
      <c r="G927">
        <v>2</v>
      </c>
      <c r="H927" s="1">
        <v>2.488425925925926E-3</v>
      </c>
      <c r="I927" t="s">
        <v>23</v>
      </c>
      <c r="J927" s="2" t="str">
        <f>HYPERLINK("https://www.nba.com/stats/events?CFID=&amp;CFPARAMS=&amp;GameEventID=300&amp;GameID=0021900157&amp;Season=2019-20&amp;flag=1&amp;title=Leonard%2014'%20jumpshot%20(14%20PTS)", "14' jumpshot (14 PTS)")</f>
        <v>14' jumpshot (14 PTS)</v>
      </c>
      <c r="K927" s="2" t="str">
        <f>HYPERLINK("https://www.nba.com/game/...-vs-...-0021900157/play-by-play?watchFullGame=true", "LAC vs HOU - Q2 03:35.00")</f>
        <v>LAC vs HOU - Q2 03:35.00</v>
      </c>
      <c r="L927">
        <v>13.79</v>
      </c>
      <c r="M927">
        <v>81.260000000000005</v>
      </c>
      <c r="N927">
        <v>40.369999999999997</v>
      </c>
      <c r="O927">
        <v>-48</v>
      </c>
      <c r="P927">
        <v>124</v>
      </c>
    </row>
    <row r="928" spans="1:16" x14ac:dyDescent="0.25">
      <c r="A928">
        <v>21600817</v>
      </c>
      <c r="B928">
        <v>2016</v>
      </c>
      <c r="C928" t="s">
        <v>32</v>
      </c>
      <c r="D928" t="s">
        <v>35</v>
      </c>
      <c r="E928">
        <v>26</v>
      </c>
      <c r="F928">
        <v>32</v>
      </c>
      <c r="G928">
        <v>2</v>
      </c>
      <c r="H928" s="1">
        <v>5.2199074074074075E-3</v>
      </c>
      <c r="I928" t="s">
        <v>18</v>
      </c>
      <c r="J928" s="2" t="str">
        <f>HYPERLINK("https://www.nba.com/stats/events?CFID=&amp;CFPARAMS=&amp;GameEventID=153&amp;GameID=0021600817&amp;Season=2016-17&amp;flag=1&amp;title=Leonard%205'%20Driving%20Floating%20Jump%20Shot%20(6%20PTS)", "Leonard 5' Driving Floating Jump Shot (6 PTS)")</f>
        <v>Leonard 5' Driving Floating Jump Shot (6 PTS)</v>
      </c>
      <c r="K928" s="2" t="str">
        <f>HYPERLINK("https://www.nba.com/game/...-vs-...-0021600817/play-by-play?watchFullGame=true", "SAS vs NYK - Q2 07:31.00")</f>
        <v>SAS vs NYK - Q2 07:31.00</v>
      </c>
      <c r="L928">
        <v>5</v>
      </c>
      <c r="M928">
        <v>-47</v>
      </c>
      <c r="N928">
        <v>8</v>
      </c>
      <c r="O928">
        <v>-47</v>
      </c>
      <c r="P928">
        <v>8</v>
      </c>
    </row>
    <row r="929" spans="1:16" x14ac:dyDescent="0.25">
      <c r="A929">
        <v>21600425</v>
      </c>
      <c r="B929">
        <v>2016</v>
      </c>
      <c r="C929" t="s">
        <v>32</v>
      </c>
      <c r="D929" t="s">
        <v>17</v>
      </c>
      <c r="E929">
        <v>13</v>
      </c>
      <c r="F929">
        <v>16</v>
      </c>
      <c r="G929">
        <v>1</v>
      </c>
      <c r="H929" s="1">
        <v>2.5462962962962965E-3</v>
      </c>
      <c r="I929" t="s">
        <v>18</v>
      </c>
      <c r="J929" s="2" t="str">
        <f>HYPERLINK("https://www.nba.com/stats/events?CFID=&amp;CFPARAMS=&amp;GameEventID=85&amp;GameID=0021600425&amp;Season=2016-17&amp;flag=1&amp;title=Leonard%205'%20Running%20Jump%20Shot%20(5%20PTS)", "Leonard 5' Running Jump Shot (5 PTS)")</f>
        <v>Leonard 5' Running Jump Shot (5 PTS)</v>
      </c>
      <c r="K929" s="2" t="str">
        <f>HYPERLINK("https://www.nba.com/game/...-vs-...-0021600425/play-by-play?watchFullGame=true", "SAS vs HOU - Q1 03:40.00")</f>
        <v>SAS vs HOU - Q1 03:40.00</v>
      </c>
      <c r="L929">
        <v>5</v>
      </c>
      <c r="M929">
        <v>-47</v>
      </c>
      <c r="N929">
        <v>11</v>
      </c>
      <c r="O929">
        <v>-47</v>
      </c>
      <c r="P929">
        <v>11</v>
      </c>
    </row>
    <row r="930" spans="1:16" x14ac:dyDescent="0.25">
      <c r="A930">
        <v>22000457</v>
      </c>
      <c r="B930">
        <v>2020</v>
      </c>
      <c r="C930" t="s">
        <v>32</v>
      </c>
      <c r="D930" t="s">
        <v>19</v>
      </c>
      <c r="E930">
        <v>53</v>
      </c>
      <c r="F930">
        <v>40</v>
      </c>
      <c r="G930">
        <v>2</v>
      </c>
      <c r="H930" s="1">
        <v>2.2916666666666667E-3</v>
      </c>
      <c r="I930" t="s">
        <v>23</v>
      </c>
      <c r="J930" s="2" t="str">
        <f>HYPERLINK("https://www.nba.com/stats/events?CFID=&amp;CFPARAMS=&amp;GameEventID=261&amp;GameID=0022000457&amp;Season=2020-21&amp;flag=1&amp;title=Leonard%20driving%20floating%20Jump%20Shot%20(10%20PTS)", "Driving floating Jump Shot (10 PTS)")</f>
        <v>Driving floating Jump Shot (10 PTS)</v>
      </c>
      <c r="K930" s="2" t="str">
        <f>HYPERLINK("https://www.nba.com/game/...-vs-...-0022000457/play-by-play?watchFullGame=true", "LAC vs UTA - Q2 03:18.00")</f>
        <v>LAC vs UTA - Q2 03:18.00</v>
      </c>
      <c r="L930">
        <v>5.05</v>
      </c>
      <c r="M930">
        <v>7.57</v>
      </c>
      <c r="N930">
        <v>59.38</v>
      </c>
      <c r="O930">
        <v>-47</v>
      </c>
      <c r="P930">
        <v>19</v>
      </c>
    </row>
    <row r="931" spans="1:16" x14ac:dyDescent="0.25">
      <c r="A931">
        <v>22300897</v>
      </c>
      <c r="B931">
        <v>2023</v>
      </c>
      <c r="C931" t="s">
        <v>32</v>
      </c>
      <c r="D931" t="s">
        <v>44</v>
      </c>
      <c r="E931">
        <v>70</v>
      </c>
      <c r="F931">
        <v>58</v>
      </c>
      <c r="G931">
        <v>3</v>
      </c>
      <c r="H931" s="1">
        <v>5.1504629629629626E-3</v>
      </c>
      <c r="I931" t="s">
        <v>23</v>
      </c>
      <c r="J931" s="2" t="str">
        <f>HYPERLINK("https://www.nba.com/stats/events?CFID=&amp;CFPARAMS=&amp;GameEventID=346&amp;GameID=0022300897&amp;Season=2023-24&amp;flag=1&amp;title=Leonard%207'%20turnaround%20Hook%20(14%20PTS)", "7' turnaround Hook (14 PTS)")</f>
        <v>7' turnaround Hook (14 PTS)</v>
      </c>
      <c r="K931" s="2" t="str">
        <f>HYPERLINK("https://www.nba.com/game/...-vs-...-0022300897/play-by-play?watchFullGame=true", "LAC vs HOU - Q3 07:25.00")</f>
        <v>LAC vs HOU - Q3 07:25.00</v>
      </c>
      <c r="L931">
        <v>7.95</v>
      </c>
      <c r="M931">
        <v>12.43</v>
      </c>
      <c r="N931">
        <v>59.31</v>
      </c>
      <c r="O931">
        <v>-47</v>
      </c>
      <c r="P931">
        <v>64</v>
      </c>
    </row>
    <row r="932" spans="1:16" x14ac:dyDescent="0.25">
      <c r="A932">
        <v>21600213</v>
      </c>
      <c r="B932">
        <v>2016</v>
      </c>
      <c r="C932" t="s">
        <v>32</v>
      </c>
      <c r="D932" t="s">
        <v>19</v>
      </c>
      <c r="E932">
        <v>76</v>
      </c>
      <c r="F932">
        <v>79</v>
      </c>
      <c r="G932">
        <v>3</v>
      </c>
      <c r="H932" s="1">
        <v>2.1643518518518518E-3</v>
      </c>
      <c r="I932" t="s">
        <v>18</v>
      </c>
      <c r="J932" s="2" t="str">
        <f>HYPERLINK("https://www.nba.com/stats/events?CFID=&amp;CFPARAMS=&amp;GameEventID=322&amp;GameID=0021600213&amp;Season=2016-17&amp;flag=1&amp;title=Leonard%2022'%20Jump%20Shot%20(26%20PTS)", "Leonard 22' Jump Shot (26 PTS)")</f>
        <v>Leonard 22' Jump Shot (26 PTS)</v>
      </c>
      <c r="K932" s="2" t="str">
        <f>HYPERLINK("https://www.nba.com/game/...-vs-...-0021600213/play-by-play?watchFullGame=true", "SAS vs CHA - Q3 03:07.00")</f>
        <v>SAS vs CHA - Q3 03:07.00</v>
      </c>
      <c r="L932">
        <v>22</v>
      </c>
      <c r="M932">
        <v>-47</v>
      </c>
      <c r="N932">
        <v>213</v>
      </c>
      <c r="O932">
        <v>-47</v>
      </c>
      <c r="P932">
        <v>213</v>
      </c>
    </row>
    <row r="933" spans="1:16" x14ac:dyDescent="0.25">
      <c r="A933">
        <v>41600155</v>
      </c>
      <c r="B933" t="s">
        <v>30</v>
      </c>
      <c r="C933" t="s">
        <v>16</v>
      </c>
      <c r="D933" t="s">
        <v>19</v>
      </c>
      <c r="E933">
        <v>81</v>
      </c>
      <c r="F933">
        <v>63</v>
      </c>
      <c r="G933">
        <v>3</v>
      </c>
      <c r="H933" s="1">
        <v>2.0138888888888888E-3</v>
      </c>
      <c r="I933" t="s">
        <v>18</v>
      </c>
      <c r="J933" s="2" t="str">
        <f>HYPERLINK("https://www.nba.com/stats/events?CFID=&amp;CFPARAMS=&amp;GameEventID=329&amp;GameID=0041600155&amp;Season=2016-17&amp;flag=1&amp;title=Leonard%2025'%203PT%20Jump%20Shot%20(20%20PTS)%20(Gasol%202%20AST)", "Leonard 25' 3PT Jump Shot (20 PTS) (Gasol 2 AST)")</f>
        <v>Leonard 25' 3PT Jump Shot (20 PTS) (Gasol 2 AST)</v>
      </c>
      <c r="K933" s="2" t="str">
        <f>HYPERLINK("https://www.nba.com/game/...-vs-...-0041600155/play-by-play?watchFullGame=true", "SAS vs MEM - Q3 02:54.00")</f>
        <v>SAS vs MEM - Q3 02:54.00</v>
      </c>
      <c r="L933">
        <v>25</v>
      </c>
      <c r="M933">
        <v>-47</v>
      </c>
      <c r="N933">
        <v>244</v>
      </c>
      <c r="O933">
        <v>-47</v>
      </c>
      <c r="P933">
        <v>244</v>
      </c>
    </row>
    <row r="934" spans="1:16" x14ac:dyDescent="0.25">
      <c r="A934">
        <v>22400659</v>
      </c>
      <c r="B934">
        <v>2024</v>
      </c>
      <c r="C934" t="s">
        <v>16</v>
      </c>
      <c r="D934" t="s">
        <v>19</v>
      </c>
      <c r="E934">
        <v>60</v>
      </c>
      <c r="F934">
        <v>50</v>
      </c>
      <c r="G934">
        <v>3</v>
      </c>
      <c r="H934" s="1">
        <v>7.3726851851851852E-3</v>
      </c>
      <c r="I934" t="s">
        <v>23</v>
      </c>
      <c r="J934" s="2" t="str">
        <f>HYPERLINK("https://www.nba.com/stats/events?CFID=&amp;CFPARAMS=&amp;GameEventID=310&amp;GameID=0022400659&amp;Season=2024-25&amp;flag=1&amp;title=Leonard%2025'%203PT%20%20(7%20PTS)%20(J.%20Harden%206%20AST)", "25' 3PT  (7 PTS) (J. Harden 6 AST)")</f>
        <v>25' 3PT  (7 PTS) (J. Harden 6 AST)</v>
      </c>
      <c r="K934" s="2" t="str">
        <f>HYPERLINK("https://www.nba.com/game/...-vs-...-0022400659/play-by-play?watchFullGame=true", "LAC vs PHX - Q3 10:37.00")</f>
        <v>LAC vs PHX - Q3 10:37.00</v>
      </c>
      <c r="L934">
        <v>25.27</v>
      </c>
      <c r="M934">
        <v>32.01</v>
      </c>
      <c r="N934">
        <v>59.31</v>
      </c>
      <c r="O934">
        <v>-47</v>
      </c>
      <c r="P934">
        <v>248</v>
      </c>
    </row>
    <row r="935" spans="1:16" x14ac:dyDescent="0.25">
      <c r="A935">
        <v>41300404</v>
      </c>
      <c r="B935" t="s">
        <v>26</v>
      </c>
      <c r="C935" t="s">
        <v>32</v>
      </c>
      <c r="D935" t="s">
        <v>19</v>
      </c>
      <c r="E935">
        <v>48</v>
      </c>
      <c r="F935">
        <v>66</v>
      </c>
      <c r="G935">
        <v>3</v>
      </c>
      <c r="H935" s="1">
        <v>4.4791666666666669E-3</v>
      </c>
      <c r="I935" t="s">
        <v>18</v>
      </c>
      <c r="J935" s="2" t="str">
        <f>HYPERLINK("https://www.nba.com/stats/events?CFID=&amp;CFPARAMS=&amp;GameEventID=293&amp;GameID=0041300404&amp;Season=2013-14&amp;flag=1&amp;title=Leonard%2019'%20Jump%20Shot%20(10%20PTS)", "Leonard 19' Jump Shot (10 PTS)")</f>
        <v>Leonard 19' Jump Shot (10 PTS)</v>
      </c>
      <c r="K935" s="2" t="str">
        <f>HYPERLINK("https://www.nba.com/game/...-vs-...-0041300404/play-by-play?watchFullGame=true", "SAS vs MIA - Q3 06:27.00")</f>
        <v>SAS vs MIA - Q3 06:27.00</v>
      </c>
      <c r="L935">
        <v>19</v>
      </c>
      <c r="M935">
        <v>-46</v>
      </c>
      <c r="N935">
        <v>189</v>
      </c>
      <c r="O935">
        <v>-46</v>
      </c>
      <c r="P935">
        <v>189</v>
      </c>
    </row>
    <row r="936" spans="1:16" x14ac:dyDescent="0.25">
      <c r="A936">
        <v>22300350</v>
      </c>
      <c r="B936">
        <v>2023</v>
      </c>
      <c r="C936" t="s">
        <v>32</v>
      </c>
      <c r="D936" t="s">
        <v>19</v>
      </c>
      <c r="E936">
        <v>94</v>
      </c>
      <c r="F936">
        <v>114</v>
      </c>
      <c r="G936">
        <v>3</v>
      </c>
      <c r="H936" s="1">
        <v>1.1226851851851852E-4</v>
      </c>
      <c r="I936" t="s">
        <v>23</v>
      </c>
      <c r="J936" s="2" t="str">
        <f>HYPERLINK("https://www.nba.com/stats/events?CFID=&amp;CFPARAMS=&amp;GameEventID=508&amp;GameID=0022300350&amp;Season=2023-24&amp;flag=1&amp;title=Leonard%20turnaround%20Jump%20Shot%20(28%20PTS)", "Turnaround Jump Shot (28 PTS)")</f>
        <v>Turnaround Jump Shot (28 PTS)</v>
      </c>
      <c r="K936" s="2" t="str">
        <f>HYPERLINK("https://www.nba.com/game/...-vs-...-0022300350/play-by-play?watchFullGame=true", "LAC vs IND - Q3 00:09.70")</f>
        <v>LAC vs IND - Q3 00:09.70</v>
      </c>
      <c r="L936">
        <v>5.86</v>
      </c>
      <c r="M936">
        <v>9.5399999999999991</v>
      </c>
      <c r="N936">
        <v>59.07</v>
      </c>
      <c r="O936">
        <v>-45</v>
      </c>
      <c r="P936">
        <v>37</v>
      </c>
    </row>
    <row r="937" spans="1:16" x14ac:dyDescent="0.25">
      <c r="A937">
        <v>21500364</v>
      </c>
      <c r="B937">
        <v>2015</v>
      </c>
      <c r="C937" t="s">
        <v>32</v>
      </c>
      <c r="D937" t="s">
        <v>43</v>
      </c>
      <c r="E937">
        <v>55</v>
      </c>
      <c r="F937">
        <v>27</v>
      </c>
      <c r="G937">
        <v>2</v>
      </c>
      <c r="H937" s="1">
        <v>2.4189814814814816E-3</v>
      </c>
      <c r="I937" t="s">
        <v>18</v>
      </c>
      <c r="J937" s="2" t="str">
        <f>HYPERLINK("https://www.nba.com/stats/events?CFID=&amp;CFPARAMS=&amp;GameEventID=219&amp;GameID=0021500364&amp;Season=2015-16&amp;flag=1&amp;title=Leonard%208'%20Turnaround%20Hook%20Shot%20(10%20PTS)", "Leonard 8' Turnaround Hook Shot (10 PTS)")</f>
        <v>Leonard 8' Turnaround Hook Shot (10 PTS)</v>
      </c>
      <c r="K937" s="2" t="str">
        <f>HYPERLINK("https://www.nba.com/game/...-vs-...-0021500364/play-by-play?watchFullGame=true", "SAS vs UTA - Q2 03:29.00")</f>
        <v>SAS vs UTA - Q2 03:29.00</v>
      </c>
      <c r="L937">
        <v>8</v>
      </c>
      <c r="M937">
        <v>-45</v>
      </c>
      <c r="N937">
        <v>61</v>
      </c>
      <c r="O937">
        <v>-45</v>
      </c>
      <c r="P937">
        <v>61</v>
      </c>
    </row>
    <row r="938" spans="1:16" x14ac:dyDescent="0.25">
      <c r="A938">
        <v>22201162</v>
      </c>
      <c r="B938">
        <v>2022</v>
      </c>
      <c r="C938" t="s">
        <v>32</v>
      </c>
      <c r="D938" t="s">
        <v>19</v>
      </c>
      <c r="E938">
        <v>113</v>
      </c>
      <c r="F938">
        <v>108</v>
      </c>
      <c r="G938">
        <v>4</v>
      </c>
      <c r="H938" s="1">
        <v>2.0023148148148148E-3</v>
      </c>
      <c r="I938" t="s">
        <v>23</v>
      </c>
      <c r="J938" s="2" t="str">
        <f>HYPERLINK("https://www.nba.com/stats/events?CFID=&amp;CFPARAMS=&amp;GameEventID=590&amp;GameID=0022201162&amp;Season=2022-23&amp;flag=1&amp;title=Leonard%208'%20turnaround%20fadeaway%20Jump%20Shot%20(38%20PTS)", "8' turnaround fadeaway Jump Shot (38 PTS)")</f>
        <v>8' turnaround fadeaway Jump Shot (38 PTS)</v>
      </c>
      <c r="K938" s="2" t="str">
        <f>HYPERLINK("https://www.nba.com/game/...-vs-...-0022201162/play-by-play?watchFullGame=true", "LAC vs NOP - Q4 02:53.00")</f>
        <v>LAC vs NOP - Q4 02:53.00</v>
      </c>
      <c r="L938">
        <v>8.2799999999999994</v>
      </c>
      <c r="M938">
        <v>12.96</v>
      </c>
      <c r="N938">
        <v>59.07</v>
      </c>
      <c r="O938">
        <v>-45</v>
      </c>
      <c r="P938">
        <v>69</v>
      </c>
    </row>
    <row r="939" spans="1:16" x14ac:dyDescent="0.25">
      <c r="A939">
        <v>22300350</v>
      </c>
      <c r="B939">
        <v>2023</v>
      </c>
      <c r="C939" t="s">
        <v>32</v>
      </c>
      <c r="D939" t="s">
        <v>19</v>
      </c>
      <c r="E939">
        <v>71</v>
      </c>
      <c r="F939">
        <v>89</v>
      </c>
      <c r="G939">
        <v>3</v>
      </c>
      <c r="H939" s="1">
        <v>6.3657407407407404E-3</v>
      </c>
      <c r="I939" t="s">
        <v>23</v>
      </c>
      <c r="J939" s="2" t="str">
        <f>HYPERLINK("https://www.nba.com/stats/events?CFID=&amp;CFPARAMS=&amp;GameEventID=381&amp;GameID=0022300350&amp;Season=2023-24&amp;flag=1&amp;title=Leonard%208'%20turnaround%20Jump%20Shot%20(21%20PTS)", "8' turnaround Jump Shot (21 PTS)")</f>
        <v>8' turnaround Jump Shot (21 PTS)</v>
      </c>
      <c r="K939" s="2" t="str">
        <f>HYPERLINK("https://www.nba.com/game/...-vs-...-0022300350/play-by-play?watchFullGame=true", "LAC vs IND - Q3 09:10.00")</f>
        <v>LAC vs IND - Q3 09:10.00</v>
      </c>
      <c r="L939">
        <v>8.49</v>
      </c>
      <c r="M939">
        <v>13.22</v>
      </c>
      <c r="N939">
        <v>59.07</v>
      </c>
      <c r="O939">
        <v>-45</v>
      </c>
      <c r="P939">
        <v>72</v>
      </c>
    </row>
    <row r="940" spans="1:16" x14ac:dyDescent="0.25">
      <c r="A940">
        <v>22301225</v>
      </c>
      <c r="B940">
        <v>2023</v>
      </c>
      <c r="C940" t="s">
        <v>32</v>
      </c>
      <c r="D940" t="s">
        <v>19</v>
      </c>
      <c r="E940">
        <v>6</v>
      </c>
      <c r="F940">
        <v>7</v>
      </c>
      <c r="G940">
        <v>1</v>
      </c>
      <c r="H940" s="1">
        <v>6.8055555555555551E-3</v>
      </c>
      <c r="I940" t="s">
        <v>23</v>
      </c>
      <c r="J940" s="2" t="str">
        <f>HYPERLINK("https://www.nba.com/stats/events?CFID=&amp;CFPARAMS=&amp;GameEventID=26&amp;GameID=0022301225&amp;Season=2023-24&amp;flag=1&amp;title=Leonard%2011'%20driving%20floating%20Jump%20Shot%20(5%20PTS)%20(P.%20George%201%20AST)", "11' driving floating Jump Shot (5 PTS) (P. George 1 AST)")</f>
        <v>11' driving floating Jump Shot (5 PTS) (P. George 1 AST)</v>
      </c>
      <c r="K940" s="2" t="str">
        <f>HYPERLINK("https://www.nba.com/game/...-vs-...-0022301225/play-by-play?watchFullGame=true", "LAC vs UTA - Q1 09:48.00")</f>
        <v>LAC vs UTA - Q1 09:48.00</v>
      </c>
      <c r="L940">
        <v>11.42</v>
      </c>
      <c r="M940">
        <v>83.26</v>
      </c>
      <c r="N940">
        <v>40.93</v>
      </c>
      <c r="O940">
        <v>-45</v>
      </c>
      <c r="P940">
        <v>105</v>
      </c>
    </row>
    <row r="941" spans="1:16" x14ac:dyDescent="0.25">
      <c r="A941">
        <v>22200538</v>
      </c>
      <c r="B941">
        <v>2022</v>
      </c>
      <c r="C941" t="s">
        <v>32</v>
      </c>
      <c r="D941" t="s">
        <v>19</v>
      </c>
      <c r="E941">
        <v>81</v>
      </c>
      <c r="F941">
        <v>77</v>
      </c>
      <c r="G941">
        <v>3</v>
      </c>
      <c r="H941" s="1">
        <v>4.1550925925925922E-3</v>
      </c>
      <c r="I941" t="s">
        <v>23</v>
      </c>
      <c r="J941" s="2" t="str">
        <f>HYPERLINK("https://www.nba.com/stats/events?CFID=&amp;CFPARAMS=&amp;GameEventID=358&amp;GameID=0022200538&amp;Season=2022-23&amp;flag=1&amp;title=Leonard%2012'%20pullup%20Jump%20Shot%20(16%20PTS)", "12' pullup Jump Shot (16 PTS)")</f>
        <v>12' pullup Jump Shot (16 PTS)</v>
      </c>
      <c r="K941" s="2" t="str">
        <f>HYPERLINK("https://www.nba.com/game/...-vs-...-0022200538/play-by-play?watchFullGame=true", "LAC vs IND - Q3 05:59.00")</f>
        <v>LAC vs IND - Q3 05:59.00</v>
      </c>
      <c r="L941">
        <v>12.14</v>
      </c>
      <c r="M941">
        <v>17.559999999999999</v>
      </c>
      <c r="N941">
        <v>59.07</v>
      </c>
      <c r="O941">
        <v>-45</v>
      </c>
      <c r="P941">
        <v>113</v>
      </c>
    </row>
    <row r="942" spans="1:16" x14ac:dyDescent="0.25">
      <c r="A942">
        <v>22301215</v>
      </c>
      <c r="B942">
        <v>2023</v>
      </c>
      <c r="C942" t="s">
        <v>32</v>
      </c>
      <c r="D942" t="s">
        <v>19</v>
      </c>
      <c r="E942">
        <v>19</v>
      </c>
      <c r="F942">
        <v>31</v>
      </c>
      <c r="G942">
        <v>1</v>
      </c>
      <c r="H942" s="1">
        <v>1.7939814814814815E-3</v>
      </c>
      <c r="I942" t="s">
        <v>23</v>
      </c>
      <c r="J942" s="2" t="str">
        <f>HYPERLINK("https://www.nba.com/stats/events?CFID=&amp;CFPARAMS=&amp;GameEventID=112&amp;GameID=0022301215&amp;Season=2023-24&amp;flag=1&amp;title=Leonard%2012'%20pullup%20Jump%20Shot%20(6%20PTS)%20(N.%20Powell%201%20AST)", "12' pullup Jump Shot (6 PTS) (N. Powell 1 AST)")</f>
        <v>12' pullup Jump Shot (6 PTS) (N. Powell 1 AST)</v>
      </c>
      <c r="K942" s="2" t="str">
        <f>HYPERLINK("https://www.nba.com/game/...-vs-...-0022301215/play-by-play?watchFullGame=true", "LAC vs DEN - Q1 02:35.00")</f>
        <v>LAC vs DEN - Q1 02:35.00</v>
      </c>
      <c r="L942">
        <v>12.48</v>
      </c>
      <c r="M942">
        <v>82.05</v>
      </c>
      <c r="N942">
        <v>40.93</v>
      </c>
      <c r="O942">
        <v>-45</v>
      </c>
      <c r="P942">
        <v>116</v>
      </c>
    </row>
    <row r="943" spans="1:16" x14ac:dyDescent="0.25">
      <c r="A943">
        <v>22300897</v>
      </c>
      <c r="B943">
        <v>2023</v>
      </c>
      <c r="C943" t="s">
        <v>32</v>
      </c>
      <c r="D943" t="s">
        <v>19</v>
      </c>
      <c r="E943">
        <v>86</v>
      </c>
      <c r="F943">
        <v>80</v>
      </c>
      <c r="G943">
        <v>3</v>
      </c>
      <c r="H943" s="1">
        <v>6.9444444444444439E-6</v>
      </c>
      <c r="I943" t="s">
        <v>23</v>
      </c>
      <c r="J943" s="2" t="str">
        <f>HYPERLINK("https://www.nba.com/stats/events?CFID=&amp;CFPARAMS=&amp;GameEventID=447&amp;GameID=0022300897&amp;Season=2023-24&amp;flag=1&amp;title=Leonard%2012'%20fadeaway%20Jump%20Shot%20(18%20PTS)", "12' fadeaway Jump Shot (18 PTS)")</f>
        <v>12' fadeaway Jump Shot (18 PTS)</v>
      </c>
      <c r="K943" s="2" t="str">
        <f>HYPERLINK("https://www.nba.com/game/...-vs-...-0022300897/play-by-play?watchFullGame=true", "LAC vs HOU - Q3 00:00.60")</f>
        <v>LAC vs HOU - Q3 00:00.60</v>
      </c>
      <c r="L943">
        <v>12.83</v>
      </c>
      <c r="M943">
        <v>18.350000000000001</v>
      </c>
      <c r="N943">
        <v>59.07</v>
      </c>
      <c r="O943">
        <v>-45</v>
      </c>
      <c r="P943">
        <v>120</v>
      </c>
    </row>
    <row r="944" spans="1:16" x14ac:dyDescent="0.25">
      <c r="A944">
        <v>22300309</v>
      </c>
      <c r="B944">
        <v>2023</v>
      </c>
      <c r="C944" t="s">
        <v>32</v>
      </c>
      <c r="D944" t="s">
        <v>19</v>
      </c>
      <c r="E944">
        <v>56</v>
      </c>
      <c r="F944">
        <v>37</v>
      </c>
      <c r="G944">
        <v>2</v>
      </c>
      <c r="H944" s="1">
        <v>4.4212962962962964E-3</v>
      </c>
      <c r="I944" t="s">
        <v>23</v>
      </c>
      <c r="J944" s="2" t="str">
        <f>HYPERLINK("https://www.nba.com/stats/events?CFID=&amp;CFPARAMS=&amp;GameEventID=238&amp;GameID=0022300309&amp;Season=2023-24&amp;flag=1&amp;title=Leonard%2012'%20pullup%20Jump%20Shot%20(11%20PTS)", "12' pullup Jump Shot (11 PTS)")</f>
        <v>12' pullup Jump Shot (11 PTS)</v>
      </c>
      <c r="K944" s="2" t="str">
        <f>HYPERLINK("https://www.nba.com/game/...-vs-...-0022300309/play-by-play?watchFullGame=true", "LAC vs SAC - Q2 06:22.00")</f>
        <v>LAC vs SAC - Q2 06:22.00</v>
      </c>
      <c r="L944">
        <v>12.83</v>
      </c>
      <c r="M944">
        <v>81.650000000000006</v>
      </c>
      <c r="N944">
        <v>40.93</v>
      </c>
      <c r="O944">
        <v>-45</v>
      </c>
      <c r="P944">
        <v>120</v>
      </c>
    </row>
    <row r="945" spans="1:16" x14ac:dyDescent="0.25">
      <c r="A945">
        <v>22300160</v>
      </c>
      <c r="B945">
        <v>2023</v>
      </c>
      <c r="C945" t="s">
        <v>32</v>
      </c>
      <c r="D945" t="s">
        <v>19</v>
      </c>
      <c r="E945">
        <v>54</v>
      </c>
      <c r="F945">
        <v>52</v>
      </c>
      <c r="G945">
        <v>3</v>
      </c>
      <c r="H945" s="1">
        <v>5.5787037037037038E-3</v>
      </c>
      <c r="I945" t="s">
        <v>23</v>
      </c>
      <c r="J945" s="2" t="str">
        <f>HYPERLINK("https://www.nba.com/stats/events?CFID=&amp;CFPARAMS=&amp;GameEventID=379&amp;GameID=0022300160&amp;Season=2023-24&amp;flag=1&amp;title=Leonard%2013'%20pullup%20Jump%20Shot%20(8%20PTS)%20(R.%20Westbrook%205%20AST)", "13' pullup Jump Shot (8 PTS) (R. Westbrook 5 AST)")</f>
        <v>13' pullup Jump Shot (8 PTS) (R. Westbrook 5 AST)</v>
      </c>
      <c r="K945" s="2" t="str">
        <f>HYPERLINK("https://www.nba.com/game/...-vs-...-0022300160/play-by-play?watchFullGame=true", "LAC vs BKN - Q3 08:02.00")</f>
        <v>LAC vs BKN - Q3 08:02.00</v>
      </c>
      <c r="L945">
        <v>13.75</v>
      </c>
      <c r="M945">
        <v>19.399999999999999</v>
      </c>
      <c r="N945">
        <v>59.07</v>
      </c>
      <c r="O945">
        <v>-45</v>
      </c>
      <c r="P945">
        <v>130</v>
      </c>
    </row>
    <row r="946" spans="1:16" x14ac:dyDescent="0.25">
      <c r="A946">
        <v>41800304</v>
      </c>
      <c r="B946" t="s">
        <v>20</v>
      </c>
      <c r="C946" t="s">
        <v>16</v>
      </c>
      <c r="D946" t="s">
        <v>19</v>
      </c>
      <c r="E946">
        <v>112</v>
      </c>
      <c r="F946">
        <v>93</v>
      </c>
      <c r="G946">
        <v>4</v>
      </c>
      <c r="H946" s="1">
        <v>2.9861111111111113E-3</v>
      </c>
      <c r="I946" t="s">
        <v>21</v>
      </c>
      <c r="J946" s="2" t="str">
        <f>HYPERLINK("https://www.nba.com/stats/events?CFID=&amp;CFPARAMS=&amp;GameEventID=653&amp;GameID=0041800304&amp;Season=2018-19&amp;flag=1&amp;title=Leonard%2026'%203PT%20Jump%20Shot%20(19%20PTS)%20(Lowry%206%20AST)", "Leonard 26' 3PT Jump Shot (19 PTS) (Lowry 6 AST)")</f>
        <v>Leonard 26' 3PT Jump Shot (19 PTS) (Lowry 6 AST)</v>
      </c>
      <c r="K946" s="2" t="str">
        <f>HYPERLINK("https://www.nba.com/game/...-vs-...-0041800304/play-by-play?watchFullGame=true", "TOR vs MIL - Q4 04:18.00")</f>
        <v>TOR vs MIL - Q4 04:18.00</v>
      </c>
      <c r="L946">
        <v>26</v>
      </c>
      <c r="M946">
        <v>-45</v>
      </c>
      <c r="N946">
        <v>252</v>
      </c>
      <c r="O946">
        <v>-45</v>
      </c>
      <c r="P946">
        <v>252</v>
      </c>
    </row>
    <row r="947" spans="1:16" x14ac:dyDescent="0.25">
      <c r="A947">
        <v>21500653</v>
      </c>
      <c r="B947">
        <v>2015</v>
      </c>
      <c r="C947" t="s">
        <v>16</v>
      </c>
      <c r="D947" t="s">
        <v>19</v>
      </c>
      <c r="E947">
        <v>12</v>
      </c>
      <c r="F947">
        <v>14</v>
      </c>
      <c r="G947">
        <v>1</v>
      </c>
      <c r="H947" s="1">
        <v>4.1203703703703706E-3</v>
      </c>
      <c r="I947" t="s">
        <v>18</v>
      </c>
      <c r="J947" s="2" t="str">
        <f>HYPERLINK("https://www.nba.com/stats/events?CFID=&amp;CFPARAMS=&amp;GameEventID=52&amp;GameID=0021500653&amp;Season=2015-16&amp;flag=1&amp;title=Leonard%2026'%203PT%20Jump%20Shot%20(6%20PTS)%20(Green%201%20AST)", "Leonard 26' 3PT Jump Shot (6 PTS) (Green 1 AST)")</f>
        <v>Leonard 26' 3PT Jump Shot (6 PTS) (Green 1 AST)</v>
      </c>
      <c r="K947" s="2" t="str">
        <f>HYPERLINK("https://www.nba.com/game/...-vs-...-0021500653/play-by-play?watchFullGame=true", "SAS vs LAL - Q1 05:56.00")</f>
        <v>SAS vs LAL - Q1 05:56.00</v>
      </c>
      <c r="L947">
        <v>26</v>
      </c>
      <c r="M947">
        <v>-45</v>
      </c>
      <c r="N947">
        <v>252</v>
      </c>
      <c r="O947">
        <v>-45</v>
      </c>
      <c r="P947">
        <v>252</v>
      </c>
    </row>
    <row r="948" spans="1:16" x14ac:dyDescent="0.25">
      <c r="A948">
        <v>22300264</v>
      </c>
      <c r="B948">
        <v>2023</v>
      </c>
      <c r="C948" t="s">
        <v>16</v>
      </c>
      <c r="D948" t="s">
        <v>19</v>
      </c>
      <c r="E948">
        <v>100</v>
      </c>
      <c r="F948">
        <v>116</v>
      </c>
      <c r="G948">
        <v>4</v>
      </c>
      <c r="H948" s="1">
        <v>4.2824074074074075E-3</v>
      </c>
      <c r="I948" t="s">
        <v>23</v>
      </c>
      <c r="J948" s="2" t="str">
        <f>HYPERLINK("https://www.nba.com/stats/events?CFID=&amp;CFPARAMS=&amp;GameEventID=594&amp;GameID=0022300264&amp;Season=2023-24&amp;flag=1&amp;title=Leonard%2025'%203PT%20%20(30%20PTS)%20(I.%20Zubac%201%20AST)", "25' 3PT  (30 PTS) (I. Zubac 1 AST)")</f>
        <v>25' 3PT  (30 PTS) (I. Zubac 1 AST)</v>
      </c>
      <c r="K948" s="2" t="str">
        <f>HYPERLINK("https://www.nba.com/game/...-vs-...-0022300264/play-by-play?watchFullGame=true", "LAC vs SAC - Q4 06:10.00")</f>
        <v>LAC vs SAC - Q4 06:10.00</v>
      </c>
      <c r="L948">
        <v>25.83</v>
      </c>
      <c r="M948">
        <v>67.36</v>
      </c>
      <c r="N948">
        <v>40.93</v>
      </c>
      <c r="O948">
        <v>-45</v>
      </c>
      <c r="P948">
        <v>254</v>
      </c>
    </row>
    <row r="949" spans="1:16" x14ac:dyDescent="0.25">
      <c r="A949">
        <v>22200617</v>
      </c>
      <c r="B949">
        <v>2022</v>
      </c>
      <c r="C949" t="s">
        <v>16</v>
      </c>
      <c r="D949" t="s">
        <v>19</v>
      </c>
      <c r="E949">
        <v>88</v>
      </c>
      <c r="F949">
        <v>75</v>
      </c>
      <c r="G949">
        <v>3</v>
      </c>
      <c r="H949" s="1">
        <v>3.2060185185185186E-4</v>
      </c>
      <c r="I949" t="s">
        <v>23</v>
      </c>
      <c r="J949" s="2" t="str">
        <f>HYPERLINK("https://www.nba.com/stats/events?CFID=&amp;CFPARAMS=&amp;GameEventID=465&amp;GameID=0022200617&amp;Season=2022-23&amp;flag=1&amp;title=Leonard%2026'%203PT%20%20(27%20PTS)%20(J.%20Wall%203%20AST)", "26' 3PT  (27 PTS) (J. Wall 3 AST)")</f>
        <v>26' 3PT  (27 PTS) (J. Wall 3 AST)</v>
      </c>
      <c r="K949" s="2" t="str">
        <f>HYPERLINK("https://www.nba.com/game/...-vs-...-0022200617/play-by-play?watchFullGame=true", "LAC vs DAL - Q3 00:27.70")</f>
        <v>LAC vs DAL - Q3 00:27.70</v>
      </c>
      <c r="L949">
        <v>26.31</v>
      </c>
      <c r="M949">
        <v>33.159999999999997</v>
      </c>
      <c r="N949">
        <v>59.07</v>
      </c>
      <c r="O949">
        <v>-45</v>
      </c>
      <c r="P949">
        <v>259</v>
      </c>
    </row>
    <row r="950" spans="1:16" x14ac:dyDescent="0.25">
      <c r="A950">
        <v>22300600</v>
      </c>
      <c r="B950">
        <v>2023</v>
      </c>
      <c r="C950" t="s">
        <v>32</v>
      </c>
      <c r="D950" t="s">
        <v>19</v>
      </c>
      <c r="E950">
        <v>115</v>
      </c>
      <c r="F950">
        <v>114</v>
      </c>
      <c r="G950">
        <v>4</v>
      </c>
      <c r="H950" s="1">
        <v>1.9675925925925924E-3</v>
      </c>
      <c r="I950" t="s">
        <v>23</v>
      </c>
      <c r="J950" s="2" t="str">
        <f>HYPERLINK("https://www.nba.com/stats/events?CFID=&amp;CFPARAMS=&amp;GameEventID=602&amp;GameID=0022300600&amp;Season=2023-24&amp;flag=1&amp;title=Leonard%209'%20fadeaway%20Jump%20Shot%20(13%20PTS)", "9' fadeaway Jump Shot (13 PTS)")</f>
        <v>9' fadeaway Jump Shot (13 PTS)</v>
      </c>
      <c r="K950" s="2" t="str">
        <f>HYPERLINK("https://www.nba.com/game/...-vs-...-0022300600/play-by-play?watchFullGame=true", "LAC vs BKN - Q4 02:50.00")</f>
        <v>LAC vs BKN - Q4 02:50.00</v>
      </c>
      <c r="L950">
        <v>9.5</v>
      </c>
      <c r="M950">
        <v>85.46</v>
      </c>
      <c r="N950">
        <v>41.18</v>
      </c>
      <c r="O950">
        <v>-44</v>
      </c>
      <c r="P950">
        <v>84</v>
      </c>
    </row>
    <row r="951" spans="1:16" x14ac:dyDescent="0.25">
      <c r="A951">
        <v>22000788</v>
      </c>
      <c r="B951">
        <v>2020</v>
      </c>
      <c r="C951" t="s">
        <v>32</v>
      </c>
      <c r="D951" t="s">
        <v>19</v>
      </c>
      <c r="E951">
        <v>97</v>
      </c>
      <c r="F951">
        <v>89</v>
      </c>
      <c r="G951">
        <v>4</v>
      </c>
      <c r="H951" s="1">
        <v>4.0162037037037041E-3</v>
      </c>
      <c r="I951" t="s">
        <v>23</v>
      </c>
      <c r="J951" s="2" t="str">
        <f>HYPERLINK("https://www.nba.com/stats/events?CFID=&amp;CFPARAMS=&amp;GameEventID=520&amp;GameID=0022000788&amp;Season=2020-21&amp;flag=1&amp;title=Leonard%2010'%20fadeaway%20Jump%20Shot%20(24%20PTS)", "10' fadeaway Jump Shot (24 PTS)")</f>
        <v>10' fadeaway Jump Shot (24 PTS)</v>
      </c>
      <c r="K951" s="2" t="str">
        <f>HYPERLINK("https://www.nba.com/game/...-vs-...-0022000788/play-by-play?watchFullGame=true", "LAC vs PHX - Q4 05:47.00")</f>
        <v>LAC vs PHX - Q4 05:47.00</v>
      </c>
      <c r="L951">
        <v>10.57</v>
      </c>
      <c r="M951">
        <v>84.18</v>
      </c>
      <c r="N951">
        <v>41.25</v>
      </c>
      <c r="O951">
        <v>-44</v>
      </c>
      <c r="P951">
        <v>96</v>
      </c>
    </row>
    <row r="952" spans="1:16" x14ac:dyDescent="0.25">
      <c r="A952">
        <v>22000202</v>
      </c>
      <c r="B952">
        <v>2020</v>
      </c>
      <c r="C952" t="s">
        <v>32</v>
      </c>
      <c r="D952" t="s">
        <v>19</v>
      </c>
      <c r="E952">
        <v>34</v>
      </c>
      <c r="F952">
        <v>26</v>
      </c>
      <c r="G952">
        <v>1</v>
      </c>
      <c r="H952" s="1">
        <v>4.2476851851851855E-4</v>
      </c>
      <c r="I952" t="s">
        <v>23</v>
      </c>
      <c r="J952" s="2" t="str">
        <f>HYPERLINK("https://www.nba.com/stats/events?CFID=&amp;CFPARAMS=&amp;GameEventID=146&amp;GameID=0022000202&amp;Season=2020-21&amp;flag=1&amp;title=Leonard%2011'%20fadeaway%20Jump%20Shot%20(6%20PTS)%20(P.%20Patterson%201%20AST)", "11' fadeaway Jump Shot (6 PTS) (P. Patterson 1 AST)")</f>
        <v>11' fadeaway Jump Shot (6 PTS) (P. Patterson 1 AST)</v>
      </c>
      <c r="K952" s="2" t="str">
        <f>HYPERLINK("https://www.nba.com/game/...-vs-...-0022000202/play-by-play?watchFullGame=true", "LAC vs IND - Q1 00:36.70")</f>
        <v>LAC vs IND - Q1 00:36.70</v>
      </c>
      <c r="L952">
        <v>11.48</v>
      </c>
      <c r="M952">
        <v>83.13</v>
      </c>
      <c r="N952">
        <v>41.25</v>
      </c>
      <c r="O952">
        <v>-44</v>
      </c>
      <c r="P952">
        <v>106</v>
      </c>
    </row>
    <row r="953" spans="1:16" x14ac:dyDescent="0.25">
      <c r="A953">
        <v>21900359</v>
      </c>
      <c r="B953">
        <v>2019</v>
      </c>
      <c r="C953" t="s">
        <v>32</v>
      </c>
      <c r="D953" t="s">
        <v>22</v>
      </c>
      <c r="E953">
        <v>84</v>
      </c>
      <c r="F953">
        <v>105</v>
      </c>
      <c r="G953">
        <v>4</v>
      </c>
      <c r="H953" s="1">
        <v>3.3796296296296296E-3</v>
      </c>
      <c r="I953" t="s">
        <v>23</v>
      </c>
      <c r="J953" s="2" t="str">
        <f>HYPERLINK("https://www.nba.com/stats/events?CFID=&amp;CFPARAMS=&amp;GameEventID=662&amp;GameID=0021900359&amp;Season=2019-20&amp;flag=1&amp;title=Leonard%2014'%20jumpshot%20(23%20PTS)%20(M.%20Harrell%204%20AST)", "14' jumpshot (23 PTS) (M. Harrell 4 AST)")</f>
        <v>14' jumpshot (23 PTS) (M. Harrell 4 AST)</v>
      </c>
      <c r="K953" s="2" t="str">
        <f>HYPERLINK("https://www.nba.com/game/...-vs-...-0021900359/play-by-play?watchFullGame=true", "LAC vs TOR - Q4 04:52.00")</f>
        <v>LAC vs TOR - Q4 04:52.00</v>
      </c>
      <c r="L953">
        <v>13.61</v>
      </c>
      <c r="M953">
        <v>81.290000000000006</v>
      </c>
      <c r="N953">
        <v>41.25</v>
      </c>
      <c r="O953">
        <v>-44</v>
      </c>
      <c r="P953">
        <v>123</v>
      </c>
    </row>
    <row r="954" spans="1:16" x14ac:dyDescent="0.25">
      <c r="A954">
        <v>22200871</v>
      </c>
      <c r="B954">
        <v>2022</v>
      </c>
      <c r="C954" t="s">
        <v>32</v>
      </c>
      <c r="D954" t="s">
        <v>19</v>
      </c>
      <c r="E954">
        <v>51</v>
      </c>
      <c r="F954">
        <v>52</v>
      </c>
      <c r="G954">
        <v>2</v>
      </c>
      <c r="H954" s="1">
        <v>2.9861111111111113E-3</v>
      </c>
      <c r="I954" t="s">
        <v>23</v>
      </c>
      <c r="J954" s="2" t="str">
        <f>HYPERLINK("https://www.nba.com/stats/events?CFID=&amp;CFPARAMS=&amp;GameEventID=266&amp;GameID=0022200871&amp;Season=2022-23&amp;flag=1&amp;title=Leonard%2019'%20Jump%20Shot%20(13%20PTS)%20(P.%20George%203%20AST)", "19' Jump Shot (13 PTS) (P. George 3 AST)")</f>
        <v>19' Jump Shot (13 PTS) (P. George 3 AST)</v>
      </c>
      <c r="K954" s="2" t="str">
        <f>HYPERLINK("https://www.nba.com/game/...-vs-...-0022200871/play-by-play?watchFullGame=true", "LAC vs GSW - Q2 04:18.00")</f>
        <v>LAC vs GSW - Q2 04:18.00</v>
      </c>
      <c r="L954">
        <v>19.66</v>
      </c>
      <c r="M954">
        <v>74.03</v>
      </c>
      <c r="N954">
        <v>41.18</v>
      </c>
      <c r="O954">
        <v>-44</v>
      </c>
      <c r="P954">
        <v>192</v>
      </c>
    </row>
    <row r="955" spans="1:16" x14ac:dyDescent="0.25">
      <c r="A955">
        <v>21500182</v>
      </c>
      <c r="B955">
        <v>2015</v>
      </c>
      <c r="C955" t="s">
        <v>32</v>
      </c>
      <c r="D955" t="s">
        <v>19</v>
      </c>
      <c r="E955">
        <v>33</v>
      </c>
      <c r="F955">
        <v>28</v>
      </c>
      <c r="G955">
        <v>2</v>
      </c>
      <c r="H955" s="1">
        <v>5.0694444444444441E-3</v>
      </c>
      <c r="I955" t="s">
        <v>18</v>
      </c>
      <c r="J955" s="2" t="str">
        <f>HYPERLINK("https://www.nba.com/stats/events?CFID=&amp;CFPARAMS=&amp;GameEventID=223&amp;GameID=0021500182&amp;Season=2015-16&amp;flag=1&amp;title=Leonard%206'%20Jump%20Shot%20(10%20PTS)", "Leonard 6' Jump Shot (10 PTS)")</f>
        <v>Leonard 6' Jump Shot (10 PTS)</v>
      </c>
      <c r="K955" s="2" t="str">
        <f>HYPERLINK("https://www.nba.com/game/...-vs-...-0021500182/play-by-play?watchFullGame=true", "SAS vs NOP - Q2 07:18.00")</f>
        <v>SAS vs NOP - Q2 07:18.00</v>
      </c>
      <c r="L955">
        <v>6</v>
      </c>
      <c r="M955">
        <v>-43</v>
      </c>
      <c r="N955">
        <v>38</v>
      </c>
      <c r="O955">
        <v>-43</v>
      </c>
      <c r="P955">
        <v>38</v>
      </c>
    </row>
    <row r="956" spans="1:16" x14ac:dyDescent="0.25">
      <c r="A956">
        <v>21601099</v>
      </c>
      <c r="B956">
        <v>2016</v>
      </c>
      <c r="C956" t="s">
        <v>32</v>
      </c>
      <c r="D956" t="s">
        <v>43</v>
      </c>
      <c r="E956">
        <v>68</v>
      </c>
      <c r="F956">
        <v>43</v>
      </c>
      <c r="G956">
        <v>3</v>
      </c>
      <c r="H956" s="1">
        <v>5.3009259259259259E-3</v>
      </c>
      <c r="I956" t="s">
        <v>18</v>
      </c>
      <c r="J956" s="2" t="str">
        <f>HYPERLINK("https://www.nba.com/stats/events?CFID=&amp;CFPARAMS=&amp;GameEventID=306&amp;GameID=0021601099&amp;Season=2016-17&amp;flag=1&amp;title=Leonard%207'%20Turnaround%20Hook%20Shot%20(17%20PTS)", "Leonard 7' Turnaround Hook Shot (17 PTS)")</f>
        <v>Leonard 7' Turnaround Hook Shot (17 PTS)</v>
      </c>
      <c r="K956" s="2" t="str">
        <f>HYPERLINK("https://www.nba.com/game/...-vs-...-0021601099/play-by-play?watchFullGame=true", "SAS vs CLE - Q3 07:38.00")</f>
        <v>SAS vs CLE - Q3 07:38.00</v>
      </c>
      <c r="L956">
        <v>7</v>
      </c>
      <c r="M956">
        <v>-43</v>
      </c>
      <c r="N956">
        <v>61</v>
      </c>
      <c r="O956">
        <v>-43</v>
      </c>
      <c r="P956">
        <v>61</v>
      </c>
    </row>
    <row r="957" spans="1:16" x14ac:dyDescent="0.25">
      <c r="A957">
        <v>21600817</v>
      </c>
      <c r="B957">
        <v>2016</v>
      </c>
      <c r="C957" t="s">
        <v>32</v>
      </c>
      <c r="D957" t="s">
        <v>34</v>
      </c>
      <c r="E957">
        <v>32</v>
      </c>
      <c r="F957">
        <v>44</v>
      </c>
      <c r="G957">
        <v>2</v>
      </c>
      <c r="H957" s="1">
        <v>2.6041666666666665E-3</v>
      </c>
      <c r="I957" t="s">
        <v>18</v>
      </c>
      <c r="J957" s="2" t="str">
        <f>HYPERLINK("https://www.nba.com/stats/events?CFID=&amp;CFPARAMS=&amp;GameEventID=196&amp;GameID=0021600817&amp;Season=2016-17&amp;flag=1&amp;title=Leonard%208'%20Turnaround%20Fadeaway%20(12%20PTS)", "Leonard 8' Turnaround Fadeaway (12 PTS)")</f>
        <v>Leonard 8' Turnaround Fadeaway (12 PTS)</v>
      </c>
      <c r="K957" s="2" t="str">
        <f>HYPERLINK("https://www.nba.com/game/...-vs-...-0021600817/play-by-play?watchFullGame=true", "SAS vs NYK - Q2 03:45.00")</f>
        <v>SAS vs NYK - Q2 03:45.00</v>
      </c>
      <c r="L957">
        <v>8</v>
      </c>
      <c r="M957">
        <v>-43</v>
      </c>
      <c r="N957">
        <v>70</v>
      </c>
      <c r="O957">
        <v>-43</v>
      </c>
      <c r="P957">
        <v>70</v>
      </c>
    </row>
    <row r="958" spans="1:16" x14ac:dyDescent="0.25">
      <c r="A958">
        <v>22000002</v>
      </c>
      <c r="B958">
        <v>2020</v>
      </c>
      <c r="C958" t="s">
        <v>32</v>
      </c>
      <c r="D958" t="s">
        <v>19</v>
      </c>
      <c r="E958">
        <v>61</v>
      </c>
      <c r="F958">
        <v>65</v>
      </c>
      <c r="G958">
        <v>3</v>
      </c>
      <c r="H958" s="1">
        <v>6.5393518518518517E-3</v>
      </c>
      <c r="I958" t="s">
        <v>23</v>
      </c>
      <c r="J958" s="2" t="str">
        <f>HYPERLINK("https://www.nba.com/stats/events?CFID=&amp;CFPARAMS=&amp;GameEventID=402&amp;GameID=0022000002&amp;Season=2020-21&amp;flag=1&amp;title=Leonard%209'%20pullup%20Jump%20Shot%20(17%20PTS)", "9' pullup Jump Shot (17 PTS)")</f>
        <v>9' pullup Jump Shot (17 PTS)</v>
      </c>
      <c r="K958" s="2" t="str">
        <f>HYPERLINK("https://www.nba.com/game/...-vs-...-0022000002/play-by-play?watchFullGame=true", "LAC vs LAL - Q3 09:25.00")</f>
        <v>LAC vs LAL - Q3 09:25.00</v>
      </c>
      <c r="L958">
        <v>9.9499999999999993</v>
      </c>
      <c r="M958">
        <v>84.84</v>
      </c>
      <c r="N958">
        <v>41.49</v>
      </c>
      <c r="O958">
        <v>-43</v>
      </c>
      <c r="P958">
        <v>90</v>
      </c>
    </row>
    <row r="959" spans="1:16" x14ac:dyDescent="0.25">
      <c r="A959">
        <v>22300827</v>
      </c>
      <c r="B959">
        <v>2023</v>
      </c>
      <c r="C959" t="s">
        <v>32</v>
      </c>
      <c r="D959" t="s">
        <v>19</v>
      </c>
      <c r="E959">
        <v>24</v>
      </c>
      <c r="F959">
        <v>22</v>
      </c>
      <c r="G959">
        <v>1</v>
      </c>
      <c r="H959" s="1">
        <v>1.5046296296296296E-3</v>
      </c>
      <c r="I959" t="s">
        <v>23</v>
      </c>
      <c r="J959" s="2" t="str">
        <f>HYPERLINK("https://www.nba.com/stats/events?CFID=&amp;CFPARAMS=&amp;GameEventID=126&amp;GameID=0022300827&amp;Season=2023-24&amp;flag=1&amp;title=Leonard%2012'%20turnaround%20fadeaway%20Jump%20Shot%20(6%20PTS)", "12' turnaround fadeaway Jump Shot (6 PTS)")</f>
        <v>12' turnaround fadeaway Jump Shot (6 PTS)</v>
      </c>
      <c r="K959" s="2" t="str">
        <f>HYPERLINK("https://www.nba.com/game/...-vs-...-0022300827/play-by-play?watchFullGame=true", "LAC vs SAC - Q1 02:10.00")</f>
        <v>LAC vs SAC - Q1 02:10.00</v>
      </c>
      <c r="L959">
        <v>12.4</v>
      </c>
      <c r="M959">
        <v>82.05</v>
      </c>
      <c r="N959">
        <v>41.42</v>
      </c>
      <c r="O959">
        <v>-43</v>
      </c>
      <c r="P959">
        <v>116</v>
      </c>
    </row>
    <row r="960" spans="1:16" x14ac:dyDescent="0.25">
      <c r="A960">
        <v>21500347</v>
      </c>
      <c r="B960">
        <v>2015</v>
      </c>
      <c r="C960" t="s">
        <v>32</v>
      </c>
      <c r="D960" t="s">
        <v>29</v>
      </c>
      <c r="E960">
        <v>18</v>
      </c>
      <c r="F960">
        <v>26</v>
      </c>
      <c r="G960">
        <v>2</v>
      </c>
      <c r="H960" s="1">
        <v>5.4050925925925924E-3</v>
      </c>
      <c r="I960" t="s">
        <v>18</v>
      </c>
      <c r="J960" s="2" t="str">
        <f>HYPERLINK("https://www.nba.com/stats/events?CFID=&amp;CFPARAMS=&amp;GameEventID=163&amp;GameID=0021500347&amp;Season=2015-16&amp;flag=1&amp;title=Leonard%2016'%20Pullup%20Jump%20Shot%20(6%20PTS)", "Leonard 16' Pullup Jump Shot (6 PTS)")</f>
        <v>Leonard 16' Pullup Jump Shot (6 PTS)</v>
      </c>
      <c r="K960" s="2" t="str">
        <f>HYPERLINK("https://www.nba.com/game/...-vs-...-0021500347/play-by-play?watchFullGame=true", "SAS vs ATL - Q2 07:47.00")</f>
        <v>SAS vs ATL - Q2 07:47.00</v>
      </c>
      <c r="L960">
        <v>16</v>
      </c>
      <c r="M960">
        <v>-43</v>
      </c>
      <c r="N960">
        <v>154</v>
      </c>
      <c r="O960">
        <v>-43</v>
      </c>
      <c r="P960">
        <v>154</v>
      </c>
    </row>
    <row r="961" spans="1:16" x14ac:dyDescent="0.25">
      <c r="A961">
        <v>22000472</v>
      </c>
      <c r="B961">
        <v>2020</v>
      </c>
      <c r="C961" t="s">
        <v>16</v>
      </c>
      <c r="D961" t="s">
        <v>19</v>
      </c>
      <c r="E961">
        <v>63</v>
      </c>
      <c r="F961">
        <v>69</v>
      </c>
      <c r="G961">
        <v>3</v>
      </c>
      <c r="H961" s="1">
        <v>5.7175925925925927E-3</v>
      </c>
      <c r="I961" t="s">
        <v>23</v>
      </c>
      <c r="J961" s="2" t="str">
        <f>HYPERLINK("https://www.nba.com/stats/events?CFID=&amp;CFPARAMS=&amp;GameEventID=361&amp;GameID=0022000472&amp;Season=2020-21&amp;flag=1&amp;title=Leonard%2027'%203PT%20%20(23%20PTS)%20(P.%20George%204%20AST)", "27' 3PT  (23 PTS) (P. George 4 AST)")</f>
        <v>27' 3PT  (23 PTS) (P. George 4 AST)</v>
      </c>
      <c r="K961" s="2" t="str">
        <f>HYPERLINK("https://www.nba.com/game/...-vs-...-0022000472/play-by-play?watchFullGame=true", "LAC vs BKN - Q3 08:14.00")</f>
        <v>LAC vs BKN - Q3 08:14.00</v>
      </c>
      <c r="L961">
        <v>27.05</v>
      </c>
      <c r="M961">
        <v>33.979999999999997</v>
      </c>
      <c r="N961">
        <v>58.65</v>
      </c>
      <c r="O961">
        <v>-43</v>
      </c>
      <c r="P961">
        <v>267</v>
      </c>
    </row>
    <row r="962" spans="1:16" x14ac:dyDescent="0.25">
      <c r="A962">
        <v>21600150</v>
      </c>
      <c r="B962">
        <v>2016</v>
      </c>
      <c r="C962" t="s">
        <v>32</v>
      </c>
      <c r="D962" t="s">
        <v>35</v>
      </c>
      <c r="E962">
        <v>8</v>
      </c>
      <c r="F962">
        <v>4</v>
      </c>
      <c r="G962">
        <v>1</v>
      </c>
      <c r="H962" s="1">
        <v>5.8796296296296296E-3</v>
      </c>
      <c r="I962" t="s">
        <v>18</v>
      </c>
      <c r="J962" s="2" t="str">
        <f>HYPERLINK("https://www.nba.com/stats/events?CFID=&amp;CFPARAMS=&amp;GameEventID=23&amp;GameID=0021600150&amp;Season=2016-17&amp;flag=1&amp;title=Leonard%204'%20Driving%20Floating%20Jump%20Shot%20(2%20PTS)%20(Parker%201%20AST)", "Leonard 4' Driving Floating Jump Shot (2 PTS) (Parker 1 AST)")</f>
        <v>Leonard 4' Driving Floating Jump Shot (2 PTS) (Parker 1 AST)</v>
      </c>
      <c r="K962" s="2" t="str">
        <f>HYPERLINK("https://www.nba.com/game/...-vs-...-0021600150/play-by-play?watchFullGame=true", "SAS vs MIA - Q1 08:28.00")</f>
        <v>SAS vs MIA - Q1 08:28.00</v>
      </c>
      <c r="L962">
        <v>4</v>
      </c>
      <c r="M962">
        <v>-42</v>
      </c>
      <c r="N962">
        <v>2</v>
      </c>
      <c r="O962">
        <v>-42</v>
      </c>
      <c r="P962">
        <v>2</v>
      </c>
    </row>
    <row r="963" spans="1:16" x14ac:dyDescent="0.25">
      <c r="A963">
        <v>21600134</v>
      </c>
      <c r="B963">
        <v>2016</v>
      </c>
      <c r="C963" t="s">
        <v>32</v>
      </c>
      <c r="D963" t="s">
        <v>49</v>
      </c>
      <c r="E963">
        <v>84</v>
      </c>
      <c r="F963">
        <v>94</v>
      </c>
      <c r="G963">
        <v>4</v>
      </c>
      <c r="H963" s="1">
        <v>3.7731481481481483E-3</v>
      </c>
      <c r="I963" t="s">
        <v>18</v>
      </c>
      <c r="J963" s="2" t="str">
        <f>HYPERLINK("https://www.nba.com/stats/events?CFID=&amp;CFPARAMS=&amp;GameEventID=477&amp;GameID=0021600134&amp;Season=2016-17&amp;flag=1&amp;title=Leonard%205'%20Driving%20Layup%20(14%20PTS)", "Leonard 5' Driving Layup (14 PTS)")</f>
        <v>Leonard 5' Driving Layup (14 PTS)</v>
      </c>
      <c r="K963" s="2" t="str">
        <f>HYPERLINK("https://www.nba.com/game/...-vs-...-0021600134/play-by-play?watchFullGame=true", "SAS vs HOU - Q4 05:26.00")</f>
        <v>SAS vs HOU - Q4 05:26.00</v>
      </c>
      <c r="L963">
        <v>5</v>
      </c>
      <c r="M963">
        <v>-42</v>
      </c>
      <c r="N963">
        <v>18</v>
      </c>
      <c r="O963">
        <v>-42</v>
      </c>
      <c r="P963">
        <v>18</v>
      </c>
    </row>
    <row r="964" spans="1:16" x14ac:dyDescent="0.25">
      <c r="A964">
        <v>21500945</v>
      </c>
      <c r="B964">
        <v>2015</v>
      </c>
      <c r="C964" t="s">
        <v>32</v>
      </c>
      <c r="D964" t="s">
        <v>19</v>
      </c>
      <c r="E964">
        <v>53</v>
      </c>
      <c r="F964">
        <v>72</v>
      </c>
      <c r="G964">
        <v>3</v>
      </c>
      <c r="H964" s="1">
        <v>5.1041666666666666E-3</v>
      </c>
      <c r="I964" t="s">
        <v>18</v>
      </c>
      <c r="J964" s="2" t="str">
        <f>HYPERLINK("https://www.nba.com/stats/events?CFID=&amp;CFPARAMS=&amp;GameEventID=294&amp;GameID=0021500945&amp;Season=2015-16&amp;flag=1&amp;title=Leonard%207'%20Jump%20Shot%20(15%20PTS)%20(Aldridge%204%20AST)", "Leonard 7' Jump Shot (15 PTS) (Aldridge 4 AST)")</f>
        <v>Leonard 7' Jump Shot (15 PTS) (Aldridge 4 AST)</v>
      </c>
      <c r="K964" s="2" t="str">
        <f>HYPERLINK("https://www.nba.com/game/...-vs-...-0021500945/play-by-play?watchFullGame=true", "SAS vs MIN - Q3 07:21.00")</f>
        <v>SAS vs MIN - Q3 07:21.00</v>
      </c>
      <c r="L964">
        <v>7</v>
      </c>
      <c r="M964">
        <v>-42</v>
      </c>
      <c r="N964">
        <v>51</v>
      </c>
      <c r="O964">
        <v>-42</v>
      </c>
      <c r="P964">
        <v>51</v>
      </c>
    </row>
    <row r="965" spans="1:16" x14ac:dyDescent="0.25">
      <c r="A965">
        <v>22200829</v>
      </c>
      <c r="B965">
        <v>2022</v>
      </c>
      <c r="C965" t="s">
        <v>32</v>
      </c>
      <c r="D965" t="s">
        <v>19</v>
      </c>
      <c r="E965">
        <v>74</v>
      </c>
      <c r="F965">
        <v>77</v>
      </c>
      <c r="G965">
        <v>3</v>
      </c>
      <c r="H965" s="1">
        <v>2.685185185185185E-3</v>
      </c>
      <c r="I965" t="s">
        <v>23</v>
      </c>
      <c r="J965" s="2" t="str">
        <f>HYPERLINK("https://www.nba.com/stats/events?CFID=&amp;CFPARAMS=&amp;GameEventID=400&amp;GameID=0022200829&amp;Season=2022-23&amp;flag=1&amp;title=Leonard%208'%20driving%20floating%20Jump%20Shot%20(13%20PTS)", "8' driving floating Jump Shot (13 PTS)")</f>
        <v>8' driving floating Jump Shot (13 PTS)</v>
      </c>
      <c r="K965" s="2" t="str">
        <f>HYPERLINK("https://www.nba.com/game/...-vs-...-0022200829/play-by-play?watchFullGame=true", "LAC vs DAL - Q3 03:52.00")</f>
        <v>LAC vs DAL - Q3 03:52.00</v>
      </c>
      <c r="L965">
        <v>8.06</v>
      </c>
      <c r="M965">
        <v>12.93</v>
      </c>
      <c r="N965">
        <v>58.33</v>
      </c>
      <c r="O965">
        <v>-42</v>
      </c>
      <c r="P965">
        <v>69</v>
      </c>
    </row>
    <row r="966" spans="1:16" x14ac:dyDescent="0.25">
      <c r="A966">
        <v>22400671</v>
      </c>
      <c r="B966">
        <v>2024</v>
      </c>
      <c r="C966" t="s">
        <v>32</v>
      </c>
      <c r="D966" t="s">
        <v>19</v>
      </c>
      <c r="E966">
        <v>70</v>
      </c>
      <c r="F966">
        <v>85</v>
      </c>
      <c r="G966">
        <v>3</v>
      </c>
      <c r="H966" s="1">
        <v>4.6412037037037038E-3</v>
      </c>
      <c r="I966" t="s">
        <v>23</v>
      </c>
      <c r="J966" s="2" t="str">
        <f>HYPERLINK("https://www.nba.com/stats/events?CFID=&amp;CFPARAMS=&amp;GameEventID=403&amp;GameID=0022400671&amp;Season=2024-25&amp;flag=1&amp;title=Leonard%2015'%20fadeaway%20Jump%20Shot%20(21%20PTS)%20(J.%20Harden%209%20AST)", "15' fadeaway Jump Shot (21 PTS) (J. Harden 9 AST)")</f>
        <v>15' fadeaway Jump Shot (21 PTS) (J. Harden 9 AST)</v>
      </c>
      <c r="K966" s="2" t="str">
        <f>HYPERLINK("https://www.nba.com/game/...-vs-...-0022400671/play-by-play?watchFullGame=true", "LAC vs SAS - Q3 06:41.00")</f>
        <v>LAC vs SAS - Q3 06:41.00</v>
      </c>
      <c r="L966">
        <v>15.17</v>
      </c>
      <c r="M966">
        <v>21.11</v>
      </c>
      <c r="N966">
        <v>58.33</v>
      </c>
      <c r="O966">
        <v>-42</v>
      </c>
      <c r="P966">
        <v>146</v>
      </c>
    </row>
    <row r="967" spans="1:16" x14ac:dyDescent="0.25">
      <c r="A967">
        <v>21501215</v>
      </c>
      <c r="B967">
        <v>2015</v>
      </c>
      <c r="C967" t="s">
        <v>32</v>
      </c>
      <c r="D967" t="s">
        <v>29</v>
      </c>
      <c r="E967">
        <v>88</v>
      </c>
      <c r="F967">
        <v>86</v>
      </c>
      <c r="G967">
        <v>4</v>
      </c>
      <c r="H967" s="1">
        <v>3.0902777777777777E-3</v>
      </c>
      <c r="I967" t="s">
        <v>18</v>
      </c>
      <c r="J967" s="2" t="str">
        <f>HYPERLINK("https://www.nba.com/stats/events?CFID=&amp;CFPARAMS=&amp;GameEventID=457&amp;GameID=0021501215&amp;Season=2015-16&amp;flag=1&amp;title=Leonard%2017'%20Pullup%20Jump%20Shot%20(18%20PTS)", "Leonard 17' Pullup Jump Shot (18 PTS)")</f>
        <v>Leonard 17' Pullup Jump Shot (18 PTS)</v>
      </c>
      <c r="K967" s="2" t="str">
        <f>HYPERLINK("https://www.nba.com/game/...-vs-...-0021501215/play-by-play?watchFullGame=true", "SAS vs OKC - Q4 04:27.00")</f>
        <v>SAS vs OKC - Q4 04:27.00</v>
      </c>
      <c r="L967">
        <v>17</v>
      </c>
      <c r="M967">
        <v>-42</v>
      </c>
      <c r="N967">
        <v>169</v>
      </c>
      <c r="O967">
        <v>-42</v>
      </c>
      <c r="P967">
        <v>169</v>
      </c>
    </row>
    <row r="968" spans="1:16" x14ac:dyDescent="0.25">
      <c r="A968">
        <v>21500224</v>
      </c>
      <c r="B968">
        <v>2015</v>
      </c>
      <c r="C968" t="s">
        <v>16</v>
      </c>
      <c r="D968" t="s">
        <v>19</v>
      </c>
      <c r="E968">
        <v>87</v>
      </c>
      <c r="F968">
        <v>83</v>
      </c>
      <c r="G968">
        <v>4</v>
      </c>
      <c r="H968" s="1">
        <v>1.7476851851851852E-4</v>
      </c>
      <c r="I968" t="s">
        <v>18</v>
      </c>
      <c r="J968" s="2" t="str">
        <f>HYPERLINK("https://www.nba.com/stats/events?CFID=&amp;CFPARAMS=&amp;GameEventID=479&amp;GameID=0021500224&amp;Season=2015-16&amp;flag=1&amp;title=Leonard%2024'%203PT%20Jump%20Shot%20(26%20PTS)%20(Ginobili%203%20AST)", "Leonard 24' 3PT Jump Shot (26 PTS) (Ginobili 3 AST)")</f>
        <v>Leonard 24' 3PT Jump Shot (26 PTS) (Ginobili 3 AST)</v>
      </c>
      <c r="K968" s="2" t="str">
        <f>HYPERLINK("https://www.nba.com/game/...-vs-...-0021500224/play-by-play?watchFullGame=true", "SAS vs DAL - Q4 00:15.10")</f>
        <v>SAS vs DAL - Q4 00:15.10</v>
      </c>
      <c r="L968">
        <v>24</v>
      </c>
      <c r="M968">
        <v>-42</v>
      </c>
      <c r="N968">
        <v>237</v>
      </c>
      <c r="O968">
        <v>-42</v>
      </c>
      <c r="P968">
        <v>237</v>
      </c>
    </row>
    <row r="969" spans="1:16" x14ac:dyDescent="0.25">
      <c r="A969">
        <v>41800302</v>
      </c>
      <c r="B969" t="s">
        <v>20</v>
      </c>
      <c r="C969" t="s">
        <v>32</v>
      </c>
      <c r="D969" t="s">
        <v>35</v>
      </c>
      <c r="E969">
        <v>72</v>
      </c>
      <c r="F969">
        <v>53</v>
      </c>
      <c r="G969">
        <v>3</v>
      </c>
      <c r="H969" s="1">
        <v>4.9652777777777777E-3</v>
      </c>
      <c r="I969" t="s">
        <v>21</v>
      </c>
      <c r="J969" s="2" t="str">
        <f>HYPERLINK("https://www.nba.com/stats/events?CFID=&amp;CFPARAMS=&amp;GameEventID=412&amp;GameID=0041800302&amp;Season=2018-19&amp;flag=1&amp;title=Leonard%204'%20Driving%20Floating%20Jump%20Shot%20(20%20PTS)", "Leonard 4' Driving Floating Jump Shot (20 PTS)")</f>
        <v>Leonard 4' Driving Floating Jump Shot (20 PTS)</v>
      </c>
      <c r="K969" s="2" t="str">
        <f>HYPERLINK("https://www.nba.com/game/...-vs-...-0041800302/play-by-play?watchFullGame=true", "TOR vs MIL - Q3 07:09.00")</f>
        <v>TOR vs MIL - Q3 07:09.00</v>
      </c>
      <c r="L969">
        <v>4</v>
      </c>
      <c r="M969">
        <v>-41</v>
      </c>
      <c r="N969">
        <v>2</v>
      </c>
      <c r="O969">
        <v>-41</v>
      </c>
      <c r="P969">
        <v>2</v>
      </c>
    </row>
    <row r="970" spans="1:16" x14ac:dyDescent="0.25">
      <c r="A970">
        <v>21300194</v>
      </c>
      <c r="B970">
        <v>2013</v>
      </c>
      <c r="C970" t="s">
        <v>32</v>
      </c>
      <c r="D970" t="s">
        <v>19</v>
      </c>
      <c r="E970">
        <v>2</v>
      </c>
      <c r="F970">
        <v>0</v>
      </c>
      <c r="G970">
        <v>1</v>
      </c>
      <c r="H970" s="1">
        <v>7.8356481481481489E-3</v>
      </c>
      <c r="I970" t="s">
        <v>18</v>
      </c>
      <c r="J970" s="2" t="str">
        <f>HYPERLINK("https://www.nba.com/stats/events?CFID=&amp;CFPARAMS=&amp;GameEventID=5&amp;GameID=0021300194&amp;Season=2013-14&amp;flag=1&amp;title=Leonard%204'%20Jump%20Shot%20(2%20PTS)%20(Duncan%201%20AST)", "Leonard 4' Jump Shot (2 PTS) (Duncan 1 AST)")</f>
        <v>Leonard 4' Jump Shot (2 PTS) (Duncan 1 AST)</v>
      </c>
      <c r="K970" s="2" t="str">
        <f>HYPERLINK("https://www.nba.com/game/...-vs-...-0021300194/play-by-play?watchFullGame=true", "SAS vs CLE - Q1 11:17.00")</f>
        <v>SAS vs CLE - Q1 11:17.00</v>
      </c>
      <c r="L970">
        <v>4</v>
      </c>
      <c r="M970">
        <v>-41</v>
      </c>
      <c r="N970">
        <v>11</v>
      </c>
      <c r="O970">
        <v>-41</v>
      </c>
      <c r="P970">
        <v>11</v>
      </c>
    </row>
    <row r="971" spans="1:16" x14ac:dyDescent="0.25">
      <c r="A971">
        <v>22000224</v>
      </c>
      <c r="B971">
        <v>2020</v>
      </c>
      <c r="C971" t="s">
        <v>32</v>
      </c>
      <c r="D971" t="s">
        <v>19</v>
      </c>
      <c r="E971">
        <v>20</v>
      </c>
      <c r="F971">
        <v>22</v>
      </c>
      <c r="G971">
        <v>1</v>
      </c>
      <c r="H971" s="1">
        <v>2.662037037037037E-3</v>
      </c>
      <c r="I971" t="s">
        <v>23</v>
      </c>
      <c r="J971" s="2" t="str">
        <f>HYPERLINK("https://www.nba.com/stats/events?CFID=&amp;CFPARAMS=&amp;GameEventID=101&amp;GameID=0022000224&amp;Season=2020-21&amp;flag=1&amp;title=Leonard%209'%20pullup%20Jump%20Shot%20(8%20PTS)", "9' pullup Jump Shot (8 PTS)")</f>
        <v>9' pullup Jump Shot (8 PTS)</v>
      </c>
      <c r="K971" s="2" t="str">
        <f>HYPERLINK("https://www.nba.com/game/...-vs-...-0022000224/play-by-play?watchFullGame=true", "LAC vs SAC - Q1 03:50.00")</f>
        <v>LAC vs SAC - Q1 03:50.00</v>
      </c>
      <c r="L971">
        <v>9.7899999999999991</v>
      </c>
      <c r="M971">
        <v>84.97</v>
      </c>
      <c r="N971">
        <v>41.74</v>
      </c>
      <c r="O971">
        <v>-41</v>
      </c>
      <c r="P971">
        <v>89</v>
      </c>
    </row>
    <row r="972" spans="1:16" x14ac:dyDescent="0.25">
      <c r="A972">
        <v>22000520</v>
      </c>
      <c r="B972">
        <v>2020</v>
      </c>
      <c r="C972" t="s">
        <v>32</v>
      </c>
      <c r="D972" t="s">
        <v>19</v>
      </c>
      <c r="E972">
        <v>53</v>
      </c>
      <c r="F972">
        <v>48</v>
      </c>
      <c r="G972">
        <v>2</v>
      </c>
      <c r="H972" s="1">
        <v>1.3194444444444446E-4</v>
      </c>
      <c r="I972" t="s">
        <v>23</v>
      </c>
      <c r="J972" s="2" t="str">
        <f>HYPERLINK("https://www.nba.com/stats/events?CFID=&amp;CFPARAMS=&amp;GameEventID=305&amp;GameID=0022000520&amp;Season=2020-21&amp;flag=1&amp;title=Leonard%2010'%20turnaround%20fadeaway%20Jump%20Shot%20(16%20PTS)", "10' turnaround fadeaway Jump Shot (16 PTS)")</f>
        <v>10' turnaround fadeaway Jump Shot (16 PTS)</v>
      </c>
      <c r="K972" s="2" t="str">
        <f>HYPERLINK("https://www.nba.com/game/...-vs-...-0022000520/play-by-play?watchFullGame=true", "LAC vs MIL - Q2 00:11.40")</f>
        <v>LAC vs MIL - Q2 00:11.40</v>
      </c>
      <c r="L972">
        <v>10.81</v>
      </c>
      <c r="M972">
        <v>83.79</v>
      </c>
      <c r="N972">
        <v>41.74</v>
      </c>
      <c r="O972">
        <v>-41</v>
      </c>
      <c r="P972">
        <v>100</v>
      </c>
    </row>
    <row r="973" spans="1:16" x14ac:dyDescent="0.25">
      <c r="A973">
        <v>22000472</v>
      </c>
      <c r="B973">
        <v>2020</v>
      </c>
      <c r="C973" t="s">
        <v>16</v>
      </c>
      <c r="D973" t="s">
        <v>19</v>
      </c>
      <c r="E973">
        <v>18</v>
      </c>
      <c r="F973">
        <v>12</v>
      </c>
      <c r="G973">
        <v>1</v>
      </c>
      <c r="H973" s="1">
        <v>3.5879629629629629E-3</v>
      </c>
      <c r="I973" t="s">
        <v>23</v>
      </c>
      <c r="J973" s="2" t="str">
        <f>HYPERLINK("https://www.nba.com/stats/events?CFID=&amp;CFPARAMS=&amp;GameEventID=76&amp;GameID=0022000472&amp;Season=2020-21&amp;flag=1&amp;title=Leonard%2026'%203PT%20running%20pullup%20(11%20PTS)", "26' 3PT running pullup (11 PTS)")</f>
        <v>26' 3PT running pullup (11 PTS)</v>
      </c>
      <c r="K973" s="2" t="str">
        <f>HYPERLINK("https://www.nba.com/game/...-vs-...-0022000472/play-by-play?watchFullGame=true", "LAC vs BKN - Q1 05:10.00")</f>
        <v>LAC vs BKN - Q1 05:10.00</v>
      </c>
      <c r="L973">
        <v>26.38</v>
      </c>
      <c r="M973">
        <v>66.7</v>
      </c>
      <c r="N973">
        <v>41.74</v>
      </c>
      <c r="O973">
        <v>-41</v>
      </c>
      <c r="P973">
        <v>260</v>
      </c>
    </row>
    <row r="974" spans="1:16" x14ac:dyDescent="0.25">
      <c r="A974">
        <v>22000142</v>
      </c>
      <c r="B974">
        <v>2020</v>
      </c>
      <c r="C974" t="s">
        <v>16</v>
      </c>
      <c r="D974" t="s">
        <v>19</v>
      </c>
      <c r="E974">
        <v>80</v>
      </c>
      <c r="F974">
        <v>80</v>
      </c>
      <c r="G974">
        <v>3</v>
      </c>
      <c r="H974" s="1">
        <v>4.0509259259259257E-3</v>
      </c>
      <c r="I974" t="s">
        <v>23</v>
      </c>
      <c r="J974" s="2" t="str">
        <f>HYPERLINK("https://www.nba.com/stats/events?CFID=&amp;CFPARAMS=&amp;GameEventID=385&amp;GameID=0022000142&amp;Season=2020-21&amp;flag=1&amp;title=Leonard%2026'%203PT%20%20(26%20PTS)%20(P.%20Beverley%205%20AST)", "26' 3PT  (26 PTS) (P. Beverley 5 AST)")</f>
        <v>26' 3PT  (26 PTS) (P. Beverley 5 AST)</v>
      </c>
      <c r="K974" s="2" t="str">
        <f>HYPERLINK("https://www.nba.com/game/...-vs-...-0022000142/play-by-play?watchFullGame=true", "LAC vs CHI - Q3 05:50.00")</f>
        <v>LAC vs CHI - Q3 05:50.00</v>
      </c>
      <c r="L974">
        <v>26.38</v>
      </c>
      <c r="M974">
        <v>66.7</v>
      </c>
      <c r="N974">
        <v>41.74</v>
      </c>
      <c r="O974">
        <v>-41</v>
      </c>
      <c r="P974">
        <v>260</v>
      </c>
    </row>
    <row r="975" spans="1:16" x14ac:dyDescent="0.25">
      <c r="A975">
        <v>21401168</v>
      </c>
      <c r="B975">
        <v>2014</v>
      </c>
      <c r="C975" t="s">
        <v>32</v>
      </c>
      <c r="D975" t="s">
        <v>19</v>
      </c>
      <c r="E975">
        <v>43</v>
      </c>
      <c r="F975">
        <v>49</v>
      </c>
      <c r="G975">
        <v>2</v>
      </c>
      <c r="H975" s="1">
        <v>3.7152777777777778E-3</v>
      </c>
      <c r="I975" t="s">
        <v>18</v>
      </c>
      <c r="J975" s="2" t="str">
        <f>HYPERLINK("https://www.nba.com/stats/events?CFID=&amp;CFPARAMS=&amp;GameEventID=202&amp;GameID=0021401168&amp;Season=2014-15&amp;flag=1&amp;title=Leonard%208'%20Jump%20Shot%20(4%20PTS)", "Leonard 8' Jump Shot (4 PTS)")</f>
        <v>Leonard 8' Jump Shot (4 PTS)</v>
      </c>
      <c r="K975" s="2" t="str">
        <f>HYPERLINK("https://www.nba.com/game/...-vs-...-0021401168/play-by-play?watchFullGame=true", "SAS vs HOU - Q2 05:21.00")</f>
        <v>SAS vs HOU - Q2 05:21.00</v>
      </c>
      <c r="L975">
        <v>8</v>
      </c>
      <c r="M975">
        <v>-40</v>
      </c>
      <c r="N975">
        <v>67</v>
      </c>
      <c r="O975">
        <v>-40</v>
      </c>
      <c r="P975">
        <v>67</v>
      </c>
    </row>
    <row r="976" spans="1:16" x14ac:dyDescent="0.25">
      <c r="A976">
        <v>21400814</v>
      </c>
      <c r="B976">
        <v>2014</v>
      </c>
      <c r="C976" t="s">
        <v>32</v>
      </c>
      <c r="D976" t="s">
        <v>29</v>
      </c>
      <c r="E976">
        <v>12</v>
      </c>
      <c r="F976">
        <v>11</v>
      </c>
      <c r="G976">
        <v>1</v>
      </c>
      <c r="H976" s="1">
        <v>4.2824074074074075E-3</v>
      </c>
      <c r="I976" t="s">
        <v>18</v>
      </c>
      <c r="J976" s="2" t="str">
        <f>HYPERLINK("https://www.nba.com/stats/events?CFID=&amp;CFPARAMS=&amp;GameEventID=51&amp;GameID=0021400814&amp;Season=2014-15&amp;flag=1&amp;title=Leonard%2010'%20Pullup%20Jump%20Shot%20(6%20PTS)%20(Ginobili%201%20AST)", "Leonard 10' Pullup Jump Shot (6 PTS) (Ginobili 1 AST)")</f>
        <v>Leonard 10' Pullup Jump Shot (6 PTS) (Ginobili 1 AST)</v>
      </c>
      <c r="K976" s="2" t="str">
        <f>HYPERLINK("https://www.nba.com/game/...-vs-...-0021400814/play-by-play?watchFullGame=true", "SAS vs GSW - Q1 06:10.00")</f>
        <v>SAS vs GSW - Q1 06:10.00</v>
      </c>
      <c r="L976">
        <v>10</v>
      </c>
      <c r="M976">
        <v>-40</v>
      </c>
      <c r="N976">
        <v>89</v>
      </c>
      <c r="O976">
        <v>-40</v>
      </c>
      <c r="P976">
        <v>89</v>
      </c>
    </row>
    <row r="977" spans="1:16" x14ac:dyDescent="0.25">
      <c r="A977">
        <v>22000366</v>
      </c>
      <c r="B977">
        <v>2020</v>
      </c>
      <c r="C977" t="s">
        <v>32</v>
      </c>
      <c r="D977" t="s">
        <v>19</v>
      </c>
      <c r="E977">
        <v>62</v>
      </c>
      <c r="F977">
        <v>62</v>
      </c>
      <c r="G977">
        <v>3</v>
      </c>
      <c r="H977" s="1">
        <v>5.6134259259259262E-3</v>
      </c>
      <c r="I977" t="s">
        <v>23</v>
      </c>
      <c r="J977" s="2" t="str">
        <f>HYPERLINK("https://www.nba.com/stats/events?CFID=&amp;CFPARAMS=&amp;GameEventID=368&amp;GameID=0022000366&amp;Season=2020-21&amp;flag=1&amp;title=Leonard%2010'%20running%20pullup%20Jump%20Shot%20(11%20PTS)", "10' running pullup Jump Shot (11 PTS)")</f>
        <v>10' running pullup Jump Shot (11 PTS)</v>
      </c>
      <c r="K977" s="2" t="str">
        <f>HYPERLINK("https://www.nba.com/game/...-vs-...-0022000366/play-by-play?watchFullGame=true", "LAC vs SAC - Q3 08:05.00")</f>
        <v>LAC vs SAC - Q3 08:05.00</v>
      </c>
      <c r="L977">
        <v>10.54</v>
      </c>
      <c r="M977">
        <v>15.98</v>
      </c>
      <c r="N977">
        <v>57.91</v>
      </c>
      <c r="O977">
        <v>-40</v>
      </c>
      <c r="P977">
        <v>98</v>
      </c>
    </row>
    <row r="978" spans="1:16" x14ac:dyDescent="0.25">
      <c r="A978">
        <v>21900276</v>
      </c>
      <c r="B978">
        <v>2019</v>
      </c>
      <c r="C978" t="s">
        <v>32</v>
      </c>
      <c r="D978" t="s">
        <v>22</v>
      </c>
      <c r="E978">
        <v>38</v>
      </c>
      <c r="F978">
        <v>40</v>
      </c>
      <c r="G978">
        <v>2</v>
      </c>
      <c r="H978" s="1">
        <v>5.0231481481481481E-3</v>
      </c>
      <c r="I978" t="s">
        <v>23</v>
      </c>
      <c r="J978" s="2" t="str">
        <f>HYPERLINK("https://www.nba.com/stats/events?CFID=&amp;CFPARAMS=&amp;GameEventID=214&amp;GameID=0021900276&amp;Season=2019-20&amp;flag=1&amp;title=Leonard%2012'%20jumpshot%20(6%20PTS)", "12' jumpshot (6 PTS)")</f>
        <v>12' jumpshot (6 PTS)</v>
      </c>
      <c r="K978" s="2" t="str">
        <f>HYPERLINK("https://www.nba.com/game/...-vs-...-0021900276/play-by-play?watchFullGame=true", "LAC vs SAS - Q2 07:14.00")</f>
        <v>LAC vs SAS - Q2 07:14.00</v>
      </c>
      <c r="L978">
        <v>12.46</v>
      </c>
      <c r="M978">
        <v>17.559999999999999</v>
      </c>
      <c r="N978">
        <v>57.91</v>
      </c>
      <c r="O978">
        <v>-40</v>
      </c>
      <c r="P978">
        <v>113</v>
      </c>
    </row>
    <row r="979" spans="1:16" x14ac:dyDescent="0.25">
      <c r="A979">
        <v>22300350</v>
      </c>
      <c r="B979">
        <v>2023</v>
      </c>
      <c r="C979" t="s">
        <v>32</v>
      </c>
      <c r="D979" t="s">
        <v>19</v>
      </c>
      <c r="E979">
        <v>14</v>
      </c>
      <c r="F979">
        <v>16</v>
      </c>
      <c r="G979">
        <v>1</v>
      </c>
      <c r="H979" s="1">
        <v>4.6990740740740743E-3</v>
      </c>
      <c r="I979" t="s">
        <v>23</v>
      </c>
      <c r="J979" s="2" t="str">
        <f>HYPERLINK("https://www.nba.com/stats/events?CFID=&amp;CFPARAMS=&amp;GameEventID=66&amp;GameID=0022300350&amp;Season=2023-24&amp;flag=1&amp;title=Leonard%2012'%20fadeaway%20Jump%20Shot%20(6%20PTS)%20(P.%20George%202%20AST)", "12' fadeaway Jump Shot (6 PTS) (P. George 2 AST)")</f>
        <v>12' fadeaway Jump Shot (6 PTS) (P. George 2 AST)</v>
      </c>
      <c r="K979" s="2" t="str">
        <f>HYPERLINK("https://www.nba.com/game/...-vs-...-0022300350/play-by-play?watchFullGame=true", "LAC vs IND - Q1 06:46.00")</f>
        <v>LAC vs IND - Q1 06:46.00</v>
      </c>
      <c r="L979">
        <v>12.16</v>
      </c>
      <c r="M979">
        <v>82.21</v>
      </c>
      <c r="N979">
        <v>41.91</v>
      </c>
      <c r="O979">
        <v>-40</v>
      </c>
      <c r="P979">
        <v>115</v>
      </c>
    </row>
    <row r="980" spans="1:16" x14ac:dyDescent="0.25">
      <c r="A980">
        <v>41800305</v>
      </c>
      <c r="B980" t="s">
        <v>20</v>
      </c>
      <c r="C980" t="s">
        <v>32</v>
      </c>
      <c r="D980" t="s">
        <v>33</v>
      </c>
      <c r="E980">
        <v>77</v>
      </c>
      <c r="F980">
        <v>76</v>
      </c>
      <c r="G980">
        <v>4</v>
      </c>
      <c r="H980" s="1">
        <v>7.1759259259259259E-3</v>
      </c>
      <c r="I980" t="s">
        <v>21</v>
      </c>
      <c r="J980" s="2" t="str">
        <f>HYPERLINK("https://www.nba.com/stats/events?CFID=&amp;CFPARAMS=&amp;GameEventID=497&amp;GameID=0041800305&amp;Season=2018-19&amp;flag=1&amp;title=Leonard%2014'%20Fadeaway%20Jumper%20(24%20PTS)", "Leonard 14' Fadeaway Jumper (24 PTS)")</f>
        <v>Leonard 14' Fadeaway Jumper (24 PTS)</v>
      </c>
      <c r="K980" s="2" t="str">
        <f>HYPERLINK("https://www.nba.com/game/...-vs-...-0041800305/play-by-play?watchFullGame=true", "TOR vs MIL - Q4 10:20.00")</f>
        <v>TOR vs MIL - Q4 10:20.00</v>
      </c>
      <c r="L980">
        <v>14</v>
      </c>
      <c r="M980">
        <v>-40</v>
      </c>
      <c r="N980">
        <v>136</v>
      </c>
      <c r="O980">
        <v>-40</v>
      </c>
      <c r="P980">
        <v>136</v>
      </c>
    </row>
    <row r="981" spans="1:16" x14ac:dyDescent="0.25">
      <c r="A981">
        <v>21600336</v>
      </c>
      <c r="B981">
        <v>2016</v>
      </c>
      <c r="C981" t="s">
        <v>32</v>
      </c>
      <c r="D981" t="s">
        <v>19</v>
      </c>
      <c r="E981">
        <v>76</v>
      </c>
      <c r="F981">
        <v>68</v>
      </c>
      <c r="G981">
        <v>4</v>
      </c>
      <c r="H981" s="1">
        <v>6.5162037037037037E-3</v>
      </c>
      <c r="I981" t="s">
        <v>18</v>
      </c>
      <c r="J981" s="2" t="str">
        <f>HYPERLINK("https://www.nba.com/stats/events?CFID=&amp;CFPARAMS=&amp;GameEventID=427&amp;GameID=0021600336&amp;Season=2016-17&amp;flag=1&amp;title=Leonard%2017'%20Jump%20Shot%20(16%20PTS)%20(Gasol%203%20AST)", "Leonard 17' Jump Shot (16 PTS) (Gasol 3 AST)")</f>
        <v>Leonard 17' Jump Shot (16 PTS) (Gasol 3 AST)</v>
      </c>
      <c r="K981" s="2" t="str">
        <f>HYPERLINK("https://www.nba.com/game/...-vs-...-0021600336/play-by-play?watchFullGame=true", "SAS vs CHI - Q4 09:23.00")</f>
        <v>SAS vs CHI - Q4 09:23.00</v>
      </c>
      <c r="L981">
        <v>17</v>
      </c>
      <c r="M981">
        <v>-40</v>
      </c>
      <c r="N981">
        <v>169</v>
      </c>
      <c r="O981">
        <v>-40</v>
      </c>
      <c r="P981">
        <v>169</v>
      </c>
    </row>
    <row r="982" spans="1:16" x14ac:dyDescent="0.25">
      <c r="A982">
        <v>21300170</v>
      </c>
      <c r="B982">
        <v>2013</v>
      </c>
      <c r="C982" t="s">
        <v>32</v>
      </c>
      <c r="D982" t="s">
        <v>19</v>
      </c>
      <c r="E982">
        <v>53</v>
      </c>
      <c r="F982">
        <v>50</v>
      </c>
      <c r="G982">
        <v>3</v>
      </c>
      <c r="H982" s="1">
        <v>6.7592592592592591E-3</v>
      </c>
      <c r="I982" t="s">
        <v>18</v>
      </c>
      <c r="J982" s="2" t="str">
        <f>HYPERLINK("https://www.nba.com/stats/events?CFID=&amp;CFPARAMS=&amp;GameEventID=258&amp;GameID=0021300170&amp;Season=2013-14&amp;flag=1&amp;title=Leonard%2019'%20Jump%20Shot%20(8%20PTS)", "Leonard 19' Jump Shot (8 PTS)")</f>
        <v>Leonard 19' Jump Shot (8 PTS)</v>
      </c>
      <c r="K982" s="2" t="str">
        <f>HYPERLINK("https://www.nba.com/game/...-vs-...-0021300170/play-by-play?watchFullGame=true", "SAS vs BOS - Q3 09:44.00")</f>
        <v>SAS vs BOS - Q3 09:44.00</v>
      </c>
      <c r="L982">
        <v>19</v>
      </c>
      <c r="M982">
        <v>-40</v>
      </c>
      <c r="N982">
        <v>187</v>
      </c>
      <c r="O982">
        <v>-40</v>
      </c>
      <c r="P982">
        <v>187</v>
      </c>
    </row>
    <row r="983" spans="1:16" x14ac:dyDescent="0.25">
      <c r="A983">
        <v>21600425</v>
      </c>
      <c r="B983">
        <v>2016</v>
      </c>
      <c r="C983" t="s">
        <v>32</v>
      </c>
      <c r="D983" t="s">
        <v>29</v>
      </c>
      <c r="E983">
        <v>58</v>
      </c>
      <c r="F983">
        <v>63</v>
      </c>
      <c r="G983">
        <v>3</v>
      </c>
      <c r="H983" s="1">
        <v>4.5601851851851853E-3</v>
      </c>
      <c r="I983" t="s">
        <v>18</v>
      </c>
      <c r="J983" s="2" t="str">
        <f>HYPERLINK("https://www.nba.com/stats/events?CFID=&amp;CFPARAMS=&amp;GameEventID=308&amp;GameID=0021600425&amp;Season=2016-17&amp;flag=1&amp;title=Leonard%2020'%20Pullup%20Jump%20Shot%20(15%20PTS)", "Leonard 20' Pullup Jump Shot (15 PTS)")</f>
        <v>Leonard 20' Pullup Jump Shot (15 PTS)</v>
      </c>
      <c r="K983" s="2" t="str">
        <f>HYPERLINK("https://www.nba.com/game/...-vs-...-0021600425/play-by-play?watchFullGame=true", "SAS vs HOU - Q3 06:34.00")</f>
        <v>SAS vs HOU - Q3 06:34.00</v>
      </c>
      <c r="L983">
        <v>20</v>
      </c>
      <c r="M983">
        <v>-40</v>
      </c>
      <c r="N983">
        <v>193</v>
      </c>
      <c r="O983">
        <v>-40</v>
      </c>
      <c r="P983">
        <v>193</v>
      </c>
    </row>
    <row r="984" spans="1:16" x14ac:dyDescent="0.25">
      <c r="A984">
        <v>21600240</v>
      </c>
      <c r="B984">
        <v>2016</v>
      </c>
      <c r="C984" t="s">
        <v>16</v>
      </c>
      <c r="D984" t="s">
        <v>29</v>
      </c>
      <c r="E984">
        <v>12</v>
      </c>
      <c r="F984">
        <v>12</v>
      </c>
      <c r="G984">
        <v>1</v>
      </c>
      <c r="H984" s="1">
        <v>4.8379629629629632E-3</v>
      </c>
      <c r="I984" t="s">
        <v>18</v>
      </c>
      <c r="J984" s="2" t="str">
        <f>HYPERLINK("https://www.nba.com/stats/events?CFID=&amp;CFPARAMS=&amp;GameEventID=36&amp;GameID=0021600240&amp;Season=2016-17&amp;flag=1&amp;title=Leonard%2027'%203PT%20Pullup%20Jump%20Shot%20(6%20PTS)", "Leonard 27' 3PT Pullup Jump Shot (6 PTS)")</f>
        <v>Leonard 27' 3PT Pullup Jump Shot (6 PTS)</v>
      </c>
      <c r="K984" s="2" t="str">
        <f>HYPERLINK("https://www.nba.com/game/...-vs-...-0021600240/play-by-play?watchFullGame=true", "SAS vs WAS - Q1 06:58.00")</f>
        <v>SAS vs WAS - Q1 06:58.00</v>
      </c>
      <c r="L984">
        <v>27</v>
      </c>
      <c r="M984">
        <v>-40</v>
      </c>
      <c r="N984">
        <v>267</v>
      </c>
      <c r="O984">
        <v>-40</v>
      </c>
      <c r="P984">
        <v>267</v>
      </c>
    </row>
    <row r="985" spans="1:16" x14ac:dyDescent="0.25">
      <c r="A985">
        <v>22400659</v>
      </c>
      <c r="B985">
        <v>2024</v>
      </c>
      <c r="C985" t="s">
        <v>32</v>
      </c>
      <c r="D985" t="s">
        <v>19</v>
      </c>
      <c r="E985">
        <v>63</v>
      </c>
      <c r="F985">
        <v>56</v>
      </c>
      <c r="G985">
        <v>3</v>
      </c>
      <c r="H985" s="1">
        <v>6.2962962962962964E-3</v>
      </c>
      <c r="I985" t="s">
        <v>23</v>
      </c>
      <c r="J985" s="2" t="str">
        <f>HYPERLINK("https://www.nba.com/stats/events?CFID=&amp;CFPARAMS=&amp;GameEventID=324&amp;GameID=0022400659&amp;Season=2024-25&amp;flag=1&amp;title=Leonard%20turnaround%20fadeaway%20Jump%20Shot%20(9%20PTS)", "Turnaround fadeaway Jump Shot (9 PTS)")</f>
        <v>Turnaround fadeaway Jump Shot (9 PTS)</v>
      </c>
      <c r="K985" s="2" t="str">
        <f>HYPERLINK("https://www.nba.com/game/...-vs-...-0022400659/play-by-play?watchFullGame=true", "LAC vs PHX - Q3 09:04.00")</f>
        <v>LAC vs PHX - Q3 09:04.00</v>
      </c>
      <c r="L985">
        <v>5.32</v>
      </c>
      <c r="M985">
        <v>9.41</v>
      </c>
      <c r="N985">
        <v>57.84</v>
      </c>
      <c r="O985">
        <v>-39</v>
      </c>
      <c r="P985">
        <v>36</v>
      </c>
    </row>
    <row r="986" spans="1:16" x14ac:dyDescent="0.25">
      <c r="A986">
        <v>22300160</v>
      </c>
      <c r="B986">
        <v>2023</v>
      </c>
      <c r="C986" t="s">
        <v>32</v>
      </c>
      <c r="D986" t="s">
        <v>44</v>
      </c>
      <c r="E986">
        <v>94</v>
      </c>
      <c r="F986">
        <v>90</v>
      </c>
      <c r="G986">
        <v>4</v>
      </c>
      <c r="H986" s="1">
        <v>1.3310185185185185E-3</v>
      </c>
      <c r="I986" t="s">
        <v>23</v>
      </c>
      <c r="J986" s="2" t="str">
        <f>HYPERLINK("https://www.nba.com/stats/events?CFID=&amp;CFPARAMS=&amp;GameEventID=613&amp;GameID=0022300160&amp;Season=2023-24&amp;flag=1&amp;title=Leonard%207'%20turnaround%20Hook%20(17%20PTS)%20(R.%20Westbrook%207%20AST)", "7' turnaround Hook (17 PTS) (R. Westbrook 7 AST)")</f>
        <v>7' turnaround Hook (17 PTS) (R. Westbrook 7 AST)</v>
      </c>
      <c r="K986" s="2" t="str">
        <f>HYPERLINK("https://www.nba.com/game/...-vs-...-0022300160/play-by-play?watchFullGame=true", "LAC vs BKN - Q4 01:55.00")</f>
        <v>LAC vs BKN - Q4 01:55.00</v>
      </c>
      <c r="L986">
        <v>7.43</v>
      </c>
      <c r="M986">
        <v>12.3</v>
      </c>
      <c r="N986">
        <v>57.84</v>
      </c>
      <c r="O986">
        <v>-39</v>
      </c>
      <c r="P986">
        <v>63</v>
      </c>
    </row>
    <row r="987" spans="1:16" x14ac:dyDescent="0.25">
      <c r="A987">
        <v>22300646</v>
      </c>
      <c r="B987">
        <v>2023</v>
      </c>
      <c r="C987" t="s">
        <v>32</v>
      </c>
      <c r="D987" t="s">
        <v>19</v>
      </c>
      <c r="E987">
        <v>46</v>
      </c>
      <c r="F987">
        <v>70</v>
      </c>
      <c r="G987">
        <v>3</v>
      </c>
      <c r="H987" s="1">
        <v>4.7453703703703703E-3</v>
      </c>
      <c r="I987" t="s">
        <v>23</v>
      </c>
      <c r="J987" s="2" t="str">
        <f>HYPERLINK("https://www.nba.com/stats/events?CFID=&amp;CFPARAMS=&amp;GameEventID=379&amp;GameID=0022300646&amp;Season=2023-24&amp;flag=1&amp;title=Leonard%20pullup%20Jump%20Shot%20(16%20PTS)", "Pullup Jump Shot (16 PTS)")</f>
        <v>Pullup Jump Shot (16 PTS)</v>
      </c>
      <c r="K987" s="2" t="str">
        <f>HYPERLINK("https://www.nba.com/game/...-vs-...-0022300646/play-by-play?watchFullGame=true", "LAC vs BOS - Q3 06:50.00")</f>
        <v>LAC vs BOS - Q3 06:50.00</v>
      </c>
      <c r="L987">
        <v>5.4</v>
      </c>
      <c r="M987">
        <v>9.67</v>
      </c>
      <c r="N987">
        <v>57.6</v>
      </c>
      <c r="O987">
        <v>-38</v>
      </c>
      <c r="P987">
        <v>38</v>
      </c>
    </row>
    <row r="988" spans="1:16" x14ac:dyDescent="0.25">
      <c r="A988">
        <v>22300553</v>
      </c>
      <c r="B988">
        <v>2023</v>
      </c>
      <c r="C988" t="s">
        <v>32</v>
      </c>
      <c r="D988" t="s">
        <v>19</v>
      </c>
      <c r="E988">
        <v>97</v>
      </c>
      <c r="F988">
        <v>85</v>
      </c>
      <c r="G988">
        <v>4</v>
      </c>
      <c r="H988" s="1">
        <v>3.4837962962962965E-3</v>
      </c>
      <c r="I988" t="s">
        <v>23</v>
      </c>
      <c r="J988" s="2" t="str">
        <f>HYPERLINK("https://www.nba.com/stats/events?CFID=&amp;CFPARAMS=&amp;GameEventID=555&amp;GameID=0022300553&amp;Season=2023-24&amp;flag=1&amp;title=Leonard%2010'%20step%20back%20Jump%20Shot%20(26%20PTS)%20(R.%20Westbrook%2011%20AST)", "10' step back Jump Shot (26 PTS) (R. Westbrook 11 AST)")</f>
        <v>10' step back Jump Shot (26 PTS) (R. Westbrook 11 AST)</v>
      </c>
      <c r="K988" s="2" t="str">
        <f>HYPERLINK("https://www.nba.com/game/...-vs-...-0022300553/play-by-play?watchFullGame=true", "LAC vs MIN - Q4 05:01.00")</f>
        <v>LAC vs MIN - Q4 05:01.00</v>
      </c>
      <c r="L988">
        <v>10.11</v>
      </c>
      <c r="M988">
        <v>84.44</v>
      </c>
      <c r="N988">
        <v>42.4</v>
      </c>
      <c r="O988">
        <v>-38</v>
      </c>
      <c r="P988">
        <v>94</v>
      </c>
    </row>
    <row r="989" spans="1:16" x14ac:dyDescent="0.25">
      <c r="A989">
        <v>22300618</v>
      </c>
      <c r="B989">
        <v>2023</v>
      </c>
      <c r="C989" t="s">
        <v>32</v>
      </c>
      <c r="D989" t="s">
        <v>19</v>
      </c>
      <c r="E989">
        <v>124</v>
      </c>
      <c r="F989">
        <v>114</v>
      </c>
      <c r="G989">
        <v>4</v>
      </c>
      <c r="H989" s="1">
        <v>1.7939814814814815E-3</v>
      </c>
      <c r="I989" t="s">
        <v>23</v>
      </c>
      <c r="J989" s="2" t="str">
        <f>HYPERLINK("https://www.nba.com/stats/events?CFID=&amp;CFPARAMS=&amp;GameEventID=597&amp;GameID=0022300618&amp;Season=2023-24&amp;flag=1&amp;title=Leonard%2012'%20turnaround%20Jump%20Shot%20(25%20PTS)", "12' turnaround Jump Shot (25 PTS)")</f>
        <v>12' turnaround Jump Shot (25 PTS)</v>
      </c>
      <c r="K989" s="2" t="str">
        <f>HYPERLINK("https://www.nba.com/game/...-vs-...-0022300618/play-by-play?watchFullGame=true", "LAC vs LAL - Q4 02:35.00")</f>
        <v>LAC vs LAL - Q4 02:35.00</v>
      </c>
      <c r="L989">
        <v>12.32</v>
      </c>
      <c r="M989">
        <v>18.05</v>
      </c>
      <c r="N989">
        <v>57.6</v>
      </c>
      <c r="O989">
        <v>-38</v>
      </c>
      <c r="P989">
        <v>117</v>
      </c>
    </row>
    <row r="990" spans="1:16" x14ac:dyDescent="0.25">
      <c r="A990">
        <v>22000400</v>
      </c>
      <c r="B990">
        <v>2020</v>
      </c>
      <c r="C990" t="s">
        <v>32</v>
      </c>
      <c r="D990" t="s">
        <v>19</v>
      </c>
      <c r="E990">
        <v>97</v>
      </c>
      <c r="F990">
        <v>114</v>
      </c>
      <c r="G990">
        <v>4</v>
      </c>
      <c r="H990" s="1">
        <v>3.2986111111111111E-3</v>
      </c>
      <c r="I990" t="s">
        <v>23</v>
      </c>
      <c r="J990" s="2" t="str">
        <f>HYPERLINK("https://www.nba.com/stats/events?CFID=&amp;CFPARAMS=&amp;GameEventID=524&amp;GameID=0022000400&amp;Season=2020-21&amp;flag=1&amp;title=Leonard%2013'%20turnaround%20Jump%20Shot%20(30%20PTS)", "13' turnaround Jump Shot (30 PTS)")</f>
        <v>13' turnaround Jump Shot (30 PTS)</v>
      </c>
      <c r="K990" s="2" t="str">
        <f>HYPERLINK("https://www.nba.com/game/...-vs-...-0022000400/play-by-play?watchFullGame=true", "LAC vs CHI - Q4 04:45.00")</f>
        <v>LAC vs CHI - Q4 04:45.00</v>
      </c>
      <c r="L990">
        <v>13.77</v>
      </c>
      <c r="M990">
        <v>19.66</v>
      </c>
      <c r="N990">
        <v>57.67</v>
      </c>
      <c r="O990">
        <v>-38</v>
      </c>
      <c r="P990">
        <v>132</v>
      </c>
    </row>
    <row r="991" spans="1:16" x14ac:dyDescent="0.25">
      <c r="A991">
        <v>22200945</v>
      </c>
      <c r="B991">
        <v>2022</v>
      </c>
      <c r="C991" t="s">
        <v>32</v>
      </c>
      <c r="D991" t="s">
        <v>47</v>
      </c>
      <c r="E991">
        <v>24</v>
      </c>
      <c r="F991">
        <v>25</v>
      </c>
      <c r="G991">
        <v>1</v>
      </c>
      <c r="H991" s="1">
        <v>9.4907407407407408E-4</v>
      </c>
      <c r="I991" t="s">
        <v>23</v>
      </c>
      <c r="J991" s="2" t="str">
        <f>HYPERLINK("https://www.nba.com/stats/events?CFID=&amp;CFPARAMS=&amp;GameEventID=126&amp;GameID=0022200945&amp;Season=2022-23&amp;flag=1&amp;title=Leonard%20driving%20Layup%20(11%20PTS)", "Driving Layup (11 PTS)")</f>
        <v>Driving Layup (11 PTS)</v>
      </c>
      <c r="K991" s="2" t="str">
        <f>HYPERLINK("https://www.nba.com/game/...-vs-...-0022200945/play-by-play?watchFullGame=true", "LAC vs GSW - Q1 01:22.00")</f>
        <v>LAC vs GSW - Q1 01:22.00</v>
      </c>
      <c r="L991">
        <v>3.81</v>
      </c>
      <c r="M991">
        <v>93.38</v>
      </c>
      <c r="N991">
        <v>42.65</v>
      </c>
      <c r="O991">
        <v>-37</v>
      </c>
      <c r="P991">
        <v>10</v>
      </c>
    </row>
    <row r="992" spans="1:16" x14ac:dyDescent="0.25">
      <c r="A992">
        <v>21601033</v>
      </c>
      <c r="B992">
        <v>2016</v>
      </c>
      <c r="C992" t="s">
        <v>32</v>
      </c>
      <c r="D992" t="s">
        <v>34</v>
      </c>
      <c r="E992">
        <v>61</v>
      </c>
      <c r="F992">
        <v>61</v>
      </c>
      <c r="G992">
        <v>3</v>
      </c>
      <c r="H992" s="1">
        <v>3.2407407407407406E-3</v>
      </c>
      <c r="I992" t="s">
        <v>18</v>
      </c>
      <c r="J992" s="2" t="str">
        <f>HYPERLINK("https://www.nba.com/stats/events?CFID=&amp;CFPARAMS=&amp;GameEventID=332&amp;GameID=0021601033&amp;Season=2016-17&amp;flag=1&amp;title=Leonard%209'%20Turnaround%20Fadeaway%20(16%20PTS)", "Leonard 9' Turnaround Fadeaway (16 PTS)")</f>
        <v>Leonard 9' Turnaround Fadeaway (16 PTS)</v>
      </c>
      <c r="K992" s="2" t="str">
        <f>HYPERLINK("https://www.nba.com/game/...-vs-...-0021601033/play-by-play?watchFullGame=true", "SAS vs MEM - Q3 04:40.00")</f>
        <v>SAS vs MEM - Q3 04:40.00</v>
      </c>
      <c r="L992">
        <v>9</v>
      </c>
      <c r="M992">
        <v>-37</v>
      </c>
      <c r="N992">
        <v>80</v>
      </c>
      <c r="O992">
        <v>-37</v>
      </c>
      <c r="P992">
        <v>80</v>
      </c>
    </row>
    <row r="993" spans="1:16" x14ac:dyDescent="0.25">
      <c r="A993">
        <v>22300350</v>
      </c>
      <c r="B993">
        <v>2023</v>
      </c>
      <c r="C993" t="s">
        <v>32</v>
      </c>
      <c r="D993" t="s">
        <v>19</v>
      </c>
      <c r="E993">
        <v>51</v>
      </c>
      <c r="F993">
        <v>48</v>
      </c>
      <c r="G993">
        <v>2</v>
      </c>
      <c r="H993" s="1">
        <v>5.0000000000000001E-3</v>
      </c>
      <c r="I993" t="s">
        <v>23</v>
      </c>
      <c r="J993" s="2" t="str">
        <f>HYPERLINK("https://www.nba.com/stats/events?CFID=&amp;CFPARAMS=&amp;GameEventID=239&amp;GameID=0022300350&amp;Season=2023-24&amp;flag=1&amp;title=Leonard%208'%20turnaround%20fadeaway%20Jump%20Shot%20(12%20PTS)", "8' turnaround fadeaway Jump Shot (12 PTS)")</f>
        <v>8' turnaround fadeaway Jump Shot (12 PTS)</v>
      </c>
      <c r="K993" s="2" t="str">
        <f>HYPERLINK("https://www.nba.com/game/...-vs-...-0022300350/play-by-play?watchFullGame=true", "LAC vs IND - Q2 07:12.00")</f>
        <v>LAC vs IND - Q2 07:12.00</v>
      </c>
      <c r="L993">
        <v>8.93</v>
      </c>
      <c r="M993">
        <v>85.76</v>
      </c>
      <c r="N993">
        <v>42.65</v>
      </c>
      <c r="O993">
        <v>-37</v>
      </c>
      <c r="P993">
        <v>81</v>
      </c>
    </row>
    <row r="994" spans="1:16" x14ac:dyDescent="0.25">
      <c r="A994">
        <v>21300068</v>
      </c>
      <c r="B994">
        <v>2013</v>
      </c>
      <c r="C994" t="s">
        <v>32</v>
      </c>
      <c r="D994" t="s">
        <v>19</v>
      </c>
      <c r="E994">
        <v>43</v>
      </c>
      <c r="F994">
        <v>44</v>
      </c>
      <c r="G994">
        <v>2</v>
      </c>
      <c r="H994" s="1">
        <v>2.0254629629629629E-3</v>
      </c>
      <c r="I994" t="s">
        <v>18</v>
      </c>
      <c r="J994" s="2" t="str">
        <f>HYPERLINK("https://www.nba.com/stats/events?CFID=&amp;CFPARAMS=&amp;GameEventID=211&amp;GameID=0021300068&amp;Season=2013-14&amp;flag=1&amp;title=Leonard%2015'%20Jump%20Shot%20(6%20PTS)%20(Ginobili%203%20AST)", "Leonard 15' Jump Shot (6 PTS) (Ginobili 3 AST)")</f>
        <v>Leonard 15' Jump Shot (6 PTS) (Ginobili 3 AST)</v>
      </c>
      <c r="K994" s="2" t="str">
        <f>HYPERLINK("https://www.nba.com/game/...-vs-...-0021300068/play-by-play?watchFullGame=true", "SAS vs PHX - Q2 02:55.00")</f>
        <v>SAS vs PHX - Q2 02:55.00</v>
      </c>
      <c r="L994">
        <v>15</v>
      </c>
      <c r="M994">
        <v>-37</v>
      </c>
      <c r="N994">
        <v>142</v>
      </c>
      <c r="O994">
        <v>-37</v>
      </c>
      <c r="P994">
        <v>142</v>
      </c>
    </row>
    <row r="995" spans="1:16" x14ac:dyDescent="0.25">
      <c r="A995">
        <v>21600575</v>
      </c>
      <c r="B995">
        <v>2016</v>
      </c>
      <c r="C995" t="s">
        <v>32</v>
      </c>
      <c r="D995" t="s">
        <v>29</v>
      </c>
      <c r="E995">
        <v>36</v>
      </c>
      <c r="F995">
        <v>25</v>
      </c>
      <c r="G995">
        <v>2</v>
      </c>
      <c r="H995" s="1">
        <v>6.1805555555555555E-3</v>
      </c>
      <c r="I995" t="s">
        <v>18</v>
      </c>
      <c r="J995" s="2" t="str">
        <f>HYPERLINK("https://www.nba.com/stats/events?CFID=&amp;CFPARAMS=&amp;GameEventID=158&amp;GameID=0021600575&amp;Season=2016-17&amp;flag=1&amp;title=Leonard%2016'%20Pullup%20Jump%20Shot%20(15%20PTS)", "Leonard 16' Pullup Jump Shot (15 PTS)")</f>
        <v>Leonard 16' Pullup Jump Shot (15 PTS)</v>
      </c>
      <c r="K995" s="2" t="str">
        <f>HYPERLINK("https://www.nba.com/game/...-vs-...-0021600575/play-by-play?watchFullGame=true", "SAS vs MIL - Q2 08:54.00")</f>
        <v>SAS vs MIL - Q2 08:54.00</v>
      </c>
      <c r="L995">
        <v>16</v>
      </c>
      <c r="M995">
        <v>-37</v>
      </c>
      <c r="N995">
        <v>156</v>
      </c>
      <c r="O995">
        <v>-37</v>
      </c>
      <c r="P995">
        <v>156</v>
      </c>
    </row>
    <row r="996" spans="1:16" x14ac:dyDescent="0.25">
      <c r="A996">
        <v>22300658</v>
      </c>
      <c r="B996">
        <v>2023</v>
      </c>
      <c r="C996" t="s">
        <v>32</v>
      </c>
      <c r="D996" t="s">
        <v>19</v>
      </c>
      <c r="E996">
        <v>3</v>
      </c>
      <c r="F996">
        <v>2</v>
      </c>
      <c r="G996">
        <v>1</v>
      </c>
      <c r="H996" s="1">
        <v>7.7314814814814815E-3</v>
      </c>
      <c r="I996" t="s">
        <v>23</v>
      </c>
      <c r="J996" s="2" t="str">
        <f>HYPERLINK("https://www.nba.com/stats/events?CFID=&amp;CFPARAMS=&amp;GameEventID=12&amp;GameID=0022300658&amp;Season=2023-24&amp;flag=1&amp;title=Leonard%2016'%20pullup%20Jump%20Shot%20(2%20PTS)%20(J.%20Harden%201%20AST)", "16' pullup Jump Shot (2 PTS) (J. Harden 1 AST)")</f>
        <v>16' pullup Jump Shot (2 PTS) (J. Harden 1 AST)</v>
      </c>
      <c r="K996" s="2" t="str">
        <f>HYPERLINK("https://www.nba.com/game/...-vs-...-0022300658/play-by-play?watchFullGame=true", "LAC vs CLE - Q1 11:08.00")</f>
        <v>LAC vs CLE - Q1 11:08.00</v>
      </c>
      <c r="L996">
        <v>16.579999999999998</v>
      </c>
      <c r="M996">
        <v>77.22</v>
      </c>
      <c r="N996">
        <v>42.65</v>
      </c>
      <c r="O996">
        <v>-37</v>
      </c>
      <c r="P996">
        <v>162</v>
      </c>
    </row>
    <row r="997" spans="1:16" x14ac:dyDescent="0.25">
      <c r="A997">
        <v>21301017</v>
      </c>
      <c r="B997">
        <v>2013</v>
      </c>
      <c r="C997" t="s">
        <v>32</v>
      </c>
      <c r="D997" t="s">
        <v>19</v>
      </c>
      <c r="E997">
        <v>71</v>
      </c>
      <c r="F997">
        <v>73</v>
      </c>
      <c r="G997">
        <v>3</v>
      </c>
      <c r="H997" s="1">
        <v>4.2824074074074075E-3</v>
      </c>
      <c r="I997" t="s">
        <v>18</v>
      </c>
      <c r="J997" s="2" t="str">
        <f>HYPERLINK("https://www.nba.com/stats/events?CFID=&amp;CFPARAMS=&amp;GameEventID=304&amp;GameID=0021301017&amp;Season=2013-14&amp;flag=1&amp;title=Leonard%2017'%20Jump%20Shot%20(15%20PTS)%20(Diaw%203%20AST)", "Leonard 17' Jump Shot (15 PTS) (Diaw 3 AST)")</f>
        <v>Leonard 17' Jump Shot (15 PTS) (Diaw 3 AST)</v>
      </c>
      <c r="K997" s="2" t="str">
        <f>HYPERLINK("https://www.nba.com/game/...-vs-...-0021301017/play-by-play?watchFullGame=true", "SAS vs LAL - Q3 06:10.00")</f>
        <v>SAS vs LAL - Q3 06:10.00</v>
      </c>
      <c r="L997">
        <v>17</v>
      </c>
      <c r="M997">
        <v>-37</v>
      </c>
      <c r="N997">
        <v>170</v>
      </c>
      <c r="O997">
        <v>-37</v>
      </c>
      <c r="P997">
        <v>170</v>
      </c>
    </row>
    <row r="998" spans="1:16" x14ac:dyDescent="0.25">
      <c r="A998">
        <v>21600272</v>
      </c>
      <c r="B998">
        <v>2016</v>
      </c>
      <c r="C998" t="s">
        <v>32</v>
      </c>
      <c r="D998" t="s">
        <v>29</v>
      </c>
      <c r="E998">
        <v>7</v>
      </c>
      <c r="F998">
        <v>5</v>
      </c>
      <c r="G998">
        <v>1</v>
      </c>
      <c r="H998" s="1">
        <v>6.2384259259259259E-3</v>
      </c>
      <c r="I998" t="s">
        <v>18</v>
      </c>
      <c r="J998" s="2" t="str">
        <f>HYPERLINK("https://www.nba.com/stats/events?CFID=&amp;CFPARAMS=&amp;GameEventID=27&amp;GameID=0021600272&amp;Season=2016-17&amp;flag=1&amp;title=Leonard%2018'%20Pullup%20Jump%20Shot%20(3%20PTS)", "Leonard 18' Pullup Jump Shot (3 PTS)")</f>
        <v>Leonard 18' Pullup Jump Shot (3 PTS)</v>
      </c>
      <c r="K998" s="2" t="str">
        <f>HYPERLINK("https://www.nba.com/game/...-vs-...-0021600272/play-by-play?watchFullGame=true", "SAS vs DAL - Q1 08:59.00")</f>
        <v>SAS vs DAL - Q1 08:59.00</v>
      </c>
      <c r="L998">
        <v>18</v>
      </c>
      <c r="M998">
        <v>-37</v>
      </c>
      <c r="N998">
        <v>175</v>
      </c>
      <c r="O998">
        <v>-37</v>
      </c>
      <c r="P998">
        <v>175</v>
      </c>
    </row>
    <row r="999" spans="1:16" x14ac:dyDescent="0.25">
      <c r="A999">
        <v>22300646</v>
      </c>
      <c r="B999">
        <v>2023</v>
      </c>
      <c r="C999" t="s">
        <v>16</v>
      </c>
      <c r="D999" t="s">
        <v>19</v>
      </c>
      <c r="E999">
        <v>53</v>
      </c>
      <c r="F999">
        <v>88</v>
      </c>
      <c r="G999">
        <v>3</v>
      </c>
      <c r="H999" s="1">
        <v>1.0069444444444444E-3</v>
      </c>
      <c r="I999" t="s">
        <v>23</v>
      </c>
      <c r="J999" s="2" t="str">
        <f>HYPERLINK("https://www.nba.com/stats/events?CFID=&amp;CFPARAMS=&amp;GameEventID=463&amp;GameID=0022300646&amp;Season=2023-24&amp;flag=1&amp;title=Leonard%2027'%203PT%20step%20back%20(26%20PTS)", "27' 3PT step back (26 PTS)")</f>
        <v>27' 3PT step back (26 PTS)</v>
      </c>
      <c r="K999" s="2" t="str">
        <f>HYPERLINK("https://www.nba.com/game/...-vs-...-0022300646/play-by-play?watchFullGame=true", "LAC vs BOS - Q3 01:27.00")</f>
        <v>LAC vs BOS - Q3 01:27.00</v>
      </c>
      <c r="L999">
        <v>27.92</v>
      </c>
      <c r="M999">
        <v>35.04</v>
      </c>
      <c r="N999">
        <v>57.35</v>
      </c>
      <c r="O999">
        <v>-37</v>
      </c>
      <c r="P999">
        <v>277</v>
      </c>
    </row>
    <row r="1000" spans="1:16" x14ac:dyDescent="0.25">
      <c r="A1000">
        <v>22400571</v>
      </c>
      <c r="B1000">
        <v>2024</v>
      </c>
      <c r="C1000" t="s">
        <v>32</v>
      </c>
      <c r="D1000" t="s">
        <v>19</v>
      </c>
      <c r="E1000">
        <v>37</v>
      </c>
      <c r="F1000">
        <v>28</v>
      </c>
      <c r="G1000">
        <v>2</v>
      </c>
      <c r="H1000" s="1">
        <v>4.8726851851851848E-3</v>
      </c>
      <c r="I1000" t="s">
        <v>23</v>
      </c>
      <c r="J1000" s="2" t="str">
        <f>HYPERLINK("https://www.nba.com/stats/events?CFID=&amp;CFPARAMS=&amp;GameEventID=218&amp;GameID=0022400571&amp;Season=2024-25&amp;flag=1&amp;title=Leonard%206'%20driving%20floating%20Jump%20Shot%20(10%20PTS)", "6' driving floating Jump Shot (10 PTS)")</f>
        <v>6' driving floating Jump Shot (10 PTS)</v>
      </c>
      <c r="K1000" s="2" t="str">
        <f>HYPERLINK("https://www.nba.com/game/...-vs-...-0022400571/play-by-play?watchFullGame=true", "LAC vs BKN - Q2 07:01.00")</f>
        <v>LAC vs BKN - Q2 07:01.00</v>
      </c>
      <c r="L1000">
        <v>6.89</v>
      </c>
      <c r="M1000">
        <v>88.12</v>
      </c>
      <c r="N1000">
        <v>42.89</v>
      </c>
      <c r="O1000">
        <v>-36</v>
      </c>
      <c r="P1000">
        <v>59</v>
      </c>
    </row>
    <row r="1001" spans="1:16" x14ac:dyDescent="0.25">
      <c r="A1001">
        <v>22300618</v>
      </c>
      <c r="B1001">
        <v>2023</v>
      </c>
      <c r="C1001" t="s">
        <v>32</v>
      </c>
      <c r="D1001" t="s">
        <v>19</v>
      </c>
      <c r="E1001">
        <v>92</v>
      </c>
      <c r="F1001">
        <v>85</v>
      </c>
      <c r="G1001">
        <v>3</v>
      </c>
      <c r="H1001" s="1">
        <v>3.5763888888888889E-3</v>
      </c>
      <c r="I1001" t="s">
        <v>23</v>
      </c>
      <c r="J1001" s="2" t="str">
        <f>HYPERLINK("https://www.nba.com/stats/events?CFID=&amp;CFPARAMS=&amp;GameEventID=384&amp;GameID=0022300618&amp;Season=2023-24&amp;flag=1&amp;title=Leonard%2013'%20pullup%20Jump%20Shot%20(18%20PTS)", "13' pullup Jump Shot (18 PTS)")</f>
        <v>13' pullup Jump Shot (18 PTS)</v>
      </c>
      <c r="K1001" s="2" t="str">
        <f>HYPERLINK("https://www.nba.com/game/...-vs-...-0022300618/play-by-play?watchFullGame=true", "LAC vs LAL - Q3 05:09.00")</f>
        <v>LAC vs LAL - Q3 05:09.00</v>
      </c>
      <c r="L1001">
        <v>13.55</v>
      </c>
      <c r="M1001">
        <v>19.5</v>
      </c>
      <c r="N1001">
        <v>57.11</v>
      </c>
      <c r="O1001">
        <v>-36</v>
      </c>
      <c r="P1001">
        <v>131</v>
      </c>
    </row>
    <row r="1002" spans="1:16" x14ac:dyDescent="0.25">
      <c r="A1002">
        <v>41800112</v>
      </c>
      <c r="B1002" t="s">
        <v>20</v>
      </c>
      <c r="C1002" t="s">
        <v>32</v>
      </c>
      <c r="D1002" t="s">
        <v>29</v>
      </c>
      <c r="E1002">
        <v>2</v>
      </c>
      <c r="F1002">
        <v>0</v>
      </c>
      <c r="G1002">
        <v>1</v>
      </c>
      <c r="H1002" s="1">
        <v>8.1828703703703699E-3</v>
      </c>
      <c r="I1002" t="s">
        <v>21</v>
      </c>
      <c r="J1002" s="2" t="str">
        <f>HYPERLINK("https://www.nba.com/stats/events?CFID=&amp;CFPARAMS=&amp;GameEventID=7&amp;GameID=0041800112&amp;Season=2018-19&amp;flag=1&amp;title=Leonard%2016'%20Pullup%20Jump%20Shot%20(2%20PTS)", "Leonard 16' Pullup Jump Shot (2 PTS)")</f>
        <v>Leonard 16' Pullup Jump Shot (2 PTS)</v>
      </c>
      <c r="K1002" s="2" t="str">
        <f>HYPERLINK("https://www.nba.com/game/...-vs-...-0041800112/play-by-play?watchFullGame=true", "TOR vs ORL - Q1 11:47.00")</f>
        <v>TOR vs ORL - Q1 11:47.00</v>
      </c>
      <c r="L1002">
        <v>16</v>
      </c>
      <c r="M1002">
        <v>-36</v>
      </c>
      <c r="N1002">
        <v>154</v>
      </c>
      <c r="O1002">
        <v>-36</v>
      </c>
      <c r="P1002">
        <v>154</v>
      </c>
    </row>
    <row r="1003" spans="1:16" x14ac:dyDescent="0.25">
      <c r="A1003">
        <v>22000601</v>
      </c>
      <c r="B1003">
        <v>2020</v>
      </c>
      <c r="C1003" t="s">
        <v>16</v>
      </c>
      <c r="D1003" t="s">
        <v>19</v>
      </c>
      <c r="E1003">
        <v>52</v>
      </c>
      <c r="F1003">
        <v>42</v>
      </c>
      <c r="G1003">
        <v>2</v>
      </c>
      <c r="H1003" s="1">
        <v>3.6342592592592594E-3</v>
      </c>
      <c r="I1003" t="s">
        <v>23</v>
      </c>
      <c r="J1003" s="2" t="str">
        <f>HYPERLINK("https://www.nba.com/stats/events?CFID=&amp;CFPARAMS=&amp;GameEventID=258&amp;GameID=0022000601&amp;Season=2020-21&amp;flag=1&amp;title=Leonard%2026'%203PT%20%20(10%20PTS)%20(L.%20Kennard%201%20AST)", "26' 3PT  (10 PTS) (L. Kennard 1 AST)")</f>
        <v>26' 3PT  (10 PTS) (L. Kennard 1 AST)</v>
      </c>
      <c r="K1003" s="2" t="str">
        <f>HYPERLINK("https://www.nba.com/game/...-vs-...-0022000601/play-by-play?watchFullGame=true", "LAC vs NOP - Q2 05:14.00")</f>
        <v>LAC vs NOP - Q2 05:14.00</v>
      </c>
      <c r="L1003">
        <v>26.33</v>
      </c>
      <c r="M1003">
        <v>33.33</v>
      </c>
      <c r="N1003">
        <v>57.18</v>
      </c>
      <c r="O1003">
        <v>-36</v>
      </c>
      <c r="P1003">
        <v>261</v>
      </c>
    </row>
    <row r="1004" spans="1:16" x14ac:dyDescent="0.25">
      <c r="A1004">
        <v>21500048</v>
      </c>
      <c r="B1004">
        <v>2015</v>
      </c>
      <c r="C1004" t="s">
        <v>32</v>
      </c>
      <c r="D1004" t="s">
        <v>19</v>
      </c>
      <c r="E1004">
        <v>38</v>
      </c>
      <c r="F1004">
        <v>51</v>
      </c>
      <c r="G1004">
        <v>3</v>
      </c>
      <c r="H1004" s="1">
        <v>6.851851851851852E-3</v>
      </c>
      <c r="I1004" t="s">
        <v>18</v>
      </c>
      <c r="J1004" s="2" t="str">
        <f>HYPERLINK("https://www.nba.com/stats/events?CFID=&amp;CFPARAMS=&amp;GameEventID=256&amp;GameID=0021500048&amp;Season=2015-16&amp;flag=1&amp;title=Leonard%204'%20Jump%20Shot%20(14%20PTS)", "Leonard 4' Jump Shot (14 PTS)")</f>
        <v>Leonard 4' Jump Shot (14 PTS)</v>
      </c>
      <c r="K1004" s="2" t="str">
        <f>HYPERLINK("https://www.nba.com/game/...-vs-...-0021500048/play-by-play?watchFullGame=true", "SAS vs NYK - Q3 09:52.00")</f>
        <v>SAS vs NYK - Q3 09:52.00</v>
      </c>
      <c r="L1004">
        <v>4</v>
      </c>
      <c r="M1004">
        <v>-35</v>
      </c>
      <c r="N1004">
        <v>23</v>
      </c>
      <c r="O1004">
        <v>-35</v>
      </c>
      <c r="P1004">
        <v>23</v>
      </c>
    </row>
    <row r="1005" spans="1:16" x14ac:dyDescent="0.25">
      <c r="A1005">
        <v>22000457</v>
      </c>
      <c r="B1005">
        <v>2020</v>
      </c>
      <c r="C1005" t="s">
        <v>32</v>
      </c>
      <c r="D1005" t="s">
        <v>47</v>
      </c>
      <c r="E1005">
        <v>27</v>
      </c>
      <c r="F1005">
        <v>21</v>
      </c>
      <c r="G1005">
        <v>1</v>
      </c>
      <c r="H1005" s="1">
        <v>9.7222222222222219E-4</v>
      </c>
      <c r="I1005" t="s">
        <v>23</v>
      </c>
      <c r="J1005" s="2" t="str">
        <f>HYPERLINK("https://www.nba.com/stats/events?CFID=&amp;CFPARAMS=&amp;GameEventID=131&amp;GameID=0022000457&amp;Season=2020-21&amp;flag=1&amp;title=Leonard%20driving%20Layup%20(6%20PTS)", "Driving Layup (6 PTS)")</f>
        <v>Driving Layup (6 PTS)</v>
      </c>
      <c r="K1005" s="2" t="str">
        <f>HYPERLINK("https://www.nba.com/game/...-vs-...-0022000457/play-by-play?watchFullGame=true", "LAC vs UTA - Q1 01:24.00")</f>
        <v>LAC vs UTA - Q1 01:24.00</v>
      </c>
      <c r="L1005">
        <v>4.82</v>
      </c>
      <c r="M1005">
        <v>9.15</v>
      </c>
      <c r="N1005">
        <v>56.93</v>
      </c>
      <c r="O1005">
        <v>-35</v>
      </c>
      <c r="P1005">
        <v>34</v>
      </c>
    </row>
    <row r="1006" spans="1:16" x14ac:dyDescent="0.25">
      <c r="A1006">
        <v>22300372</v>
      </c>
      <c r="B1006">
        <v>2023</v>
      </c>
      <c r="C1006" t="s">
        <v>32</v>
      </c>
      <c r="D1006" t="s">
        <v>47</v>
      </c>
      <c r="E1006">
        <v>73</v>
      </c>
      <c r="F1006">
        <v>83</v>
      </c>
      <c r="G1006">
        <v>3</v>
      </c>
      <c r="H1006" s="1">
        <v>2.8819444444444444E-3</v>
      </c>
      <c r="I1006" t="s">
        <v>23</v>
      </c>
      <c r="J1006" s="2" t="str">
        <f>HYPERLINK("https://www.nba.com/stats/events?CFID=&amp;CFPARAMS=&amp;GameEventID=418&amp;GameID=0022300372&amp;Season=2023-24&amp;flag=1&amp;title=Leonard%20driving%20Layup%20(20%20PTS)%20(R.%20Westbrook%203%20AST)", "Driving Layup (20 PTS) (R. Westbrook 3 AST)")</f>
        <v>Driving Layup (20 PTS) (R. Westbrook 3 AST)</v>
      </c>
      <c r="K1006" s="2" t="str">
        <f>HYPERLINK("https://www.nba.com/game/...-vs-...-0022300372/play-by-play?watchFullGame=true", "LAC vs DAL - Q3 04:09.00")</f>
        <v>LAC vs DAL - Q3 04:09.00</v>
      </c>
      <c r="L1006">
        <v>3.45</v>
      </c>
      <c r="M1006">
        <v>6</v>
      </c>
      <c r="N1006">
        <v>56.86</v>
      </c>
      <c r="O1006">
        <v>-34</v>
      </c>
      <c r="P1006">
        <v>4</v>
      </c>
    </row>
    <row r="1007" spans="1:16" x14ac:dyDescent="0.25">
      <c r="A1007">
        <v>41300145</v>
      </c>
      <c r="B1007" t="s">
        <v>26</v>
      </c>
      <c r="C1007" t="s">
        <v>32</v>
      </c>
      <c r="D1007" t="s">
        <v>38</v>
      </c>
      <c r="E1007">
        <v>64</v>
      </c>
      <c r="F1007">
        <v>57</v>
      </c>
      <c r="G1007">
        <v>3</v>
      </c>
      <c r="H1007" s="1">
        <v>5.7754629629629631E-3</v>
      </c>
      <c r="I1007" t="s">
        <v>18</v>
      </c>
      <c r="J1007" s="2" t="str">
        <f>HYPERLINK("https://www.nba.com/stats/events?CFID=&amp;CFPARAMS=&amp;GameEventID=285&amp;GameID=0041300145&amp;Season=2013-14&amp;flag=1&amp;title=Leonard%205'%20Jump%20Bank%20Shot%20(13%20PTS)", "Leonard 5' Jump Bank Shot (13 PTS)")</f>
        <v>Leonard 5' Jump Bank Shot (13 PTS)</v>
      </c>
      <c r="K1007" s="2" t="str">
        <f>HYPERLINK("https://www.nba.com/game/...-vs-...-0041300145/play-by-play?watchFullGame=true", "SAS vs DAL - Q3 08:19.00")</f>
        <v>SAS vs DAL - Q3 08:19.00</v>
      </c>
      <c r="L1007">
        <v>5</v>
      </c>
      <c r="M1007">
        <v>-34</v>
      </c>
      <c r="N1007">
        <v>37</v>
      </c>
      <c r="O1007">
        <v>-34</v>
      </c>
      <c r="P1007">
        <v>37</v>
      </c>
    </row>
    <row r="1008" spans="1:16" x14ac:dyDescent="0.25">
      <c r="A1008">
        <v>41200311</v>
      </c>
      <c r="B1008" t="s">
        <v>27</v>
      </c>
      <c r="C1008" t="s">
        <v>32</v>
      </c>
      <c r="D1008" t="s">
        <v>19</v>
      </c>
      <c r="E1008">
        <v>39</v>
      </c>
      <c r="F1008">
        <v>23</v>
      </c>
      <c r="G1008">
        <v>2</v>
      </c>
      <c r="H1008" s="1">
        <v>4.8032407407407407E-3</v>
      </c>
      <c r="I1008" t="s">
        <v>18</v>
      </c>
      <c r="J1008" s="2" t="str">
        <f>HYPERLINK("https://www.nba.com/stats/events?CFID=&amp;CFPARAMS=&amp;GameEventID=145&amp;GameID=0041200311&amp;Season=2012-13&amp;flag=1&amp;title=Leonard%206'%20Jump%20Shot%20(5%20PTS)%20(Parker%204%20AST)", "Leonard 6' Jump Shot (5 PTS) (Parker 4 AST)")</f>
        <v>Leonard 6' Jump Shot (5 PTS) (Parker 4 AST)</v>
      </c>
      <c r="K1008" s="2" t="str">
        <f>HYPERLINK("https://www.nba.com/game/...-vs-...-0041200311/play-by-play?watchFullGame=true", "SAS vs MEM - Q2 06:55.00")</f>
        <v>SAS vs MEM - Q2 06:55.00</v>
      </c>
      <c r="L1008">
        <v>6</v>
      </c>
      <c r="M1008">
        <v>-34</v>
      </c>
      <c r="N1008">
        <v>55</v>
      </c>
      <c r="O1008">
        <v>-34</v>
      </c>
      <c r="P1008">
        <v>55</v>
      </c>
    </row>
    <row r="1009" spans="1:16" x14ac:dyDescent="0.25">
      <c r="A1009">
        <v>21900339</v>
      </c>
      <c r="B1009">
        <v>2019</v>
      </c>
      <c r="C1009" t="s">
        <v>32</v>
      </c>
      <c r="D1009" t="s">
        <v>50</v>
      </c>
      <c r="E1009">
        <v>70</v>
      </c>
      <c r="F1009">
        <v>86</v>
      </c>
      <c r="G1009">
        <v>3</v>
      </c>
      <c r="H1009" s="1">
        <v>4.3981481481481484E-3</v>
      </c>
      <c r="I1009" t="s">
        <v>23</v>
      </c>
      <c r="J1009" s="2" t="str">
        <f>HYPERLINK("https://www.nba.com/stats/events?CFID=&amp;CFPARAMS=&amp;GameEventID=457&amp;GameID=0021900339&amp;Season=2019-20&amp;flag=1&amp;title=Leonard%208'%20layup%20(24%20PTS)", "8' layup (24 PTS)")</f>
        <v>8' layup (24 PTS)</v>
      </c>
      <c r="K1009" s="2" t="str">
        <f>HYPERLINK("https://www.nba.com/game/...-vs-...-0021900339/play-by-play?watchFullGame=true", "LAC vs WAS - Q3 06:20.00")</f>
        <v>LAC vs WAS - Q3 06:20.00</v>
      </c>
      <c r="L1009">
        <v>7.63</v>
      </c>
      <c r="M1009">
        <v>12.27</v>
      </c>
      <c r="N1009">
        <v>56.79</v>
      </c>
      <c r="O1009">
        <v>-34</v>
      </c>
      <c r="P1009">
        <v>63</v>
      </c>
    </row>
    <row r="1010" spans="1:16" x14ac:dyDescent="0.25">
      <c r="A1010">
        <v>22301043</v>
      </c>
      <c r="B1010">
        <v>2023</v>
      </c>
      <c r="C1010" t="s">
        <v>32</v>
      </c>
      <c r="D1010" t="s">
        <v>44</v>
      </c>
      <c r="E1010">
        <v>62</v>
      </c>
      <c r="F1010">
        <v>62</v>
      </c>
      <c r="G1010">
        <v>2</v>
      </c>
      <c r="H1010" s="1">
        <v>7.9861111111111116E-4</v>
      </c>
      <c r="I1010" t="s">
        <v>23</v>
      </c>
      <c r="J1010" s="2" t="str">
        <f>HYPERLINK("https://www.nba.com/stats/events?CFID=&amp;CFPARAMS=&amp;GameEventID=276&amp;GameID=0022301043&amp;Season=2023-24&amp;flag=1&amp;title=Leonard%207'%20turnaround%20Hook%20(13%20PTS)", "7' turnaround Hook (13 PTS)")</f>
        <v>7' turnaround Hook (13 PTS)</v>
      </c>
      <c r="K1010" s="2" t="str">
        <f>HYPERLINK("https://www.nba.com/game/...-vs-...-0022301043/play-by-play?watchFullGame=true", "LAC vs IND - Q2 01:09.00")</f>
        <v>LAC vs IND - Q2 01:09.00</v>
      </c>
      <c r="L1010">
        <v>7.93</v>
      </c>
      <c r="M1010">
        <v>13.19</v>
      </c>
      <c r="N1010">
        <v>56.86</v>
      </c>
      <c r="O1010">
        <v>-34</v>
      </c>
      <c r="P1010">
        <v>71</v>
      </c>
    </row>
    <row r="1011" spans="1:16" x14ac:dyDescent="0.25">
      <c r="A1011">
        <v>41200402</v>
      </c>
      <c r="B1011" t="s">
        <v>27</v>
      </c>
      <c r="C1011" t="s">
        <v>16</v>
      </c>
      <c r="D1011" t="s">
        <v>19</v>
      </c>
      <c r="E1011">
        <v>56</v>
      </c>
      <c r="F1011">
        <v>56</v>
      </c>
      <c r="G1011">
        <v>3</v>
      </c>
      <c r="H1011" s="1">
        <v>4.9768518518518521E-3</v>
      </c>
      <c r="I1011" t="s">
        <v>18</v>
      </c>
      <c r="J1011" s="2" t="str">
        <f>HYPERLINK("https://www.nba.com/stats/events?CFID=&amp;CFPARAMS=&amp;GameEventID=270&amp;GameID=0041200402&amp;Season=2012-13&amp;flag=1&amp;title=Leonard%2026'%203PT%20Jump%20Shot%20(7%20PTS)%20(Parker%205%20AST)", "Leonard 26' 3PT Jump Shot (7 PTS) (Parker 5 AST)")</f>
        <v>Leonard 26' 3PT Jump Shot (7 PTS) (Parker 5 AST)</v>
      </c>
      <c r="K1011" s="2" t="str">
        <f>HYPERLINK("https://www.nba.com/game/...-vs-...-0041200402/play-by-play?watchFullGame=true", "SAS vs MIA - Q3 07:10.00")</f>
        <v>SAS vs MIA - Q3 07:10.00</v>
      </c>
      <c r="L1011">
        <v>26</v>
      </c>
      <c r="M1011">
        <v>-34</v>
      </c>
      <c r="N1011">
        <v>255</v>
      </c>
      <c r="O1011">
        <v>-34</v>
      </c>
      <c r="P1011">
        <v>255</v>
      </c>
    </row>
    <row r="1012" spans="1:16" x14ac:dyDescent="0.25">
      <c r="A1012">
        <v>21900603</v>
      </c>
      <c r="B1012">
        <v>2019</v>
      </c>
      <c r="C1012" t="s">
        <v>32</v>
      </c>
      <c r="D1012" t="s">
        <v>22</v>
      </c>
      <c r="E1012">
        <v>76</v>
      </c>
      <c r="F1012">
        <v>59</v>
      </c>
      <c r="G1012">
        <v>3</v>
      </c>
      <c r="H1012" s="1">
        <v>6.3541666666666668E-3</v>
      </c>
      <c r="I1012" t="s">
        <v>23</v>
      </c>
      <c r="J1012" s="2" t="str">
        <f>HYPERLINK("https://www.nba.com/stats/events?CFID=&amp;CFPARAMS=&amp;GameEventID=345&amp;GameID=0021900603&amp;Season=2019-20&amp;flag=1&amp;title=Leonard%208'%20jumpshot%20(32%20PTS)", "8' jumpshot (32 PTS)")</f>
        <v>8' jumpshot (32 PTS)</v>
      </c>
      <c r="K1012" s="2" t="str">
        <f>HYPERLINK("https://www.nba.com/game/...-vs-...-0021900603/play-by-play?watchFullGame=true", "LAC vs CLE - Q3 09:09.00")</f>
        <v>LAC vs CLE - Q3 09:09.00</v>
      </c>
      <c r="L1012">
        <v>7.86</v>
      </c>
      <c r="M1012">
        <v>87.43</v>
      </c>
      <c r="N1012">
        <v>43.31</v>
      </c>
      <c r="O1012">
        <v>-33</v>
      </c>
      <c r="P1012">
        <v>66</v>
      </c>
    </row>
    <row r="1013" spans="1:16" x14ac:dyDescent="0.25">
      <c r="A1013">
        <v>21901258</v>
      </c>
      <c r="B1013">
        <v>2019</v>
      </c>
      <c r="C1013" t="s">
        <v>32</v>
      </c>
      <c r="D1013" t="s">
        <v>22</v>
      </c>
      <c r="E1013">
        <v>113</v>
      </c>
      <c r="F1013">
        <v>113</v>
      </c>
      <c r="G1013">
        <v>4</v>
      </c>
      <c r="H1013" s="1">
        <v>9.7222222222222219E-4</v>
      </c>
      <c r="I1013" t="s">
        <v>23</v>
      </c>
      <c r="J1013" s="2" t="str">
        <f>HYPERLINK("https://www.nba.com/stats/events?CFID=&amp;CFPARAMS=&amp;GameEventID=586&amp;GameID=0021901258&amp;Season=2019-20&amp;flag=1&amp;title=Leonard%2013'%20jumpshot%20(25%20PTS)", "13' jumpshot (25 PTS)")</f>
        <v>13' jumpshot (25 PTS)</v>
      </c>
      <c r="K1013" s="2" t="str">
        <f>HYPERLINK("https://www.nba.com/game/...-vs-...-0021901258/play-by-play?watchFullGame=true", "LAC vs PHX - Q4 01:24.00")</f>
        <v>LAC vs PHX - Q4 01:24.00</v>
      </c>
      <c r="L1013">
        <v>12.58</v>
      </c>
      <c r="M1013">
        <v>82.08</v>
      </c>
      <c r="N1013">
        <v>43.45</v>
      </c>
      <c r="O1013">
        <v>-33</v>
      </c>
      <c r="P1013">
        <v>116</v>
      </c>
    </row>
    <row r="1014" spans="1:16" x14ac:dyDescent="0.25">
      <c r="A1014">
        <v>41800213</v>
      </c>
      <c r="B1014" t="s">
        <v>20</v>
      </c>
      <c r="C1014" t="s">
        <v>32</v>
      </c>
      <c r="D1014" t="s">
        <v>29</v>
      </c>
      <c r="E1014">
        <v>23</v>
      </c>
      <c r="F1014">
        <v>20</v>
      </c>
      <c r="G1014">
        <v>1</v>
      </c>
      <c r="H1014" s="1">
        <v>2.9629629629629628E-3</v>
      </c>
      <c r="I1014" t="s">
        <v>21</v>
      </c>
      <c r="J1014" s="2" t="str">
        <f>HYPERLINK("https://www.nba.com/stats/events?CFID=&amp;CFPARAMS=&amp;GameEventID=88&amp;GameID=0041800213&amp;Season=2018-19&amp;flag=1&amp;title=Leonard%2016'%20Pullup%20Jump%20Shot%20(9%20PTS)%20(Siakam%201%20AST)", "Leonard 16' Pullup Jump Shot (9 PTS) (Siakam 1 AST)")</f>
        <v>Leonard 16' Pullup Jump Shot (9 PTS) (Siakam 1 AST)</v>
      </c>
      <c r="K1014" s="2" t="str">
        <f>HYPERLINK("https://www.nba.com/game/...-vs-...-0041800213/play-by-play?watchFullGame=true", "TOR vs PHI - Q1 04:16.00")</f>
        <v>TOR vs PHI - Q1 04:16.00</v>
      </c>
      <c r="L1014">
        <v>16</v>
      </c>
      <c r="M1014">
        <v>-33</v>
      </c>
      <c r="N1014">
        <v>157</v>
      </c>
      <c r="O1014">
        <v>-33</v>
      </c>
      <c r="P1014">
        <v>157</v>
      </c>
    </row>
    <row r="1015" spans="1:16" x14ac:dyDescent="0.25">
      <c r="A1015">
        <v>21900251</v>
      </c>
      <c r="B1015">
        <v>2019</v>
      </c>
      <c r="C1015" t="s">
        <v>16</v>
      </c>
      <c r="D1015" t="s">
        <v>22</v>
      </c>
      <c r="E1015">
        <v>43</v>
      </c>
      <c r="F1015">
        <v>62</v>
      </c>
      <c r="G1015">
        <v>2</v>
      </c>
      <c r="H1015" s="1">
        <v>8.7962962962962959E-5</v>
      </c>
      <c r="I1015" t="s">
        <v>23</v>
      </c>
      <c r="J1015" s="2" t="str">
        <f>HYPERLINK("https://www.nba.com/stats/events?CFID=&amp;CFPARAMS=&amp;GameEventID=354&amp;GameID=0021900251&amp;Season=2019-20&amp;flag=1&amp;title=Leonard%2025'%203PT%20%20(13%20PTS)", "25' 3PT  (13 PTS)")</f>
        <v>25' 3PT  (13 PTS)</v>
      </c>
      <c r="K1015" s="2" t="str">
        <f>HYPERLINK("https://www.nba.com/game/...-vs-...-0021900251/play-by-play?watchFullGame=true", "LAC vs DAL - Q2 00:07.60")</f>
        <v>LAC vs DAL - Q2 00:07.60</v>
      </c>
      <c r="L1015">
        <v>25.12</v>
      </c>
      <c r="M1015">
        <v>31.49</v>
      </c>
      <c r="N1015">
        <v>56.69</v>
      </c>
      <c r="O1015">
        <v>-33</v>
      </c>
      <c r="P1015">
        <v>243</v>
      </c>
    </row>
    <row r="1016" spans="1:16" x14ac:dyDescent="0.25">
      <c r="A1016">
        <v>22200970</v>
      </c>
      <c r="B1016">
        <v>2022</v>
      </c>
      <c r="C1016" t="s">
        <v>16</v>
      </c>
      <c r="D1016" t="s">
        <v>19</v>
      </c>
      <c r="E1016">
        <v>3</v>
      </c>
      <c r="F1016">
        <v>2</v>
      </c>
      <c r="G1016">
        <v>1</v>
      </c>
      <c r="H1016" s="1">
        <v>7.766203703703704E-3</v>
      </c>
      <c r="I1016" t="s">
        <v>23</v>
      </c>
      <c r="J1016" s="2" t="str">
        <f>HYPERLINK("https://www.nba.com/stats/events?CFID=&amp;CFPARAMS=&amp;GameEventID=10&amp;GameID=0022200970&amp;Season=2022-23&amp;flag=1&amp;title=Leonard%2026'%203PT%20pullup%20(3%20PTS)", "26' 3PT pullup (3 PTS)")</f>
        <v>26' 3PT pullup (3 PTS)</v>
      </c>
      <c r="K1016" s="2" t="str">
        <f>HYPERLINK("https://www.nba.com/game/...-vs-...-0022200970/play-by-play?watchFullGame=true", "LAC vs MEM - Q1 11:11.00")</f>
        <v>LAC vs MEM - Q1 11:11.00</v>
      </c>
      <c r="L1016">
        <v>26.26</v>
      </c>
      <c r="M1016">
        <v>33.299999999999997</v>
      </c>
      <c r="N1016">
        <v>56.62</v>
      </c>
      <c r="O1016">
        <v>-33</v>
      </c>
      <c r="P1016">
        <v>260</v>
      </c>
    </row>
    <row r="1017" spans="1:16" x14ac:dyDescent="0.25">
      <c r="A1017">
        <v>21501001</v>
      </c>
      <c r="B1017">
        <v>2015</v>
      </c>
      <c r="C1017" t="s">
        <v>32</v>
      </c>
      <c r="D1017" t="s">
        <v>51</v>
      </c>
      <c r="E1017">
        <v>33</v>
      </c>
      <c r="F1017">
        <v>24</v>
      </c>
      <c r="G1017">
        <v>2</v>
      </c>
      <c r="H1017" s="1">
        <v>5.092592592592593E-3</v>
      </c>
      <c r="I1017" t="s">
        <v>18</v>
      </c>
      <c r="J1017" s="2" t="str">
        <f>HYPERLINK("https://www.nba.com/stats/events?CFID=&amp;CFPARAMS=&amp;GameEventID=168&amp;GameID=0021501001&amp;Season=2015-16&amp;flag=1&amp;title=Leonard%203'%20Reverse%20Layup%20(6%20PTS)", "Leonard 3' Reverse Layup (6 PTS)")</f>
        <v>Leonard 3' Reverse Layup (6 PTS)</v>
      </c>
      <c r="K1017" s="2" t="str">
        <f>HYPERLINK("https://www.nba.com/game/...-vs-...-0021501001/play-by-play?watchFullGame=true", "SAS vs LAC - Q2 07:20.00")</f>
        <v>SAS vs LAC - Q2 07:20.00</v>
      </c>
      <c r="L1017">
        <v>3</v>
      </c>
      <c r="M1017">
        <v>-32</v>
      </c>
      <c r="N1017">
        <v>-5</v>
      </c>
      <c r="O1017">
        <v>-32</v>
      </c>
      <c r="P1017">
        <v>-5</v>
      </c>
    </row>
    <row r="1018" spans="1:16" x14ac:dyDescent="0.25">
      <c r="A1018">
        <v>41200402</v>
      </c>
      <c r="B1018" t="s">
        <v>27</v>
      </c>
      <c r="C1018" t="s">
        <v>32</v>
      </c>
      <c r="D1018" t="s">
        <v>19</v>
      </c>
      <c r="E1018">
        <v>20</v>
      </c>
      <c r="F1018">
        <v>19</v>
      </c>
      <c r="G1018">
        <v>1</v>
      </c>
      <c r="H1018" s="1">
        <v>7.6388888888888893E-4</v>
      </c>
      <c r="I1018" t="s">
        <v>18</v>
      </c>
      <c r="J1018" s="2" t="str">
        <f>HYPERLINK("https://www.nba.com/stats/events?CFID=&amp;CFPARAMS=&amp;GameEventID=104&amp;GameID=0041200402&amp;Season=2012-13&amp;flag=1&amp;title=Leonard%203'%20Jump%20Shot%20(2%20PTS)", "Leonard 3' Jump Shot (2 PTS)")</f>
        <v>Leonard 3' Jump Shot (2 PTS)</v>
      </c>
      <c r="K1018" s="2" t="str">
        <f>HYPERLINK("https://www.nba.com/game/...-vs-...-0041200402/play-by-play?watchFullGame=true", "SAS vs MIA - Q1 01:06.00")</f>
        <v>SAS vs MIA - Q1 01:06.00</v>
      </c>
      <c r="L1018">
        <v>3</v>
      </c>
      <c r="M1018">
        <v>-32</v>
      </c>
      <c r="N1018">
        <v>14</v>
      </c>
      <c r="O1018">
        <v>-32</v>
      </c>
      <c r="P1018">
        <v>14</v>
      </c>
    </row>
    <row r="1019" spans="1:16" x14ac:dyDescent="0.25">
      <c r="A1019">
        <v>22400571</v>
      </c>
      <c r="B1019">
        <v>2024</v>
      </c>
      <c r="C1019" t="s">
        <v>32</v>
      </c>
      <c r="D1019" t="s">
        <v>47</v>
      </c>
      <c r="E1019">
        <v>96</v>
      </c>
      <c r="F1019">
        <v>44</v>
      </c>
      <c r="G1019">
        <v>3</v>
      </c>
      <c r="H1019" s="1">
        <v>1.8749999999999999E-3</v>
      </c>
      <c r="I1019" t="s">
        <v>23</v>
      </c>
      <c r="J1019" s="2" t="str">
        <f>HYPERLINK("https://www.nba.com/stats/events?CFID=&amp;CFPARAMS=&amp;GameEventID=468&amp;GameID=0022400571&amp;Season=2024-25&amp;flag=1&amp;title=Leonard%20driving%20Layup%20(23%20PTS)", "Driving Layup (23 PTS)")</f>
        <v>Driving Layup (23 PTS)</v>
      </c>
      <c r="K1019" s="2" t="str">
        <f>HYPERLINK("https://www.nba.com/game/...-vs-...-0022400571/play-by-play?watchFullGame=true", "LAC vs BKN - Q3 02:42.00")</f>
        <v>LAC vs BKN - Q3 02:42.00</v>
      </c>
      <c r="L1019">
        <v>4.63</v>
      </c>
      <c r="M1019">
        <v>9.15</v>
      </c>
      <c r="N1019">
        <v>56.37</v>
      </c>
      <c r="O1019">
        <v>-32</v>
      </c>
      <c r="P1019">
        <v>34</v>
      </c>
    </row>
    <row r="1020" spans="1:16" x14ac:dyDescent="0.25">
      <c r="A1020">
        <v>21600817</v>
      </c>
      <c r="B1020">
        <v>2016</v>
      </c>
      <c r="C1020" t="s">
        <v>32</v>
      </c>
      <c r="D1020" t="s">
        <v>40</v>
      </c>
      <c r="E1020">
        <v>26</v>
      </c>
      <c r="F1020">
        <v>28</v>
      </c>
      <c r="G1020">
        <v>2</v>
      </c>
      <c r="H1020" s="1">
        <v>6.5393518518518517E-3</v>
      </c>
      <c r="I1020" t="s">
        <v>18</v>
      </c>
      <c r="J1020" s="2" t="str">
        <f>HYPERLINK("https://www.nba.com/stats/events?CFID=&amp;CFPARAMS=&amp;GameEventID=140&amp;GameID=0021600817&amp;Season=2016-17&amp;flag=1&amp;title=Leonard%205'%20Hook%20Shot%20(4%20PTS)", "Leonard 5' Hook Shot (4 PTS)")</f>
        <v>Leonard 5' Hook Shot (4 PTS)</v>
      </c>
      <c r="K1020" s="2" t="str">
        <f>HYPERLINK("https://www.nba.com/game/...-vs-...-0021600817/play-by-play?watchFullGame=true", "SAS vs NYK - Q2 09:25.00")</f>
        <v>SAS vs NYK - Q2 09:25.00</v>
      </c>
      <c r="L1020">
        <v>5</v>
      </c>
      <c r="M1020">
        <v>-32</v>
      </c>
      <c r="N1020">
        <v>43</v>
      </c>
      <c r="O1020">
        <v>-32</v>
      </c>
      <c r="P1020">
        <v>43</v>
      </c>
    </row>
    <row r="1021" spans="1:16" x14ac:dyDescent="0.25">
      <c r="A1021">
        <v>22201196</v>
      </c>
      <c r="B1021">
        <v>2022</v>
      </c>
      <c r="C1021" t="s">
        <v>32</v>
      </c>
      <c r="D1021" t="s">
        <v>19</v>
      </c>
      <c r="E1021">
        <v>34</v>
      </c>
      <c r="F1021">
        <v>28</v>
      </c>
      <c r="G1021">
        <v>1</v>
      </c>
      <c r="H1021" s="1">
        <v>5.6828703703703707E-4</v>
      </c>
      <c r="I1021" t="s">
        <v>23</v>
      </c>
      <c r="J1021" s="2" t="str">
        <f>HYPERLINK("https://www.nba.com/stats/events?CFID=&amp;CFPARAMS=&amp;GameEventID=141&amp;GameID=0022201196&amp;Season=2022-23&amp;flag=1&amp;title=Leonard%208'%20fadeaway%20Jump%20Shot%20(8%20PTS)", "8' fadeaway Jump Shot (8 PTS)")</f>
        <v>8' fadeaway Jump Shot (8 PTS)</v>
      </c>
      <c r="K1021" s="2" t="str">
        <f>HYPERLINK("https://www.nba.com/game/...-vs-...-0022201196/play-by-play?watchFullGame=true", "LAC vs LAL - Q1 00:49.10")</f>
        <v>LAC vs LAL - Q1 00:49.10</v>
      </c>
      <c r="L1021">
        <v>8.43</v>
      </c>
      <c r="M1021">
        <v>86.12</v>
      </c>
      <c r="N1021">
        <v>43.63</v>
      </c>
      <c r="O1021">
        <v>-32</v>
      </c>
      <c r="P1021">
        <v>78</v>
      </c>
    </row>
    <row r="1022" spans="1:16" x14ac:dyDescent="0.25">
      <c r="A1022">
        <v>41400163</v>
      </c>
      <c r="B1022" t="s">
        <v>28</v>
      </c>
      <c r="C1022" t="s">
        <v>32</v>
      </c>
      <c r="D1022" t="s">
        <v>19</v>
      </c>
      <c r="E1022">
        <v>84</v>
      </c>
      <c r="F1022">
        <v>55</v>
      </c>
      <c r="G1022">
        <v>4</v>
      </c>
      <c r="H1022" s="1">
        <v>5.3125000000000004E-3</v>
      </c>
      <c r="I1022" t="s">
        <v>18</v>
      </c>
      <c r="J1022" s="2" t="str">
        <f>HYPERLINK("https://www.nba.com/stats/events?CFID=&amp;CFPARAMS=&amp;GameEventID=394&amp;GameID=0041400163&amp;Season=2014-15&amp;flag=1&amp;title=Leonard%2019'%20Jump%20Shot%20(31%20PTS)", "Leonard 19' Jump Shot (31 PTS)")</f>
        <v>Leonard 19' Jump Shot (31 PTS)</v>
      </c>
      <c r="K1022" s="2" t="str">
        <f>HYPERLINK("https://www.nba.com/game/...-vs-...-0041400163/play-by-play?watchFullGame=true", "SAS vs LAC - Q4 07:39.00")</f>
        <v>SAS vs LAC - Q4 07:39.00</v>
      </c>
      <c r="L1022">
        <v>19</v>
      </c>
      <c r="M1022">
        <v>-32</v>
      </c>
      <c r="N1022">
        <v>190</v>
      </c>
      <c r="O1022">
        <v>-32</v>
      </c>
      <c r="P1022">
        <v>190</v>
      </c>
    </row>
    <row r="1023" spans="1:16" x14ac:dyDescent="0.25">
      <c r="A1023">
        <v>21500790</v>
      </c>
      <c r="B1023">
        <v>2015</v>
      </c>
      <c r="C1023" t="s">
        <v>16</v>
      </c>
      <c r="D1023" t="s">
        <v>19</v>
      </c>
      <c r="E1023">
        <v>51</v>
      </c>
      <c r="F1023">
        <v>55</v>
      </c>
      <c r="G1023">
        <v>3</v>
      </c>
      <c r="H1023" s="1">
        <v>7.1064814814814819E-3</v>
      </c>
      <c r="I1023" t="s">
        <v>18</v>
      </c>
      <c r="J1023" s="2" t="str">
        <f>HYPERLINK("https://www.nba.com/stats/events?CFID=&amp;CFPARAMS=&amp;GameEventID=267&amp;GameID=0021500790&amp;Season=2015-16&amp;flag=1&amp;title=Leonard%2026'%203PT%20Jump%20Shot%20(18%20PTS)%20(Aldridge%202%20AST)", "Leonard 26' 3PT Jump Shot (18 PTS) (Aldridge 2 AST)")</f>
        <v>Leonard 26' 3PT Jump Shot (18 PTS) (Aldridge 2 AST)</v>
      </c>
      <c r="K1023" s="2" t="str">
        <f>HYPERLINK("https://www.nba.com/game/...-vs-...-0021500790/play-by-play?watchFullGame=true", "SAS vs ORL - Q3 10:14.00")</f>
        <v>SAS vs ORL - Q3 10:14.00</v>
      </c>
      <c r="L1023">
        <v>26</v>
      </c>
      <c r="M1023">
        <v>-32</v>
      </c>
      <c r="N1023">
        <v>254</v>
      </c>
      <c r="O1023">
        <v>-32</v>
      </c>
      <c r="P1023">
        <v>254</v>
      </c>
    </row>
    <row r="1024" spans="1:16" x14ac:dyDescent="0.25">
      <c r="A1024">
        <v>22000130</v>
      </c>
      <c r="B1024">
        <v>2020</v>
      </c>
      <c r="C1024" t="s">
        <v>32</v>
      </c>
      <c r="D1024" t="s">
        <v>47</v>
      </c>
      <c r="E1024">
        <v>14</v>
      </c>
      <c r="F1024">
        <v>26</v>
      </c>
      <c r="G1024">
        <v>1</v>
      </c>
      <c r="H1024" s="1">
        <v>2.1412037037037038E-3</v>
      </c>
      <c r="I1024" t="s">
        <v>23</v>
      </c>
      <c r="J1024" s="2" t="str">
        <f>HYPERLINK("https://www.nba.com/stats/events?CFID=&amp;CFPARAMS=&amp;GameEventID=115&amp;GameID=0022000130&amp;Season=2020-21&amp;flag=1&amp;title=Leonard%20driving%20reverse%20Layup%20(4%20PTS)", "Driving reverse Layup (4 PTS)")</f>
        <v>Driving reverse Layup (4 PTS)</v>
      </c>
      <c r="K1024" s="2" t="str">
        <f>HYPERLINK("https://www.nba.com/game/...-vs-...-0022000130/play-by-play?watchFullGame=true", "LAC vs GSW - Q1 03:05.00")</f>
        <v>LAC vs GSW - Q1 03:05.00</v>
      </c>
      <c r="L1024">
        <v>3.26</v>
      </c>
      <c r="M1024">
        <v>6.65</v>
      </c>
      <c r="N1024">
        <v>56.2</v>
      </c>
      <c r="O1024">
        <v>-31</v>
      </c>
      <c r="P1024">
        <v>10</v>
      </c>
    </row>
    <row r="1025" spans="1:16" x14ac:dyDescent="0.25">
      <c r="A1025">
        <v>22300505</v>
      </c>
      <c r="B1025">
        <v>2023</v>
      </c>
      <c r="C1025" t="s">
        <v>32</v>
      </c>
      <c r="D1025" t="s">
        <v>19</v>
      </c>
      <c r="E1025">
        <v>57</v>
      </c>
      <c r="F1025">
        <v>60</v>
      </c>
      <c r="G1025">
        <v>3</v>
      </c>
      <c r="H1025" s="1">
        <v>6.2268518518518515E-3</v>
      </c>
      <c r="I1025" t="s">
        <v>23</v>
      </c>
      <c r="J1025" s="2" t="str">
        <f>HYPERLINK("https://www.nba.com/stats/events?CFID=&amp;CFPARAMS=&amp;GameEventID=346&amp;GameID=0022300505&amp;Season=2023-24&amp;flag=1&amp;title=Leonard%209'%20floating%20Jump%20Shot%20(8%20PTS)", "9' floating Jump Shot (8 PTS)")</f>
        <v>9' floating Jump Shot (8 PTS)</v>
      </c>
      <c r="K1025" s="2" t="str">
        <f>HYPERLINK("https://www.nba.com/game/...-vs-...-0022300505/play-by-play?watchFullGame=true", "LAC vs LAL - Q3 08:58.00")</f>
        <v>LAC vs LAL - Q3 08:58.00</v>
      </c>
      <c r="L1025">
        <v>9.0399999999999991</v>
      </c>
      <c r="M1025">
        <v>14.64</v>
      </c>
      <c r="N1025">
        <v>56.13</v>
      </c>
      <c r="O1025">
        <v>-31</v>
      </c>
      <c r="P1025">
        <v>85</v>
      </c>
    </row>
    <row r="1026" spans="1:16" x14ac:dyDescent="0.25">
      <c r="A1026">
        <v>22300486</v>
      </c>
      <c r="B1026">
        <v>2023</v>
      </c>
      <c r="C1026" t="s">
        <v>32</v>
      </c>
      <c r="D1026" t="s">
        <v>19</v>
      </c>
      <c r="E1026">
        <v>70</v>
      </c>
      <c r="F1026">
        <v>99</v>
      </c>
      <c r="G1026">
        <v>4</v>
      </c>
      <c r="H1026" s="1">
        <v>5.2314814814814811E-3</v>
      </c>
      <c r="I1026" t="s">
        <v>23</v>
      </c>
      <c r="J1026" s="2" t="str">
        <f>HYPERLINK("https://www.nba.com/stats/events?CFID=&amp;CFPARAMS=&amp;GameEventID=524&amp;GameID=0022300486&amp;Season=2023-24&amp;flag=1&amp;title=Leonard%2010'%20step%20back%20Jump%20Shot%20(19%20PTS)", "10' step back Jump Shot (19 PTS)")</f>
        <v>10' step back Jump Shot (19 PTS)</v>
      </c>
      <c r="K1026" s="2" t="str">
        <f>HYPERLINK("https://www.nba.com/game/...-vs-...-0022300486/play-by-play?watchFullGame=true", "LAC vs NOP - Q4 07:32.00")</f>
        <v>LAC vs NOP - Q4 07:32.00</v>
      </c>
      <c r="L1026">
        <v>10.48</v>
      </c>
      <c r="M1026">
        <v>16.25</v>
      </c>
      <c r="N1026">
        <v>56.13</v>
      </c>
      <c r="O1026">
        <v>-31</v>
      </c>
      <c r="P1026">
        <v>100</v>
      </c>
    </row>
    <row r="1027" spans="1:16" x14ac:dyDescent="0.25">
      <c r="A1027">
        <v>22300372</v>
      </c>
      <c r="B1027">
        <v>2023</v>
      </c>
      <c r="C1027" t="s">
        <v>32</v>
      </c>
      <c r="D1027" t="s">
        <v>19</v>
      </c>
      <c r="E1027">
        <v>12</v>
      </c>
      <c r="F1027">
        <v>20</v>
      </c>
      <c r="G1027">
        <v>1</v>
      </c>
      <c r="H1027" s="1">
        <v>3.3217592592592591E-3</v>
      </c>
      <c r="I1027" t="s">
        <v>23</v>
      </c>
      <c r="J1027" s="2" t="str">
        <f>HYPERLINK("https://www.nba.com/stats/events?CFID=&amp;CFPARAMS=&amp;GameEventID=90&amp;GameID=0022300372&amp;Season=2023-24&amp;flag=1&amp;title=Leonard%2011'%20fadeaway%20Jump%20Shot%20(7%20PTS)", "11' fadeaway Jump Shot (7 PTS)")</f>
        <v>11' fadeaway Jump Shot (7 PTS)</v>
      </c>
      <c r="K1027" s="2" t="str">
        <f>HYPERLINK("https://www.nba.com/game/...-vs-...-0022300372/play-by-play?watchFullGame=true", "LAC vs DAL - Q1 04:47.00")</f>
        <v>LAC vs DAL - Q1 04:47.00</v>
      </c>
      <c r="L1027">
        <v>11.87</v>
      </c>
      <c r="M1027">
        <v>82.21</v>
      </c>
      <c r="N1027">
        <v>43.87</v>
      </c>
      <c r="O1027">
        <v>-31</v>
      </c>
      <c r="P1027">
        <v>115</v>
      </c>
    </row>
    <row r="1028" spans="1:16" x14ac:dyDescent="0.25">
      <c r="A1028">
        <v>22300658</v>
      </c>
      <c r="B1028">
        <v>2023</v>
      </c>
      <c r="C1028" t="s">
        <v>16</v>
      </c>
      <c r="D1028" t="s">
        <v>19</v>
      </c>
      <c r="E1028">
        <v>69</v>
      </c>
      <c r="F1028">
        <v>70</v>
      </c>
      <c r="G1028">
        <v>3</v>
      </c>
      <c r="H1028" s="1">
        <v>3.5995370370370369E-3</v>
      </c>
      <c r="I1028" t="s">
        <v>23</v>
      </c>
      <c r="J1028" s="2" t="str">
        <f>HYPERLINK("https://www.nba.com/stats/events?CFID=&amp;CFPARAMS=&amp;GameEventID=416&amp;GameID=0022300658&amp;Season=2023-24&amp;flag=1&amp;title=Leonard%2024'%203PT%20%20(21%20PTS)%20(P.%20George%202%20AST)", "24' 3PT  (21 PTS) (P. George 2 AST)")</f>
        <v>24' 3PT  (21 PTS) (P. George 2 AST)</v>
      </c>
      <c r="K1028" s="2" t="str">
        <f>HYPERLINK("https://www.nba.com/game/...-vs-...-0022300658/play-by-play?watchFullGame=true", "LAC vs CLE - Q3 05:11.00")</f>
        <v>LAC vs CLE - Q3 05:11.00</v>
      </c>
      <c r="L1028">
        <v>24.29</v>
      </c>
      <c r="M1028">
        <v>31.23</v>
      </c>
      <c r="N1028">
        <v>56.13</v>
      </c>
      <c r="O1028">
        <v>-31</v>
      </c>
      <c r="P1028">
        <v>241</v>
      </c>
    </row>
    <row r="1029" spans="1:16" x14ac:dyDescent="0.25">
      <c r="A1029">
        <v>41500153</v>
      </c>
      <c r="B1029" t="s">
        <v>25</v>
      </c>
      <c r="C1029" t="s">
        <v>32</v>
      </c>
      <c r="D1029" t="s">
        <v>52</v>
      </c>
      <c r="E1029">
        <v>2</v>
      </c>
      <c r="F1029">
        <v>4</v>
      </c>
      <c r="G1029">
        <v>1</v>
      </c>
      <c r="H1029" s="1">
        <v>7.5810185185185182E-3</v>
      </c>
      <c r="I1029" t="s">
        <v>18</v>
      </c>
      <c r="J1029" s="2" t="str">
        <f>HYPERLINK("https://www.nba.com/stats/events?CFID=&amp;CFPARAMS=&amp;GameEventID=8&amp;GameID=0041500153&amp;Season=2015-16&amp;flag=1&amp;title=Leonard%203'%20Alley%20Oop%20Layup%20(4%20PTS)%20(Duncan%201%20AST)", "Leonard 3' Alley Oop Layup (4 PTS) (Duncan 1 AST)")</f>
        <v>Leonard 3' Alley Oop Layup (4 PTS) (Duncan 1 AST)</v>
      </c>
      <c r="K1029" s="2" t="str">
        <f>HYPERLINK("https://www.nba.com/game/...-vs-...-0041500153/play-by-play?watchFullGame=true", "SAS vs MEM - Q1 10:55.00")</f>
        <v>SAS vs MEM - Q1 10:55.00</v>
      </c>
      <c r="L1029">
        <v>3</v>
      </c>
      <c r="M1029">
        <v>-30</v>
      </c>
      <c r="N1029">
        <v>-5</v>
      </c>
      <c r="O1029">
        <v>-30</v>
      </c>
      <c r="P1029">
        <v>-5</v>
      </c>
    </row>
    <row r="1030" spans="1:16" x14ac:dyDescent="0.25">
      <c r="A1030">
        <v>21601070</v>
      </c>
      <c r="B1030">
        <v>2016</v>
      </c>
      <c r="C1030" t="s">
        <v>32</v>
      </c>
      <c r="D1030" t="s">
        <v>43</v>
      </c>
      <c r="E1030">
        <v>63</v>
      </c>
      <c r="F1030">
        <v>50</v>
      </c>
      <c r="G1030">
        <v>3</v>
      </c>
      <c r="H1030" s="1">
        <v>4.6527777777777774E-3</v>
      </c>
      <c r="I1030" t="s">
        <v>18</v>
      </c>
      <c r="J1030" s="2" t="str">
        <f>HYPERLINK("https://www.nba.com/stats/events?CFID=&amp;CFPARAMS=&amp;GameEventID=301&amp;GameID=0021601070&amp;Season=2016-17&amp;flag=1&amp;title=Leonard%203'%20Turnaround%20Hook%20Shot%20(12%20PTS)%20(Green%202%20AST)", "Leonard 3' Turnaround Hook Shot (12 PTS) (Green 2 AST)")</f>
        <v>Leonard 3' Turnaround Hook Shot (12 PTS) (Green 2 AST)</v>
      </c>
      <c r="K1030" s="2" t="str">
        <f>HYPERLINK("https://www.nba.com/game/...-vs-...-0021601070/play-by-play?watchFullGame=true", "SAS vs MEM - Q3 06:42.00")</f>
        <v>SAS vs MEM - Q3 06:42.00</v>
      </c>
      <c r="L1030">
        <v>3</v>
      </c>
      <c r="M1030">
        <v>-30</v>
      </c>
      <c r="N1030">
        <v>2</v>
      </c>
      <c r="O1030">
        <v>-30</v>
      </c>
      <c r="P1030">
        <v>2</v>
      </c>
    </row>
    <row r="1031" spans="1:16" x14ac:dyDescent="0.25">
      <c r="A1031">
        <v>21900339</v>
      </c>
      <c r="B1031">
        <v>2019</v>
      </c>
      <c r="C1031" t="s">
        <v>32</v>
      </c>
      <c r="D1031" t="s">
        <v>53</v>
      </c>
      <c r="E1031">
        <v>68</v>
      </c>
      <c r="F1031">
        <v>80</v>
      </c>
      <c r="G1031">
        <v>3</v>
      </c>
      <c r="H1031" s="1">
        <v>5.4745370370370373E-3</v>
      </c>
      <c r="I1031" t="s">
        <v>23</v>
      </c>
      <c r="J1031" s="2" t="str">
        <f>HYPERLINK("https://www.nba.com/stats/events?CFID=&amp;CFPARAMS=&amp;GameEventID=436&amp;GameID=0021900339&amp;Season=2019-20&amp;flag=1&amp;title=Leonard%20hook%20(20%20PTS)", "Hook (20 PTS)")</f>
        <v>Hook (20 PTS)</v>
      </c>
      <c r="K1031" s="2" t="str">
        <f>HYPERLINK("https://www.nba.com/game/...-vs-...-0021900339/play-by-play?watchFullGame=true", "LAC vs WAS - Q3 07:53.00")</f>
        <v>LAC vs WAS - Q3 07:53.00</v>
      </c>
      <c r="L1031">
        <v>3.64</v>
      </c>
      <c r="M1031">
        <v>7.15</v>
      </c>
      <c r="N1031">
        <v>56.06</v>
      </c>
      <c r="O1031">
        <v>-30</v>
      </c>
      <c r="P1031">
        <v>15</v>
      </c>
    </row>
    <row r="1032" spans="1:16" x14ac:dyDescent="0.25">
      <c r="A1032">
        <v>22000775</v>
      </c>
      <c r="B1032">
        <v>2020</v>
      </c>
      <c r="C1032" t="s">
        <v>32</v>
      </c>
      <c r="D1032" t="s">
        <v>47</v>
      </c>
      <c r="E1032">
        <v>125</v>
      </c>
      <c r="F1032">
        <v>108</v>
      </c>
      <c r="G1032">
        <v>4</v>
      </c>
      <c r="H1032" s="1">
        <v>3.0671296296296297E-3</v>
      </c>
      <c r="I1032" t="s">
        <v>23</v>
      </c>
      <c r="J1032" s="2" t="str">
        <f>HYPERLINK("https://www.nba.com/stats/events?CFID=&amp;CFPARAMS=&amp;GameEventID=594&amp;GameID=0022000775&amp;Season=2020-21&amp;flag=1&amp;title=Leonard%20driving%20Layup%20(26%20PTS)%20(P.%20Beverley%202%20AST)", "Driving Layup (26 PTS) (P. Beverley 2 AST)")</f>
        <v>Driving Layup (26 PTS) (P. Beverley 2 AST)</v>
      </c>
      <c r="K1032" s="2" t="str">
        <f>HYPERLINK("https://www.nba.com/game/...-vs-...-0022000775/play-by-play?watchFullGame=true", "LAC vs POR - Q4 04:25.00")</f>
        <v>LAC vs POR - Q4 04:25.00</v>
      </c>
      <c r="L1032">
        <v>3.39</v>
      </c>
      <c r="M1032">
        <v>7.31</v>
      </c>
      <c r="N1032">
        <v>55.95</v>
      </c>
      <c r="O1032">
        <v>-30</v>
      </c>
      <c r="P1032">
        <v>16</v>
      </c>
    </row>
    <row r="1033" spans="1:16" x14ac:dyDescent="0.25">
      <c r="A1033">
        <v>21600782</v>
      </c>
      <c r="B1033">
        <v>2016</v>
      </c>
      <c r="C1033" t="s">
        <v>32</v>
      </c>
      <c r="D1033" t="s">
        <v>35</v>
      </c>
      <c r="E1033">
        <v>37</v>
      </c>
      <c r="F1033">
        <v>42</v>
      </c>
      <c r="G1033">
        <v>2</v>
      </c>
      <c r="H1033" s="1">
        <v>4.5370370370370373E-3</v>
      </c>
      <c r="I1033" t="s">
        <v>18</v>
      </c>
      <c r="J1033" s="2" t="str">
        <f>HYPERLINK("https://www.nba.com/stats/events?CFID=&amp;CFPARAMS=&amp;GameEventID=167&amp;GameID=0021600782&amp;Season=2016-17&amp;flag=1&amp;title=Leonard%207'%20Driving%20Floating%20Jump%20Shot%20(7%20PTS)%20(Parker%203%20AST)", "Leonard 7' Driving Floating Jump Shot (7 PTS) (Parker 3 AST)")</f>
        <v>Leonard 7' Driving Floating Jump Shot (7 PTS) (Parker 3 AST)</v>
      </c>
      <c r="K1033" s="2" t="str">
        <f>HYPERLINK("https://www.nba.com/game/...-vs-...-0021600782/play-by-play?watchFullGame=true", "SAS vs PHI - Q2 06:32.00")</f>
        <v>SAS vs PHI - Q2 06:32.00</v>
      </c>
      <c r="L1033">
        <v>7</v>
      </c>
      <c r="M1033">
        <v>-30</v>
      </c>
      <c r="N1033">
        <v>65</v>
      </c>
      <c r="O1033">
        <v>-30</v>
      </c>
      <c r="P1033">
        <v>65</v>
      </c>
    </row>
    <row r="1034" spans="1:16" x14ac:dyDescent="0.25">
      <c r="A1034">
        <v>21501177</v>
      </c>
      <c r="B1034">
        <v>2015</v>
      </c>
      <c r="C1034" t="s">
        <v>32</v>
      </c>
      <c r="D1034" t="s">
        <v>24</v>
      </c>
      <c r="E1034">
        <v>38</v>
      </c>
      <c r="F1034">
        <v>26</v>
      </c>
      <c r="G1034">
        <v>2</v>
      </c>
      <c r="H1034" s="1">
        <v>4.8263888888888887E-3</v>
      </c>
      <c r="I1034" t="s">
        <v>18</v>
      </c>
      <c r="J1034" s="2" t="str">
        <f>HYPERLINK("https://www.nba.com/stats/events?CFID=&amp;CFPARAMS=&amp;GameEventID=161&amp;GameID=0021501177&amp;Season=2015-16&amp;flag=1&amp;title=Leonard%2011'%20Turnaround%20Jump%20Shot%20(10%20PTS)", "Leonard 11' Turnaround Jump Shot (10 PTS)")</f>
        <v>Leonard 11' Turnaround Jump Shot (10 PTS)</v>
      </c>
      <c r="K1034" s="2" t="str">
        <f>HYPERLINK("https://www.nba.com/game/...-vs-...-0021501177/play-by-play?watchFullGame=true", "SAS vs GSW - Q2 06:57.00")</f>
        <v>SAS vs GSW - Q2 06:57.00</v>
      </c>
      <c r="L1034">
        <v>11</v>
      </c>
      <c r="M1034">
        <v>-30</v>
      </c>
      <c r="N1034">
        <v>101</v>
      </c>
      <c r="O1034">
        <v>-30</v>
      </c>
      <c r="P1034">
        <v>101</v>
      </c>
    </row>
    <row r="1035" spans="1:16" x14ac:dyDescent="0.25">
      <c r="A1035">
        <v>21600744</v>
      </c>
      <c r="B1035">
        <v>2016</v>
      </c>
      <c r="C1035" t="s">
        <v>32</v>
      </c>
      <c r="D1035" t="s">
        <v>29</v>
      </c>
      <c r="E1035">
        <v>2</v>
      </c>
      <c r="F1035">
        <v>0</v>
      </c>
      <c r="G1035">
        <v>1</v>
      </c>
      <c r="H1035" s="1">
        <v>7.766203703703704E-3</v>
      </c>
      <c r="I1035" t="s">
        <v>18</v>
      </c>
      <c r="J1035" s="2" t="str">
        <f>HYPERLINK("https://www.nba.com/stats/events?CFID=&amp;CFPARAMS=&amp;GameEventID=10&amp;GameID=0021600744&amp;Season=2016-17&amp;flag=1&amp;title=Leonard%2019'%20Pullup%20Jump%20Shot%20(2%20PTS)", "Leonard 19' Pullup Jump Shot (2 PTS)")</f>
        <v>Leonard 19' Pullup Jump Shot (2 PTS)</v>
      </c>
      <c r="K1035" s="2" t="str">
        <f>HYPERLINK("https://www.nba.com/game/...-vs-...-0021600744/play-by-play?watchFullGame=true", "SAS vs PHI - Q1 11:11.00")</f>
        <v>SAS vs PHI - Q1 11:11.00</v>
      </c>
      <c r="L1035">
        <v>19</v>
      </c>
      <c r="M1035">
        <v>-30</v>
      </c>
      <c r="N1035">
        <v>188</v>
      </c>
      <c r="O1035">
        <v>-30</v>
      </c>
      <c r="P1035">
        <v>188</v>
      </c>
    </row>
    <row r="1036" spans="1:16" x14ac:dyDescent="0.25">
      <c r="A1036">
        <v>21501177</v>
      </c>
      <c r="B1036">
        <v>2015</v>
      </c>
      <c r="C1036" t="s">
        <v>16</v>
      </c>
      <c r="D1036" t="s">
        <v>29</v>
      </c>
      <c r="E1036">
        <v>105</v>
      </c>
      <c r="F1036">
        <v>90</v>
      </c>
      <c r="G1036">
        <v>4</v>
      </c>
      <c r="H1036" s="1">
        <v>4.0740740740740737E-3</v>
      </c>
      <c r="I1036" t="s">
        <v>18</v>
      </c>
      <c r="J1036" s="2" t="str">
        <f>HYPERLINK("https://www.nba.com/stats/events?CFID=&amp;CFPARAMS=&amp;GameEventID=404&amp;GameID=0021501177&amp;Season=2015-16&amp;flag=1&amp;title=Leonard%2025'%203PT%20Pullup%20Jump%20Shot%20(23%20PTS)%20(Green%201%20AST)", "Leonard 25' 3PT Pullup Jump Shot (23 PTS) (Green 1 AST)")</f>
        <v>Leonard 25' 3PT Pullup Jump Shot (23 PTS) (Green 1 AST)</v>
      </c>
      <c r="K1036" s="2" t="str">
        <f>HYPERLINK("https://www.nba.com/game/...-vs-...-0021501177/play-by-play?watchFullGame=true", "SAS vs GSW - Q4 05:52.00")</f>
        <v>SAS vs GSW - Q4 05:52.00</v>
      </c>
      <c r="L1036">
        <v>25</v>
      </c>
      <c r="M1036">
        <v>-30</v>
      </c>
      <c r="N1036">
        <v>247</v>
      </c>
      <c r="O1036">
        <v>-30</v>
      </c>
      <c r="P1036">
        <v>247</v>
      </c>
    </row>
    <row r="1037" spans="1:16" x14ac:dyDescent="0.25">
      <c r="A1037">
        <v>21600225</v>
      </c>
      <c r="B1037">
        <v>2016</v>
      </c>
      <c r="C1037" t="s">
        <v>16</v>
      </c>
      <c r="D1037" t="s">
        <v>29</v>
      </c>
      <c r="E1037">
        <v>84</v>
      </c>
      <c r="F1037">
        <v>89</v>
      </c>
      <c r="G1037">
        <v>4</v>
      </c>
      <c r="H1037" s="1">
        <v>5.0462962962962961E-3</v>
      </c>
      <c r="I1037" t="s">
        <v>18</v>
      </c>
      <c r="J1037" s="2" t="str">
        <f>HYPERLINK("https://www.nba.com/stats/events?CFID=&amp;CFPARAMS=&amp;GameEventID=416&amp;GameID=0021600225&amp;Season=2016-17&amp;flag=1&amp;title=Leonard%2025'%203PT%20Pullup%20Jump%20Shot%20(19%20PTS)", "Leonard 25' 3PT Pullup Jump Shot (19 PTS)")</f>
        <v>Leonard 25' 3PT Pullup Jump Shot (19 PTS)</v>
      </c>
      <c r="K1037" s="2" t="str">
        <f>HYPERLINK("https://www.nba.com/game/...-vs-...-0021600225/play-by-play?watchFullGame=true", "SAS vs BOS - Q4 07:16.00")</f>
        <v>SAS vs BOS - Q4 07:16.00</v>
      </c>
      <c r="L1037">
        <v>25</v>
      </c>
      <c r="M1037">
        <v>-30</v>
      </c>
      <c r="N1037">
        <v>249</v>
      </c>
      <c r="O1037">
        <v>-30</v>
      </c>
      <c r="P1037">
        <v>249</v>
      </c>
    </row>
    <row r="1038" spans="1:16" x14ac:dyDescent="0.25">
      <c r="A1038">
        <v>21900035</v>
      </c>
      <c r="B1038">
        <v>2019</v>
      </c>
      <c r="C1038" t="s">
        <v>16</v>
      </c>
      <c r="D1038" t="s">
        <v>22</v>
      </c>
      <c r="E1038">
        <v>0</v>
      </c>
      <c r="F1038">
        <v>3</v>
      </c>
      <c r="G1038">
        <v>1</v>
      </c>
      <c r="H1038" s="1">
        <v>7.8240740740740736E-3</v>
      </c>
      <c r="I1038" t="s">
        <v>23</v>
      </c>
      <c r="J1038" s="2" t="str">
        <f>HYPERLINK("https://www.nba.com/stats/events?CFID=&amp;CFPARAMS=&amp;GameEventID=11&amp;GameID=0021900035&amp;Season=2019-20&amp;flag=1&amp;title=[LAC]%20Leonard%203pt%20shot:%20Made%20(3%20PTS)", "[LAC] Leonard 3pt shot: Made (3 PTS)")</f>
        <v>[LAC] Leonard 3pt shot: Made (3 PTS)</v>
      </c>
      <c r="K1038" s="2" t="str">
        <f>HYPERLINK("https://www.nba.com/game/...-vs-...-0021900035/play-by-play?watchFullGame=true", "LAC vs PHX - Q1 11:16.00")</f>
        <v>LAC vs PHX - Q1 11:16.00</v>
      </c>
      <c r="L1038">
        <v>25.93</v>
      </c>
      <c r="M1038">
        <v>32.409999999999997</v>
      </c>
      <c r="N1038">
        <v>55.95</v>
      </c>
      <c r="O1038">
        <v>-30</v>
      </c>
      <c r="P1038">
        <v>252</v>
      </c>
    </row>
    <row r="1039" spans="1:16" x14ac:dyDescent="0.25">
      <c r="A1039">
        <v>22000142</v>
      </c>
      <c r="B1039">
        <v>2020</v>
      </c>
      <c r="C1039" t="s">
        <v>16</v>
      </c>
      <c r="D1039" t="s">
        <v>19</v>
      </c>
      <c r="E1039">
        <v>73</v>
      </c>
      <c r="F1039">
        <v>77</v>
      </c>
      <c r="G1039">
        <v>3</v>
      </c>
      <c r="H1039" s="1">
        <v>5.347222222222222E-3</v>
      </c>
      <c r="I1039" t="s">
        <v>23</v>
      </c>
      <c r="J1039" s="2" t="str">
        <f>HYPERLINK("https://www.nba.com/stats/events?CFID=&amp;CFPARAMS=&amp;GameEventID=368&amp;GameID=0022000142&amp;Season=2020-21&amp;flag=1&amp;title=Leonard%2026'%203PT%20%20(23%20PTS)%20(P.%20Beverley%204%20AST)", "26' 3PT  (23 PTS) (P. Beverley 4 AST)")</f>
        <v>26' 3PT  (23 PTS) (P. Beverley 4 AST)</v>
      </c>
      <c r="K1039" s="2" t="str">
        <f>HYPERLINK("https://www.nba.com/game/...-vs-...-0022000142/play-by-play?watchFullGame=true", "LAC vs CHI - Q3 07:42.00")</f>
        <v>LAC vs CHI - Q3 07:42.00</v>
      </c>
      <c r="L1039">
        <v>26.1</v>
      </c>
      <c r="M1039">
        <v>66.84</v>
      </c>
      <c r="N1039">
        <v>43.94</v>
      </c>
      <c r="O1039">
        <v>-30</v>
      </c>
      <c r="P1039">
        <v>259</v>
      </c>
    </row>
    <row r="1040" spans="1:16" x14ac:dyDescent="0.25">
      <c r="A1040">
        <v>21600588</v>
      </c>
      <c r="B1040">
        <v>2016</v>
      </c>
      <c r="C1040" t="s">
        <v>32</v>
      </c>
      <c r="D1040" t="s">
        <v>54</v>
      </c>
      <c r="E1040">
        <v>88</v>
      </c>
      <c r="F1040">
        <v>64</v>
      </c>
      <c r="G1040">
        <v>3</v>
      </c>
      <c r="H1040" s="1">
        <v>3.7731481481481483E-3</v>
      </c>
      <c r="I1040" t="s">
        <v>18</v>
      </c>
      <c r="J1040" s="2" t="str">
        <f>HYPERLINK("https://www.nba.com/stats/events?CFID=&amp;CFPARAMS=&amp;GameEventID=368&amp;GameID=0021600588&amp;Season=2016-17&amp;flag=1&amp;title=Leonard%203'%20Driving%20Bank%20Shot%20(31%20PTS)", "Leonard 3' Driving Bank Shot (31 PTS)")</f>
        <v>Leonard 3' Driving Bank Shot (31 PTS)</v>
      </c>
      <c r="K1040" s="2" t="str">
        <f>HYPERLINK("https://www.nba.com/game/...-vs-...-0021600588/play-by-play?watchFullGame=true", "SAS vs LAL - Q3 05:26.00")</f>
        <v>SAS vs LAL - Q3 05:26.00</v>
      </c>
      <c r="L1040">
        <v>3</v>
      </c>
      <c r="M1040">
        <v>-29</v>
      </c>
      <c r="N1040">
        <v>-1</v>
      </c>
      <c r="O1040">
        <v>-29</v>
      </c>
      <c r="P1040">
        <v>-1</v>
      </c>
    </row>
    <row r="1041" spans="1:16" x14ac:dyDescent="0.25">
      <c r="A1041">
        <v>21600727</v>
      </c>
      <c r="B1041">
        <v>2016</v>
      </c>
      <c r="C1041" t="s">
        <v>32</v>
      </c>
      <c r="D1041" t="s">
        <v>55</v>
      </c>
      <c r="E1041">
        <v>90</v>
      </c>
      <c r="F1041">
        <v>79</v>
      </c>
      <c r="G1041">
        <v>4</v>
      </c>
      <c r="H1041" s="1">
        <v>5.1736111111111115E-3</v>
      </c>
      <c r="I1041" t="s">
        <v>18</v>
      </c>
      <c r="J1041" s="2" t="str">
        <f>HYPERLINK("https://www.nba.com/stats/events?CFID=&amp;CFPARAMS=&amp;GameEventID=549&amp;GameID=0021600727&amp;Season=2016-17&amp;flag=1&amp;title=Leonard%203'%20Driving%20Reverse%20Layup%20(28%20PTS)", "Leonard 3' Driving Reverse Layup (28 PTS)")</f>
        <v>Leonard 3' Driving Reverse Layup (28 PTS)</v>
      </c>
      <c r="K1041" s="2" t="str">
        <f>HYPERLINK("https://www.nba.com/game/...-vs-...-0021600727/play-by-play?watchFullGame=true", "SAS vs OKC - Q4 07:27.00")</f>
        <v>SAS vs OKC - Q4 07:27.00</v>
      </c>
      <c r="L1041">
        <v>3</v>
      </c>
      <c r="M1041">
        <v>-29</v>
      </c>
      <c r="N1041">
        <v>2</v>
      </c>
      <c r="O1041">
        <v>-29</v>
      </c>
      <c r="P1041">
        <v>2</v>
      </c>
    </row>
    <row r="1042" spans="1:16" x14ac:dyDescent="0.25">
      <c r="A1042">
        <v>41200407</v>
      </c>
      <c r="B1042" t="s">
        <v>27</v>
      </c>
      <c r="C1042" t="s">
        <v>32</v>
      </c>
      <c r="D1042" t="s">
        <v>49</v>
      </c>
      <c r="E1042">
        <v>62</v>
      </c>
      <c r="F1042">
        <v>59</v>
      </c>
      <c r="G1042">
        <v>3</v>
      </c>
      <c r="H1042" s="1">
        <v>2.3032407407407407E-3</v>
      </c>
      <c r="I1042" t="s">
        <v>18</v>
      </c>
      <c r="J1042" s="2" t="str">
        <f>HYPERLINK("https://www.nba.com/stats/events?CFID=&amp;CFPARAMS=&amp;GameEventID=344&amp;GameID=0041200407&amp;Season=2012-13&amp;flag=1&amp;title=Leonard%203'%20Driving%20Layup%20(13%20PTS)", "Leonard 3' Driving Layup (13 PTS)")</f>
        <v>Leonard 3' Driving Layup (13 PTS)</v>
      </c>
      <c r="K1042" s="2" t="str">
        <f>HYPERLINK("https://www.nba.com/game/...-vs-...-0041200407/play-by-play?watchFullGame=true", "SAS vs MIA - Q3 03:19.00")</f>
        <v>SAS vs MIA - Q3 03:19.00</v>
      </c>
      <c r="L1042">
        <v>3</v>
      </c>
      <c r="M1042">
        <v>-29</v>
      </c>
      <c r="N1042">
        <v>12</v>
      </c>
      <c r="O1042">
        <v>-29</v>
      </c>
      <c r="P1042">
        <v>12</v>
      </c>
    </row>
    <row r="1043" spans="1:16" x14ac:dyDescent="0.25">
      <c r="A1043">
        <v>22300676</v>
      </c>
      <c r="B1043">
        <v>2023</v>
      </c>
      <c r="C1043" t="s">
        <v>32</v>
      </c>
      <c r="D1043" t="s">
        <v>47</v>
      </c>
      <c r="E1043">
        <v>68</v>
      </c>
      <c r="F1043">
        <v>89</v>
      </c>
      <c r="G1043">
        <v>3</v>
      </c>
      <c r="H1043" s="1">
        <v>3.0324074074074073E-3</v>
      </c>
      <c r="I1043" t="s">
        <v>23</v>
      </c>
      <c r="J1043" s="2" t="str">
        <f>HYPERLINK("https://www.nba.com/stats/events?CFID=&amp;CFPARAMS=&amp;GameEventID=409&amp;GameID=0022300676&amp;Season=2023-24&amp;flag=1&amp;title=Leonard%20driving%20reverse%20Layup%20(25%20PTS)", "Driving reverse Layup (25 PTS)")</f>
        <v>Driving reverse Layup (25 PTS)</v>
      </c>
      <c r="K1043" s="2" t="str">
        <f>HYPERLINK("https://www.nba.com/game/...-vs-...-0022300676/play-by-play?watchFullGame=true", "LAC vs WAS - Q3 04:22.00")</f>
        <v>LAC vs WAS - Q3 04:22.00</v>
      </c>
      <c r="L1043">
        <v>3.19</v>
      </c>
      <c r="M1043">
        <v>6.92</v>
      </c>
      <c r="N1043">
        <v>55.88</v>
      </c>
      <c r="O1043">
        <v>-29</v>
      </c>
      <c r="P1043">
        <v>13</v>
      </c>
    </row>
    <row r="1044" spans="1:16" x14ac:dyDescent="0.25">
      <c r="A1044">
        <v>21901291</v>
      </c>
      <c r="B1044">
        <v>2019</v>
      </c>
      <c r="C1044" t="s">
        <v>32</v>
      </c>
      <c r="D1044" t="s">
        <v>50</v>
      </c>
      <c r="E1044">
        <v>19</v>
      </c>
      <c r="F1044">
        <v>26</v>
      </c>
      <c r="G1044">
        <v>1</v>
      </c>
      <c r="H1044" s="1">
        <v>2.662037037037037E-3</v>
      </c>
      <c r="I1044" t="s">
        <v>23</v>
      </c>
      <c r="J1044" s="2" t="str">
        <f>HYPERLINK("https://www.nba.com/stats/events?CFID=&amp;CFPARAMS=&amp;GameEventID=89&amp;GameID=0021901291&amp;Season=2019-20&amp;flag=1&amp;title=Leonard%20layup%20(8%20PTS)", "Layup (8 PTS)")</f>
        <v>Layup (8 PTS)</v>
      </c>
      <c r="K1044" s="2" t="str">
        <f>HYPERLINK("https://www.nba.com/game/...-vs-...-0021901291/play-by-play?watchFullGame=true", "LAC vs BKN - Q1 03:50.00")</f>
        <v>LAC vs BKN - Q1 03:50.00</v>
      </c>
      <c r="L1044">
        <v>4.01</v>
      </c>
      <c r="M1044">
        <v>92.07</v>
      </c>
      <c r="N1044">
        <v>44.19</v>
      </c>
      <c r="O1044">
        <v>-29</v>
      </c>
      <c r="P1044">
        <v>22</v>
      </c>
    </row>
    <row r="1045" spans="1:16" x14ac:dyDescent="0.25">
      <c r="A1045">
        <v>22000202</v>
      </c>
      <c r="B1045">
        <v>2020</v>
      </c>
      <c r="C1045" t="s">
        <v>32</v>
      </c>
      <c r="D1045" t="s">
        <v>19</v>
      </c>
      <c r="E1045">
        <v>2</v>
      </c>
      <c r="F1045">
        <v>3</v>
      </c>
      <c r="G1045">
        <v>1</v>
      </c>
      <c r="H1045" s="1">
        <v>7.7546296296296295E-3</v>
      </c>
      <c r="I1045" t="s">
        <v>23</v>
      </c>
      <c r="J1045" s="2" t="str">
        <f>HYPERLINK("https://www.nba.com/stats/events?CFID=&amp;CFPARAMS=&amp;GameEventID=14&amp;GameID=0022000202&amp;Season=2020-21&amp;flag=1&amp;title=Leonard%20floating%20Jump%20Shot%20(2%20PTS)", "Floating Jump Shot (2 PTS)")</f>
        <v>Floating Jump Shot (2 PTS)</v>
      </c>
      <c r="K1045" s="2" t="str">
        <f>HYPERLINK("https://www.nba.com/game/...-vs-...-0022000202/play-by-play?watchFullGame=true", "LAC vs IND - Q1 11:10.00")</f>
        <v>LAC vs IND - Q1 11:10.00</v>
      </c>
      <c r="L1045">
        <v>4.1399999999999997</v>
      </c>
      <c r="M1045">
        <v>91.28</v>
      </c>
      <c r="N1045">
        <v>44.19</v>
      </c>
      <c r="O1045">
        <v>-29</v>
      </c>
      <c r="P1045">
        <v>29</v>
      </c>
    </row>
    <row r="1046" spans="1:16" x14ac:dyDescent="0.25">
      <c r="A1046">
        <v>21600817</v>
      </c>
      <c r="B1046">
        <v>2016</v>
      </c>
      <c r="C1046" t="s">
        <v>32</v>
      </c>
      <c r="D1046" t="s">
        <v>17</v>
      </c>
      <c r="E1046">
        <v>59</v>
      </c>
      <c r="F1046">
        <v>59</v>
      </c>
      <c r="G1046">
        <v>3</v>
      </c>
      <c r="H1046" s="1">
        <v>3.460648148148148E-3</v>
      </c>
      <c r="I1046" t="s">
        <v>18</v>
      </c>
      <c r="J1046" s="2" t="str">
        <f>HYPERLINK("https://www.nba.com/stats/events?CFID=&amp;CFPARAMS=&amp;GameEventID=303&amp;GameID=0021600817&amp;Season=2016-17&amp;flag=1&amp;title=Leonard%205'%20Running%20Jump%20Shot%20(21%20PTS)", "Leonard 5' Running Jump Shot (21 PTS)")</f>
        <v>Leonard 5' Running Jump Shot (21 PTS)</v>
      </c>
      <c r="K1046" s="2" t="str">
        <f>HYPERLINK("https://www.nba.com/game/...-vs-...-0021600817/play-by-play?watchFullGame=true", "SAS vs NYK - Q3 04:59.00")</f>
        <v>SAS vs NYK - Q3 04:59.00</v>
      </c>
      <c r="L1046">
        <v>5</v>
      </c>
      <c r="M1046">
        <v>-29</v>
      </c>
      <c r="N1046">
        <v>43</v>
      </c>
      <c r="O1046">
        <v>-29</v>
      </c>
      <c r="P1046">
        <v>43</v>
      </c>
    </row>
    <row r="1047" spans="1:16" x14ac:dyDescent="0.25">
      <c r="A1047">
        <v>21600825</v>
      </c>
      <c r="B1047">
        <v>2016</v>
      </c>
      <c r="C1047" t="s">
        <v>32</v>
      </c>
      <c r="D1047" t="s">
        <v>19</v>
      </c>
      <c r="E1047">
        <v>97</v>
      </c>
      <c r="F1047">
        <v>100</v>
      </c>
      <c r="G1047">
        <v>4</v>
      </c>
      <c r="H1047" s="1">
        <v>2.0370370370370369E-3</v>
      </c>
      <c r="I1047" t="s">
        <v>18</v>
      </c>
      <c r="J1047" s="2" t="str">
        <f>HYPERLINK("https://www.nba.com/stats/events?CFID=&amp;CFPARAMS=&amp;GameEventID=486&amp;GameID=0021600825&amp;Season=2016-17&amp;flag=1&amp;title=Leonard%209'%20Jump%20Shot%20(31%20PTS)", "Leonard 9' Jump Shot (31 PTS)")</f>
        <v>Leonard 9' Jump Shot (31 PTS)</v>
      </c>
      <c r="K1047" s="2" t="str">
        <f>HYPERLINK("https://www.nba.com/game/...-vs-...-0021600825/play-by-play?watchFullGame=true", "SAS vs IND - Q4 02:56.00")</f>
        <v>SAS vs IND - Q4 02:56.00</v>
      </c>
      <c r="L1047">
        <v>9</v>
      </c>
      <c r="M1047">
        <v>-29</v>
      </c>
      <c r="N1047">
        <v>82</v>
      </c>
      <c r="O1047">
        <v>-29</v>
      </c>
      <c r="P1047">
        <v>82</v>
      </c>
    </row>
    <row r="1048" spans="1:16" x14ac:dyDescent="0.25">
      <c r="A1048">
        <v>22200525</v>
      </c>
      <c r="B1048">
        <v>2022</v>
      </c>
      <c r="C1048" t="s">
        <v>32</v>
      </c>
      <c r="D1048" t="s">
        <v>19</v>
      </c>
      <c r="E1048">
        <v>113</v>
      </c>
      <c r="F1048">
        <v>110</v>
      </c>
      <c r="G1048">
        <v>4</v>
      </c>
      <c r="H1048" s="1">
        <v>7.1759259259259259E-4</v>
      </c>
      <c r="I1048" t="s">
        <v>23</v>
      </c>
      <c r="J1048" s="2" t="str">
        <f>HYPERLINK("https://www.nba.com/stats/events?CFID=&amp;CFPARAMS=&amp;GameEventID=606&amp;GameID=0022200525&amp;Season=2022-23&amp;flag=1&amp;title=Leonard%2014'%20pullup%20Jump%20Shot%20(26%20PTS)", "14' pullup Jump Shot (26 PTS)")</f>
        <v>14' pullup Jump Shot (26 PTS)</v>
      </c>
      <c r="K1048" s="2" t="str">
        <f>HYPERLINK("https://www.nba.com/game/...-vs-...-0022200525/play-by-play?watchFullGame=true", "LAC vs BOS - Q4 01:02.00")</f>
        <v>LAC vs BOS - Q4 01:02.00</v>
      </c>
      <c r="L1048">
        <v>14.64</v>
      </c>
      <c r="M1048">
        <v>20.84</v>
      </c>
      <c r="N1048">
        <v>55.88</v>
      </c>
      <c r="O1048">
        <v>-29</v>
      </c>
      <c r="P1048">
        <v>143</v>
      </c>
    </row>
    <row r="1049" spans="1:16" x14ac:dyDescent="0.25">
      <c r="A1049">
        <v>41600154</v>
      </c>
      <c r="B1049" t="s">
        <v>30</v>
      </c>
      <c r="C1049" t="s">
        <v>16</v>
      </c>
      <c r="D1049" t="s">
        <v>19</v>
      </c>
      <c r="E1049">
        <v>51</v>
      </c>
      <c r="F1049">
        <v>48</v>
      </c>
      <c r="G1049">
        <v>2</v>
      </c>
      <c r="H1049" s="1">
        <v>4.259259259259259E-4</v>
      </c>
      <c r="I1049" t="s">
        <v>18</v>
      </c>
      <c r="J1049" s="2" t="str">
        <f>HYPERLINK("https://www.nba.com/stats/events?CFID=&amp;CFPARAMS=&amp;GameEventID=240&amp;GameID=0041600154&amp;Season=2016-17&amp;flag=1&amp;title=Leonard%2025'%203PT%20Jump%20Shot%20(15%20PTS)%20(Parker%203%20AST)", "Leonard 25' 3PT Jump Shot (15 PTS) (Parker 3 AST)")</f>
        <v>Leonard 25' 3PT Jump Shot (15 PTS) (Parker 3 AST)</v>
      </c>
      <c r="K1049" s="2" t="str">
        <f>HYPERLINK("https://www.nba.com/game/...-vs-...-0041600154/play-by-play?watchFullGame=true", "SAS vs MEM - Q2 00:36.80")</f>
        <v>SAS vs MEM - Q2 00:36.80</v>
      </c>
      <c r="L1049">
        <v>25</v>
      </c>
      <c r="M1049">
        <v>-29</v>
      </c>
      <c r="N1049">
        <v>244</v>
      </c>
      <c r="O1049">
        <v>-29</v>
      </c>
      <c r="P1049">
        <v>244</v>
      </c>
    </row>
    <row r="1050" spans="1:16" x14ac:dyDescent="0.25">
      <c r="A1050">
        <v>22000387</v>
      </c>
      <c r="B1050">
        <v>2020</v>
      </c>
      <c r="C1050" t="s">
        <v>16</v>
      </c>
      <c r="D1050" t="s">
        <v>19</v>
      </c>
      <c r="E1050">
        <v>94</v>
      </c>
      <c r="F1050">
        <v>107</v>
      </c>
      <c r="G1050">
        <v>4</v>
      </c>
      <c r="H1050" s="1">
        <v>2.4189814814814816E-3</v>
      </c>
      <c r="I1050" t="s">
        <v>23</v>
      </c>
      <c r="J1050" s="2" t="str">
        <f>HYPERLINK("https://www.nba.com/stats/events?CFID=&amp;CFPARAMS=&amp;GameEventID=608&amp;GameID=0022000387&amp;Season=2020-21&amp;flag=1&amp;title=Leonard%2025'%203PT%20pullup%20(33%20PTS)%20(M.%20Morris%20Sr.%201%20AST)", "25' 3PT pullup (33 PTS) (M. Morris Sr. 1 AST)")</f>
        <v>25' 3PT pullup (33 PTS) (M. Morris Sr. 1 AST)</v>
      </c>
      <c r="K1050" s="2" t="str">
        <f>HYPERLINK("https://www.nba.com/game/...-vs-...-0022000387/play-by-play?watchFullGame=true", "LAC vs MIN - Q4 03:29.00")</f>
        <v>LAC vs MIN - Q4 03:29.00</v>
      </c>
      <c r="L1050">
        <v>25.62</v>
      </c>
      <c r="M1050">
        <v>32.67</v>
      </c>
      <c r="N1050">
        <v>55.71</v>
      </c>
      <c r="O1050">
        <v>-29</v>
      </c>
      <c r="P1050">
        <v>255</v>
      </c>
    </row>
    <row r="1051" spans="1:16" x14ac:dyDescent="0.25">
      <c r="A1051">
        <v>22200810</v>
      </c>
      <c r="B1051">
        <v>2022</v>
      </c>
      <c r="C1051" t="s">
        <v>16</v>
      </c>
      <c r="D1051" t="s">
        <v>19</v>
      </c>
      <c r="E1051">
        <v>14</v>
      </c>
      <c r="F1051">
        <v>10</v>
      </c>
      <c r="G1051">
        <v>1</v>
      </c>
      <c r="H1051" s="1">
        <v>4.8379629629629632E-3</v>
      </c>
      <c r="I1051" t="s">
        <v>23</v>
      </c>
      <c r="J1051" s="2" t="str">
        <f>HYPERLINK("https://www.nba.com/stats/events?CFID=&amp;CFPARAMS=&amp;GameEventID=48&amp;GameID=0022200810&amp;Season=2022-23&amp;flag=1&amp;title=Leonard%2026'%203PT%20%20(3%20PTS)%20(P.%20George%201%20AST)", "26' 3PT  (3 PTS) (P. George 1 AST)")</f>
        <v>26' 3PT  (3 PTS) (P. George 1 AST)</v>
      </c>
      <c r="K1051" s="2" t="str">
        <f>HYPERLINK("https://www.nba.com/game/...-vs-...-0022200810/play-by-play?watchFullGame=true", "LAC vs BKN - Q1 06:58.00")</f>
        <v>LAC vs BKN - Q1 06:58.00</v>
      </c>
      <c r="L1051">
        <v>26.7</v>
      </c>
      <c r="M1051">
        <v>66.180000000000007</v>
      </c>
      <c r="N1051">
        <v>44.12</v>
      </c>
      <c r="O1051">
        <v>-29</v>
      </c>
      <c r="P1051">
        <v>265</v>
      </c>
    </row>
    <row r="1052" spans="1:16" x14ac:dyDescent="0.25">
      <c r="A1052">
        <v>41800305</v>
      </c>
      <c r="B1052" t="s">
        <v>20</v>
      </c>
      <c r="C1052" t="s">
        <v>16</v>
      </c>
      <c r="D1052" t="s">
        <v>29</v>
      </c>
      <c r="E1052">
        <v>81</v>
      </c>
      <c r="F1052">
        <v>82</v>
      </c>
      <c r="G1052">
        <v>4</v>
      </c>
      <c r="H1052" s="1">
        <v>5.9027777777777776E-3</v>
      </c>
      <c r="I1052" t="s">
        <v>21</v>
      </c>
      <c r="J1052" s="2" t="str">
        <f>HYPERLINK("https://www.nba.com/stats/events?CFID=&amp;CFPARAMS=&amp;GameEventID=526&amp;GameID=0041800305&amp;Season=2018-19&amp;flag=1&amp;title=Leonard%2027'%203PT%20Pullup%20Jump%20Shot%20(27%20PTS)", "Leonard 27' 3PT Pullup Jump Shot (27 PTS)")</f>
        <v>Leonard 27' 3PT Pullup Jump Shot (27 PTS)</v>
      </c>
      <c r="K1052" s="2" t="str">
        <f>HYPERLINK("https://www.nba.com/game/...-vs-...-0041800305/play-by-play?watchFullGame=true", "TOR vs MIL - Q4 08:30.00")</f>
        <v>TOR vs MIL - Q4 08:30.00</v>
      </c>
      <c r="L1052">
        <v>27</v>
      </c>
      <c r="M1052">
        <v>-29</v>
      </c>
      <c r="N1052">
        <v>265</v>
      </c>
      <c r="O1052">
        <v>-29</v>
      </c>
      <c r="P1052">
        <v>265</v>
      </c>
    </row>
    <row r="1053" spans="1:16" x14ac:dyDescent="0.25">
      <c r="A1053">
        <v>22201162</v>
      </c>
      <c r="B1053">
        <v>2022</v>
      </c>
      <c r="C1053" t="s">
        <v>32</v>
      </c>
      <c r="D1053" t="s">
        <v>47</v>
      </c>
      <c r="E1053">
        <v>42</v>
      </c>
      <c r="F1053">
        <v>49</v>
      </c>
      <c r="G1053">
        <v>2</v>
      </c>
      <c r="H1053" s="1">
        <v>2.673611111111111E-3</v>
      </c>
      <c r="I1053" t="s">
        <v>23</v>
      </c>
      <c r="J1053" s="2" t="str">
        <f>HYPERLINK("https://www.nba.com/stats/events?CFID=&amp;CFPARAMS=&amp;GameEventID=290&amp;GameID=0022201162&amp;Season=2022-23&amp;flag=1&amp;title=Leonard%20driving%20Layup%20(10%20PTS)", "Driving Layup (10 PTS)")</f>
        <v>Driving Layup (10 PTS)</v>
      </c>
      <c r="K1053" s="2" t="str">
        <f>HYPERLINK("https://www.nba.com/game/...-vs-...-0022201162/play-by-play?watchFullGame=true", "LAC vs NOP - Q2 03:51.00")</f>
        <v>LAC vs NOP - Q2 03:51.00</v>
      </c>
      <c r="L1053">
        <v>4.8499999999999996</v>
      </c>
      <c r="M1053">
        <v>90.23</v>
      </c>
      <c r="N1053">
        <v>44.36</v>
      </c>
      <c r="O1053">
        <v>-28</v>
      </c>
      <c r="P1053">
        <v>39</v>
      </c>
    </row>
    <row r="1054" spans="1:16" x14ac:dyDescent="0.25">
      <c r="A1054">
        <v>22400751</v>
      </c>
      <c r="B1054">
        <v>2024</v>
      </c>
      <c r="C1054" t="s">
        <v>32</v>
      </c>
      <c r="D1054" t="s">
        <v>19</v>
      </c>
      <c r="E1054">
        <v>101</v>
      </c>
      <c r="F1054">
        <v>93</v>
      </c>
      <c r="G1054">
        <v>4</v>
      </c>
      <c r="H1054" s="1">
        <v>6.2268518518518515E-3</v>
      </c>
      <c r="I1054" t="s">
        <v>23</v>
      </c>
      <c r="J1054" s="2" t="str">
        <f>HYPERLINK("https://www.nba.com/stats/events?CFID=&amp;CFPARAMS=&amp;GameEventID=547&amp;GameID=0022400751&amp;Season=2024-25&amp;flag=1&amp;title=Leonard%2011'%20fadeaway%20Jump%20Shot%20(10%20PTS)", "11' fadeaway Jump Shot (10 PTS)")</f>
        <v>11' fadeaway Jump Shot (10 PTS)</v>
      </c>
      <c r="K1054" s="2" t="str">
        <f>HYPERLINK("https://www.nba.com/game/...-vs-...-0022400751/play-by-play?watchFullGame=true", "LAC vs UTA - Q4 08:58.00")</f>
        <v>LAC vs UTA - Q4 08:58.00</v>
      </c>
      <c r="L1054">
        <v>11.34</v>
      </c>
      <c r="M1054">
        <v>82.74</v>
      </c>
      <c r="N1054">
        <v>44.36</v>
      </c>
      <c r="O1054">
        <v>-28</v>
      </c>
      <c r="P1054">
        <v>110</v>
      </c>
    </row>
    <row r="1055" spans="1:16" x14ac:dyDescent="0.25">
      <c r="A1055">
        <v>22201096</v>
      </c>
      <c r="B1055">
        <v>2022</v>
      </c>
      <c r="C1055" t="s">
        <v>16</v>
      </c>
      <c r="D1055" t="s">
        <v>19</v>
      </c>
      <c r="E1055">
        <v>30</v>
      </c>
      <c r="F1055">
        <v>27</v>
      </c>
      <c r="G1055">
        <v>1</v>
      </c>
      <c r="H1055" s="1">
        <v>1.2152777777777778E-3</v>
      </c>
      <c r="I1055" t="s">
        <v>23</v>
      </c>
      <c r="J1055" s="2" t="str">
        <f>HYPERLINK("https://www.nba.com/stats/events?CFID=&amp;CFPARAMS=&amp;GameEventID=117&amp;GameID=0022201096&amp;Season=2022-23&amp;flag=1&amp;title=Leonard%2025'%203PT%20%20(13%20PTS)%20(T.%20Mann%201%20AST)", "25' 3PT  (13 PTS) (T. Mann 1 AST)")</f>
        <v>25' 3PT  (13 PTS) (T. Mann 1 AST)</v>
      </c>
      <c r="K1055" s="2" t="str">
        <f>HYPERLINK("https://www.nba.com/game/...-vs-...-0022201096/play-by-play?watchFullGame=true", "LAC vs OKC - Q1 01:45.00")</f>
        <v>LAC vs OKC - Q1 01:45.00</v>
      </c>
      <c r="L1055">
        <v>25.13</v>
      </c>
      <c r="M1055">
        <v>67.849999999999994</v>
      </c>
      <c r="N1055">
        <v>44.36</v>
      </c>
      <c r="O1055">
        <v>-28</v>
      </c>
      <c r="P1055">
        <v>250</v>
      </c>
    </row>
    <row r="1056" spans="1:16" x14ac:dyDescent="0.25">
      <c r="A1056">
        <v>21500905</v>
      </c>
      <c r="B1056">
        <v>2015</v>
      </c>
      <c r="C1056" t="s">
        <v>32</v>
      </c>
      <c r="D1056" t="s">
        <v>56</v>
      </c>
      <c r="E1056">
        <v>44</v>
      </c>
      <c r="F1056">
        <v>46</v>
      </c>
      <c r="G1056">
        <v>2</v>
      </c>
      <c r="H1056" s="1">
        <v>1.8634259259259259E-3</v>
      </c>
      <c r="I1056" t="s">
        <v>18</v>
      </c>
      <c r="J1056" s="2" t="str">
        <f>HYPERLINK("https://www.nba.com/stats/events?CFID=&amp;CFPARAMS=&amp;GameEventID=189&amp;GameID=0021500905&amp;Season=2015-16&amp;flag=1&amp;title=Leonard%203'%20Running%20Layup%20(13%20PTS)", "Leonard 3' Running Layup (13 PTS)")</f>
        <v>Leonard 3' Running Layup (13 PTS)</v>
      </c>
      <c r="K1056" s="2" t="str">
        <f>HYPERLINK("https://www.nba.com/game/...-vs-...-0021500905/play-by-play?watchFullGame=true", "SAS vs DET - Q2 02:41.00")</f>
        <v>SAS vs DET - Q2 02:41.00</v>
      </c>
      <c r="L1056">
        <v>3</v>
      </c>
      <c r="M1056">
        <v>-27</v>
      </c>
      <c r="N1056">
        <v>0</v>
      </c>
      <c r="O1056">
        <v>-27</v>
      </c>
      <c r="P1056">
        <v>0</v>
      </c>
    </row>
    <row r="1057" spans="1:16" x14ac:dyDescent="0.25">
      <c r="A1057">
        <v>21500767</v>
      </c>
      <c r="B1057">
        <v>2015</v>
      </c>
      <c r="C1057" t="s">
        <v>32</v>
      </c>
      <c r="D1057" t="s">
        <v>57</v>
      </c>
      <c r="E1057">
        <v>72</v>
      </c>
      <c r="F1057">
        <v>66</v>
      </c>
      <c r="G1057">
        <v>3</v>
      </c>
      <c r="H1057" s="1">
        <v>3.3449074074074076E-3</v>
      </c>
      <c r="I1057" t="s">
        <v>18</v>
      </c>
      <c r="J1057" s="2" t="str">
        <f>HYPERLINK("https://www.nba.com/stats/events?CFID=&amp;CFPARAMS=&amp;GameEventID=351&amp;GameID=0021500767&amp;Season=2015-16&amp;flag=1&amp;title=Leonard%203'%20Layup%20(19%20PTS)%20(Parker%204%20AST)", "Leonard 3' Layup (19 PTS) (Parker 4 AST)")</f>
        <v>Leonard 3' Layup (19 PTS) (Parker 4 AST)</v>
      </c>
      <c r="K1057" s="2" t="str">
        <f>HYPERLINK("https://www.nba.com/game/...-vs-...-0021500767/play-by-play?watchFullGame=true", "SAS vs LAL - Q3 04:49.00")</f>
        <v>SAS vs LAL - Q3 04:49.00</v>
      </c>
      <c r="L1057">
        <v>3</v>
      </c>
      <c r="M1057">
        <v>-27</v>
      </c>
      <c r="N1057">
        <v>2</v>
      </c>
      <c r="O1057">
        <v>-27</v>
      </c>
      <c r="P1057">
        <v>2</v>
      </c>
    </row>
    <row r="1058" spans="1:16" x14ac:dyDescent="0.25">
      <c r="A1058">
        <v>41500153</v>
      </c>
      <c r="B1058" t="s">
        <v>25</v>
      </c>
      <c r="C1058" t="s">
        <v>32</v>
      </c>
      <c r="D1058" t="s">
        <v>52</v>
      </c>
      <c r="E1058">
        <v>61</v>
      </c>
      <c r="F1058">
        <v>62</v>
      </c>
      <c r="G1058">
        <v>3</v>
      </c>
      <c r="H1058" s="1">
        <v>2.4189814814814816E-3</v>
      </c>
      <c r="I1058" t="s">
        <v>18</v>
      </c>
      <c r="J1058" s="2" t="str">
        <f>HYPERLINK("https://www.nba.com/stats/events?CFID=&amp;CFPARAMS=&amp;GameEventID=333&amp;GameID=0041500153&amp;Season=2015-16&amp;flag=1&amp;title=Leonard%203'%20Alley%20Oop%20Layup%20(19%20PTS)%20(Ginobili%203%20AST)", "Leonard 3' Alley Oop Layup (19 PTS) (Ginobili 3 AST)")</f>
        <v>Leonard 3' Alley Oop Layup (19 PTS) (Ginobili 3 AST)</v>
      </c>
      <c r="K1058" s="2" t="str">
        <f>HYPERLINK("https://www.nba.com/game/...-vs-...-0041500153/play-by-play?watchFullGame=true", "SAS vs MEM - Q3 03:29.00")</f>
        <v>SAS vs MEM - Q3 03:29.00</v>
      </c>
      <c r="L1058">
        <v>3</v>
      </c>
      <c r="M1058">
        <v>-27</v>
      </c>
      <c r="N1058">
        <v>8</v>
      </c>
      <c r="O1058">
        <v>-27</v>
      </c>
      <c r="P1058">
        <v>8</v>
      </c>
    </row>
    <row r="1059" spans="1:16" x14ac:dyDescent="0.25">
      <c r="A1059">
        <v>21400314</v>
      </c>
      <c r="B1059">
        <v>2014</v>
      </c>
      <c r="C1059" t="s">
        <v>32</v>
      </c>
      <c r="D1059" t="s">
        <v>17</v>
      </c>
      <c r="E1059">
        <v>38</v>
      </c>
      <c r="F1059">
        <v>40</v>
      </c>
      <c r="G1059">
        <v>2</v>
      </c>
      <c r="H1059" s="1">
        <v>2.4305555555555556E-3</v>
      </c>
      <c r="I1059" t="s">
        <v>18</v>
      </c>
      <c r="J1059" s="2" t="str">
        <f>HYPERLINK("https://www.nba.com/stats/events?CFID=&amp;CFPARAMS=&amp;GameEventID=194&amp;GameID=0021400314&amp;Season=2014-15&amp;flag=1&amp;title=Leonard%204'%20Running%20Jump%20Shot%20(5%20PTS)", "Leonard 4' Running Jump Shot (5 PTS)")</f>
        <v>Leonard 4' Running Jump Shot (5 PTS)</v>
      </c>
      <c r="K1059" s="2" t="str">
        <f>HYPERLINK("https://www.nba.com/game/...-vs-...-0021400314/play-by-play?watchFullGame=true", "SAS vs UTA - Q2 03:30.00")</f>
        <v>SAS vs UTA - Q2 03:30.00</v>
      </c>
      <c r="L1059">
        <v>4</v>
      </c>
      <c r="M1059">
        <v>-27</v>
      </c>
      <c r="N1059">
        <v>31</v>
      </c>
      <c r="O1059">
        <v>-27</v>
      </c>
      <c r="P1059">
        <v>31</v>
      </c>
    </row>
    <row r="1060" spans="1:16" x14ac:dyDescent="0.25">
      <c r="A1060">
        <v>21501177</v>
      </c>
      <c r="B1060">
        <v>2015</v>
      </c>
      <c r="C1060" t="s">
        <v>32</v>
      </c>
      <c r="D1060" t="s">
        <v>40</v>
      </c>
      <c r="E1060">
        <v>46</v>
      </c>
      <c r="F1060">
        <v>40</v>
      </c>
      <c r="G1060">
        <v>2</v>
      </c>
      <c r="H1060" s="1">
        <v>6.9328703703703707E-4</v>
      </c>
      <c r="I1060" t="s">
        <v>18</v>
      </c>
      <c r="J1060" s="2" t="str">
        <f>HYPERLINK("https://www.nba.com/stats/events?CFID=&amp;CFPARAMS=&amp;GameEventID=221&amp;GameID=0021501177&amp;Season=2015-16&amp;flag=1&amp;title=Leonard%205'%20Hook%20Shot%20(14%20PTS)", "Leonard 5' Hook Shot (14 PTS)")</f>
        <v>Leonard 5' Hook Shot (14 PTS)</v>
      </c>
      <c r="K1060" s="2" t="str">
        <f>HYPERLINK("https://www.nba.com/game/...-vs-...-0021501177/play-by-play?watchFullGame=true", "SAS vs GSW - Q2 00:59.90")</f>
        <v>SAS vs GSW - Q2 00:59.90</v>
      </c>
      <c r="L1060">
        <v>5</v>
      </c>
      <c r="M1060">
        <v>-27</v>
      </c>
      <c r="N1060">
        <v>47</v>
      </c>
      <c r="O1060">
        <v>-27</v>
      </c>
      <c r="P1060">
        <v>47</v>
      </c>
    </row>
    <row r="1061" spans="1:16" x14ac:dyDescent="0.25">
      <c r="A1061">
        <v>22200438</v>
      </c>
      <c r="B1061">
        <v>2022</v>
      </c>
      <c r="C1061" t="s">
        <v>32</v>
      </c>
      <c r="D1061" t="s">
        <v>19</v>
      </c>
      <c r="E1061">
        <v>98</v>
      </c>
      <c r="F1061">
        <v>89</v>
      </c>
      <c r="G1061">
        <v>4</v>
      </c>
      <c r="H1061" s="1">
        <v>1.3888888888888889E-3</v>
      </c>
      <c r="I1061" t="s">
        <v>23</v>
      </c>
      <c r="J1061" s="2" t="str">
        <f>HYPERLINK("https://www.nba.com/stats/events?CFID=&amp;CFPARAMS=&amp;GameEventID=593&amp;GameID=0022200438&amp;Season=2022-23&amp;flag=1&amp;title=Leonard%207'%20floating%20Jump%20Shot%20(31%20PTS)", "7' floating Jump Shot (31 PTS)")</f>
        <v>7' floating Jump Shot (31 PTS)</v>
      </c>
      <c r="K1061" s="2" t="str">
        <f>HYPERLINK("https://www.nba.com/game/...-vs-...-0022200438/play-by-play?watchFullGame=true", "LAC vs WAS - Q4 02:00.00")</f>
        <v>LAC vs WAS - Q4 02:00.00</v>
      </c>
      <c r="L1061">
        <v>7.33</v>
      </c>
      <c r="M1061">
        <v>87.17</v>
      </c>
      <c r="N1061">
        <v>44.61</v>
      </c>
      <c r="O1061">
        <v>-27</v>
      </c>
      <c r="P1061">
        <v>68</v>
      </c>
    </row>
    <row r="1062" spans="1:16" x14ac:dyDescent="0.25">
      <c r="A1062">
        <v>21601227</v>
      </c>
      <c r="B1062">
        <v>2016</v>
      </c>
      <c r="C1062" t="s">
        <v>32</v>
      </c>
      <c r="D1062" t="s">
        <v>19</v>
      </c>
      <c r="E1062">
        <v>11</v>
      </c>
      <c r="F1062">
        <v>10</v>
      </c>
      <c r="G1062">
        <v>1</v>
      </c>
      <c r="H1062" s="1">
        <v>3.9467592592592592E-3</v>
      </c>
      <c r="I1062" t="s">
        <v>18</v>
      </c>
      <c r="J1062" s="2" t="str">
        <f>HYPERLINK("https://www.nba.com/stats/events?CFID=&amp;CFPARAMS=&amp;GameEventID=54&amp;GameID=0021601227&amp;Season=2016-17&amp;flag=1&amp;title=Leonard%208'%20Jump%20Shot%20(2%20PTS)", "Leonard 8' Jump Shot (2 PTS)")</f>
        <v>Leonard 8' Jump Shot (2 PTS)</v>
      </c>
      <c r="K1062" s="2" t="str">
        <f>HYPERLINK("https://www.nba.com/game/...-vs-...-0021601227/play-by-play?watchFullGame=true", "SAS vs UTA - Q1 05:41.00")</f>
        <v>SAS vs UTA - Q1 05:41.00</v>
      </c>
      <c r="L1062">
        <v>8</v>
      </c>
      <c r="M1062">
        <v>-27</v>
      </c>
      <c r="N1062">
        <v>70</v>
      </c>
      <c r="O1062">
        <v>-27</v>
      </c>
      <c r="P1062">
        <v>70</v>
      </c>
    </row>
    <row r="1063" spans="1:16" x14ac:dyDescent="0.25">
      <c r="A1063">
        <v>22400733</v>
      </c>
      <c r="B1063">
        <v>2024</v>
      </c>
      <c r="C1063" t="s">
        <v>32</v>
      </c>
      <c r="D1063" t="s">
        <v>19</v>
      </c>
      <c r="E1063">
        <v>96</v>
      </c>
      <c r="F1063">
        <v>94</v>
      </c>
      <c r="G1063">
        <v>4</v>
      </c>
      <c r="H1063" s="1">
        <v>5.1273148148148146E-3</v>
      </c>
      <c r="I1063" t="s">
        <v>23</v>
      </c>
      <c r="J1063" s="2" t="str">
        <f>HYPERLINK("https://www.nba.com/stats/events?CFID=&amp;CFPARAMS=&amp;GameEventID=547&amp;GameID=0022400733&amp;Season=2024-25&amp;flag=1&amp;title=Leonard%208'%20running%20pullup%20Jump%20Shot%20(14%20PTS)", "8' running pullup Jump Shot (14 PTS)")</f>
        <v>8' running pullup Jump Shot (14 PTS)</v>
      </c>
      <c r="K1063" s="2" t="str">
        <f>HYPERLINK("https://www.nba.com/game/...-vs-...-0022400733/play-by-play?watchFullGame=true", "LAC vs IND - Q4 07:23.00")</f>
        <v>LAC vs IND - Q4 07:23.00</v>
      </c>
      <c r="L1063">
        <v>8.1300000000000008</v>
      </c>
      <c r="M1063">
        <v>13.75</v>
      </c>
      <c r="N1063">
        <v>55.39</v>
      </c>
      <c r="O1063">
        <v>-27</v>
      </c>
      <c r="P1063">
        <v>77</v>
      </c>
    </row>
    <row r="1064" spans="1:16" x14ac:dyDescent="0.25">
      <c r="A1064">
        <v>22000239</v>
      </c>
      <c r="B1064">
        <v>2020</v>
      </c>
      <c r="C1064" t="s">
        <v>32</v>
      </c>
      <c r="D1064" t="s">
        <v>19</v>
      </c>
      <c r="E1064">
        <v>61</v>
      </c>
      <c r="F1064">
        <v>39</v>
      </c>
      <c r="G1064">
        <v>2</v>
      </c>
      <c r="H1064" s="1">
        <v>2.5925925925925925E-3</v>
      </c>
      <c r="I1064" t="s">
        <v>23</v>
      </c>
      <c r="J1064" s="2" t="str">
        <f>HYPERLINK("https://www.nba.com/stats/events?CFID=&amp;CFPARAMS=&amp;GameEventID=268&amp;GameID=0022000239&amp;Season=2020-21&amp;flag=1&amp;title=Leonard%2011'%20turnaround%20Jump%20Shot%20(13%20PTS)", "11' turnaround Jump Shot (13 PTS)")</f>
        <v>11' turnaround Jump Shot (13 PTS)</v>
      </c>
      <c r="K1064" s="2" t="str">
        <f>HYPERLINK("https://www.nba.com/game/...-vs-...-0022000239/play-by-play?watchFullGame=true", "LAC vs OKC - Q2 03:44.00")</f>
        <v>LAC vs OKC - Q2 03:44.00</v>
      </c>
      <c r="L1064">
        <v>11.53</v>
      </c>
      <c r="M1064">
        <v>82.47</v>
      </c>
      <c r="N1064">
        <v>44.68</v>
      </c>
      <c r="O1064">
        <v>-27</v>
      </c>
      <c r="P1064">
        <v>112</v>
      </c>
    </row>
    <row r="1065" spans="1:16" x14ac:dyDescent="0.25">
      <c r="A1065">
        <v>22300880</v>
      </c>
      <c r="B1065">
        <v>2023</v>
      </c>
      <c r="C1065" t="s">
        <v>32</v>
      </c>
      <c r="D1065" t="s">
        <v>19</v>
      </c>
      <c r="E1065">
        <v>66</v>
      </c>
      <c r="F1065">
        <v>78</v>
      </c>
      <c r="G1065">
        <v>3</v>
      </c>
      <c r="H1065" s="1">
        <v>1.3541666666666667E-3</v>
      </c>
      <c r="I1065" t="s">
        <v>23</v>
      </c>
      <c r="J1065" s="2" t="str">
        <f>HYPERLINK("https://www.nba.com/stats/events?CFID=&amp;CFPARAMS=&amp;GameEventID=433&amp;GameID=0022300880&amp;Season=2023-24&amp;flag=1&amp;title=Leonard%2012'%20pullup%20Jump%20Shot%20(15%20PTS)", "12' pullup Jump Shot (15 PTS)")</f>
        <v>12' pullup Jump Shot (15 PTS)</v>
      </c>
      <c r="K1065" s="2" t="str">
        <f>HYPERLINK("https://www.nba.com/game/...-vs-...-0022300880/play-by-play?watchFullGame=true", "LAC vs MIL - Q3 01:57.00")</f>
        <v>LAC vs MIL - Q3 01:57.00</v>
      </c>
      <c r="L1065">
        <v>12.03</v>
      </c>
      <c r="M1065">
        <v>81.95</v>
      </c>
      <c r="N1065">
        <v>44.61</v>
      </c>
      <c r="O1065">
        <v>-27</v>
      </c>
      <c r="P1065">
        <v>117</v>
      </c>
    </row>
    <row r="1066" spans="1:16" x14ac:dyDescent="0.25">
      <c r="A1066">
        <v>21301102</v>
      </c>
      <c r="B1066">
        <v>2013</v>
      </c>
      <c r="C1066" t="s">
        <v>16</v>
      </c>
      <c r="D1066" t="s">
        <v>19</v>
      </c>
      <c r="E1066">
        <v>15</v>
      </c>
      <c r="F1066">
        <v>20</v>
      </c>
      <c r="G1066">
        <v>1</v>
      </c>
      <c r="H1066" s="1">
        <v>2.1064814814814813E-3</v>
      </c>
      <c r="I1066" t="s">
        <v>18</v>
      </c>
      <c r="J1066" s="2" t="str">
        <f>HYPERLINK("https://www.nba.com/stats/events?CFID=&amp;CFPARAMS=&amp;GameEventID=88&amp;GameID=0021301102&amp;Season=2013-14&amp;flag=1&amp;title=Leonard%2025'%203PT%20Jump%20Shot%20(3%20PTS)%20(Diaw%202%20AST)", "Leonard 25' 3PT Jump Shot (3 PTS) (Diaw 2 AST)")</f>
        <v>Leonard 25' 3PT Jump Shot (3 PTS) (Diaw 2 AST)</v>
      </c>
      <c r="K1066" s="2" t="str">
        <f>HYPERLINK("https://www.nba.com/game/...-vs-...-0021301102/play-by-play?watchFullGame=true", "SAS vs IND - Q1 03:02.00")</f>
        <v>SAS vs IND - Q1 03:02.00</v>
      </c>
      <c r="L1066">
        <v>25</v>
      </c>
      <c r="M1066">
        <v>-27</v>
      </c>
      <c r="N1066">
        <v>244</v>
      </c>
      <c r="O1066">
        <v>-27</v>
      </c>
      <c r="P1066">
        <v>244</v>
      </c>
    </row>
    <row r="1067" spans="1:16" x14ac:dyDescent="0.25">
      <c r="A1067">
        <v>22200701</v>
      </c>
      <c r="B1067">
        <v>2022</v>
      </c>
      <c r="C1067" t="s">
        <v>16</v>
      </c>
      <c r="D1067" t="s">
        <v>19</v>
      </c>
      <c r="E1067">
        <v>93</v>
      </c>
      <c r="F1067">
        <v>103</v>
      </c>
      <c r="G1067">
        <v>4</v>
      </c>
      <c r="H1067" s="1">
        <v>2.9861111111111113E-3</v>
      </c>
      <c r="I1067" t="s">
        <v>23</v>
      </c>
      <c r="J1067" s="2" t="str">
        <f>HYPERLINK("https://www.nba.com/stats/events?CFID=&amp;CFPARAMS=&amp;GameEventID=565&amp;GameID=0022200701&amp;Season=2022-23&amp;flag=1&amp;title=Leonard%2025'%203PT%20pullup%20(28%20PTS)", "25' 3PT pullup (28 PTS)")</f>
        <v>25' 3PT pullup (28 PTS)</v>
      </c>
      <c r="K1067" s="2" t="str">
        <f>HYPERLINK("https://www.nba.com/game/...-vs-...-0022200701/play-by-play?watchFullGame=true", "LAC vs DAL - Q4 04:18.00")</f>
        <v>LAC vs DAL - Q4 04:18.00</v>
      </c>
      <c r="L1067">
        <v>25.35</v>
      </c>
      <c r="M1067">
        <v>32.409999999999997</v>
      </c>
      <c r="N1067">
        <v>55.39</v>
      </c>
      <c r="O1067">
        <v>-27</v>
      </c>
      <c r="P1067">
        <v>252</v>
      </c>
    </row>
    <row r="1068" spans="1:16" x14ac:dyDescent="0.25">
      <c r="A1068">
        <v>21300378</v>
      </c>
      <c r="B1068">
        <v>2013</v>
      </c>
      <c r="C1068" t="s">
        <v>32</v>
      </c>
      <c r="D1068" t="s">
        <v>57</v>
      </c>
      <c r="E1068">
        <v>43</v>
      </c>
      <c r="F1068">
        <v>43</v>
      </c>
      <c r="G1068">
        <v>2</v>
      </c>
      <c r="H1068" s="1">
        <v>3.414351851851852E-3</v>
      </c>
      <c r="I1068" t="s">
        <v>18</v>
      </c>
      <c r="J1068" s="2" t="str">
        <f>HYPERLINK("https://www.nba.com/stats/events?CFID=&amp;CFPARAMS=&amp;GameEventID=197&amp;GameID=0021300378&amp;Season=2013-14&amp;flag=1&amp;title=Leonard%203'%20Layup%20(4%20PTS)", "Leonard 3' Layup (4 PTS)")</f>
        <v>Leonard 3' Layup (4 PTS)</v>
      </c>
      <c r="K1068" s="2" t="str">
        <f>HYPERLINK("https://www.nba.com/game/...-vs-...-0021300378/play-by-play?watchFullGame=true", "SAS vs PHX - Q2 04:55.00")</f>
        <v>SAS vs PHX - Q2 04:55.00</v>
      </c>
      <c r="L1068">
        <v>3</v>
      </c>
      <c r="M1068">
        <v>-26</v>
      </c>
      <c r="N1068">
        <v>7</v>
      </c>
      <c r="O1068">
        <v>-26</v>
      </c>
      <c r="P1068">
        <v>7</v>
      </c>
    </row>
    <row r="1069" spans="1:16" x14ac:dyDescent="0.25">
      <c r="A1069">
        <v>22000009</v>
      </c>
      <c r="B1069">
        <v>2020</v>
      </c>
      <c r="C1069" t="s">
        <v>32</v>
      </c>
      <c r="D1069" t="s">
        <v>47</v>
      </c>
      <c r="E1069">
        <v>7</v>
      </c>
      <c r="F1069">
        <v>8</v>
      </c>
      <c r="G1069">
        <v>1</v>
      </c>
      <c r="H1069" s="1">
        <v>5.2199074074074075E-3</v>
      </c>
      <c r="I1069" t="s">
        <v>23</v>
      </c>
      <c r="J1069" s="2" t="str">
        <f>HYPERLINK("https://www.nba.com/stats/events?CFID=&amp;CFPARAMS=&amp;GameEventID=59&amp;GameID=0022000009&amp;Season=2020-21&amp;flag=1&amp;title=Leonard%20alley-oop%20Layup%20(2%20PTS)%20(N.%20Batum%201%20AST)", "Alley-oop Layup (2 PTS) (N. Batum 1 AST)")</f>
        <v>Alley-oop Layup (2 PTS) (N. Batum 1 AST)</v>
      </c>
      <c r="K1069" s="2" t="str">
        <f>HYPERLINK("https://www.nba.com/game/...-vs-...-0022000009/play-by-play?watchFullGame=true", "LAC vs DEN - Q1 07:31.00")</f>
        <v>LAC vs DEN - Q1 07:31.00</v>
      </c>
      <c r="L1069">
        <v>2.72</v>
      </c>
      <c r="M1069">
        <v>6.39</v>
      </c>
      <c r="N1069">
        <v>55.22</v>
      </c>
      <c r="O1069">
        <v>-26</v>
      </c>
      <c r="P1069">
        <v>8</v>
      </c>
    </row>
    <row r="1070" spans="1:16" x14ac:dyDescent="0.25">
      <c r="A1070">
        <v>22200918</v>
      </c>
      <c r="B1070">
        <v>2022</v>
      </c>
      <c r="C1070" t="s">
        <v>32</v>
      </c>
      <c r="D1070" t="s">
        <v>47</v>
      </c>
      <c r="E1070">
        <v>20</v>
      </c>
      <c r="F1070">
        <v>6</v>
      </c>
      <c r="G1070">
        <v>1</v>
      </c>
      <c r="H1070" s="1">
        <v>3.472222222222222E-3</v>
      </c>
      <c r="I1070" t="s">
        <v>23</v>
      </c>
      <c r="J1070" s="2" t="str">
        <f>HYPERLINK("https://www.nba.com/stats/events?CFID=&amp;CFPARAMS=&amp;GameEventID=82&amp;GameID=0022200918&amp;Season=2022-23&amp;flag=1&amp;title=Leonard%20running%20Layup%20(4%20PTS)%20(B.%20Hyland%201%20AST)", "Running Layup (4 PTS) (B. Hyland 1 AST)")</f>
        <v>Running Layup (4 PTS) (B. Hyland 1 AST)</v>
      </c>
      <c r="K1070" s="2" t="str">
        <f>HYPERLINK("https://www.nba.com/game/...-vs-...-0022200918/play-by-play?watchFullGame=true", "LAC vs DEN - Q1 05:00.00")</f>
        <v>LAC vs DEN - Q1 05:00.00</v>
      </c>
      <c r="L1070">
        <v>3.16</v>
      </c>
      <c r="M1070">
        <v>92.46</v>
      </c>
      <c r="N1070">
        <v>44.85</v>
      </c>
      <c r="O1070">
        <v>-26</v>
      </c>
      <c r="P1070">
        <v>18</v>
      </c>
    </row>
    <row r="1071" spans="1:16" x14ac:dyDescent="0.25">
      <c r="A1071">
        <v>21400921</v>
      </c>
      <c r="B1071">
        <v>2014</v>
      </c>
      <c r="C1071" t="s">
        <v>32</v>
      </c>
      <c r="D1071" t="s">
        <v>34</v>
      </c>
      <c r="E1071">
        <v>109</v>
      </c>
      <c r="F1071">
        <v>103</v>
      </c>
      <c r="G1071">
        <v>4</v>
      </c>
      <c r="H1071" s="1">
        <v>2.8240740740740739E-3</v>
      </c>
      <c r="I1071" t="s">
        <v>18</v>
      </c>
      <c r="J1071" s="2" t="str">
        <f>HYPERLINK("https://www.nba.com/stats/events?CFID=&amp;CFPARAMS=&amp;GameEventID=481&amp;GameID=0021400921&amp;Season=2014-15&amp;flag=1&amp;title=Leonard%205'%20Turnaround%20Fadeaway%20(23%20PTS)", "Leonard 5' Turnaround Fadeaway (23 PTS)")</f>
        <v>Leonard 5' Turnaround Fadeaway (23 PTS)</v>
      </c>
      <c r="K1071" s="2" t="str">
        <f>HYPERLINK("https://www.nba.com/game/...-vs-...-0021400921/play-by-play?watchFullGame=true", "SAS vs DEN - Q4 04:04.00")</f>
        <v>SAS vs DEN - Q4 04:04.00</v>
      </c>
      <c r="L1071">
        <v>5</v>
      </c>
      <c r="M1071">
        <v>-26</v>
      </c>
      <c r="N1071">
        <v>48</v>
      </c>
      <c r="O1071">
        <v>-26</v>
      </c>
      <c r="P1071">
        <v>48</v>
      </c>
    </row>
    <row r="1072" spans="1:16" x14ac:dyDescent="0.25">
      <c r="A1072">
        <v>22300273</v>
      </c>
      <c r="B1072">
        <v>2023</v>
      </c>
      <c r="C1072" t="s">
        <v>32</v>
      </c>
      <c r="D1072" t="s">
        <v>48</v>
      </c>
      <c r="E1072">
        <v>20</v>
      </c>
      <c r="F1072">
        <v>22</v>
      </c>
      <c r="G1072">
        <v>1</v>
      </c>
      <c r="H1072" s="1">
        <v>2.3495370370370371E-3</v>
      </c>
      <c r="I1072" t="s">
        <v>23</v>
      </c>
      <c r="J1072" s="2" t="str">
        <f>HYPERLINK("https://www.nba.com/stats/events?CFID=&amp;CFPARAMS=&amp;GameEventID=101&amp;GameID=0022300273&amp;Season=2023-24&amp;flag=1&amp;title=Leonard%208'%20running%20alley-oop%20DUNK%20(6%20PTS)%20(J.%20Harden%203%20AST)", "8' running alley-oop DUNK (6 PTS) (J. Harden 3 AST)")</f>
        <v>8' running alley-oop DUNK (6 PTS) (J. Harden 3 AST)</v>
      </c>
      <c r="K1072" s="2" t="str">
        <f>HYPERLINK("https://www.nba.com/game/...-vs-...-0022300273/play-by-play?watchFullGame=true", "LAC vs GSW - Q1 03:23.00")</f>
        <v>LAC vs GSW - Q1 03:23.00</v>
      </c>
      <c r="L1072">
        <v>8.18</v>
      </c>
      <c r="M1072">
        <v>86.15</v>
      </c>
      <c r="N1072">
        <v>44.85</v>
      </c>
      <c r="O1072">
        <v>-26</v>
      </c>
      <c r="P1072">
        <v>78</v>
      </c>
    </row>
    <row r="1073" spans="1:16" x14ac:dyDescent="0.25">
      <c r="A1073">
        <v>22300223</v>
      </c>
      <c r="B1073">
        <v>2023</v>
      </c>
      <c r="C1073" t="s">
        <v>32</v>
      </c>
      <c r="D1073" t="s">
        <v>19</v>
      </c>
      <c r="E1073">
        <v>19</v>
      </c>
      <c r="F1073">
        <v>19</v>
      </c>
      <c r="G1073">
        <v>1</v>
      </c>
      <c r="H1073" s="1">
        <v>2.3263888888888887E-3</v>
      </c>
      <c r="I1073" t="s">
        <v>23</v>
      </c>
      <c r="J1073" s="2" t="str">
        <f>HYPERLINK("https://www.nba.com/stats/events?CFID=&amp;CFPARAMS=&amp;GameEventID=101&amp;GameID=0022300223&amp;Season=2023-24&amp;flag=1&amp;title=Leonard%2013'%20pullup%20Jump%20Shot%20(5%20PTS)%20(J.%20Harden%203%20AST)", "13' pullup Jump Shot (5 PTS) (J. Harden 3 AST)")</f>
        <v>13' pullup Jump Shot (5 PTS) (J. Harden 3 AST)</v>
      </c>
      <c r="K1073" s="2" t="str">
        <f>HYPERLINK("https://www.nba.com/game/...-vs-...-0022300223/play-by-play?watchFullGame=true", "LAC vs SAS - Q1 03:21.00")</f>
        <v>LAC vs SAS - Q1 03:21.00</v>
      </c>
      <c r="L1073">
        <v>13.2</v>
      </c>
      <c r="M1073">
        <v>80.63</v>
      </c>
      <c r="N1073">
        <v>44.85</v>
      </c>
      <c r="O1073">
        <v>-26</v>
      </c>
      <c r="P1073">
        <v>130</v>
      </c>
    </row>
    <row r="1074" spans="1:16" x14ac:dyDescent="0.25">
      <c r="A1074">
        <v>22200932</v>
      </c>
      <c r="B1074">
        <v>2022</v>
      </c>
      <c r="C1074" t="s">
        <v>32</v>
      </c>
      <c r="D1074" t="s">
        <v>19</v>
      </c>
      <c r="E1074">
        <v>69</v>
      </c>
      <c r="F1074">
        <v>76</v>
      </c>
      <c r="G1074">
        <v>3</v>
      </c>
      <c r="H1074" s="1">
        <v>3.3796296296296296E-3</v>
      </c>
      <c r="I1074" t="s">
        <v>23</v>
      </c>
      <c r="J1074" s="2" t="str">
        <f>HYPERLINK("https://www.nba.com/stats/events?CFID=&amp;CFPARAMS=&amp;GameEventID=447&amp;GameID=0022200932&amp;Season=2022-23&amp;flag=1&amp;title=Leonard%2015'%20Jump%20Shot%20(14%20PTS)%20(P.%20George%203%20AST)", "15' Jump Shot (14 PTS) (P. George 3 AST)")</f>
        <v>15' Jump Shot (14 PTS) (P. George 3 AST)</v>
      </c>
      <c r="K1074" s="2" t="str">
        <f>HYPERLINK("https://www.nba.com/game/...-vs-...-0022200932/play-by-play?watchFullGame=true", "LAC vs MIN - Q3 04:52.00")</f>
        <v>LAC vs MIN - Q3 04:52.00</v>
      </c>
      <c r="L1074">
        <v>15.63</v>
      </c>
      <c r="M1074">
        <v>21.99</v>
      </c>
      <c r="N1074">
        <v>55.15</v>
      </c>
      <c r="O1074">
        <v>-26</v>
      </c>
      <c r="P1074">
        <v>154</v>
      </c>
    </row>
    <row r="1075" spans="1:16" x14ac:dyDescent="0.25">
      <c r="A1075">
        <v>21600925</v>
      </c>
      <c r="B1075">
        <v>2016</v>
      </c>
      <c r="C1075" t="s">
        <v>32</v>
      </c>
      <c r="D1075" t="s">
        <v>49</v>
      </c>
      <c r="E1075">
        <v>75</v>
      </c>
      <c r="F1075">
        <v>76</v>
      </c>
      <c r="G1075">
        <v>4</v>
      </c>
      <c r="H1075" s="1">
        <v>5.162037037037037E-3</v>
      </c>
      <c r="I1075" t="s">
        <v>18</v>
      </c>
      <c r="J1075" s="2" t="str">
        <f>HYPERLINK("https://www.nba.com/stats/events?CFID=&amp;CFPARAMS=&amp;GameEventID=437&amp;GameID=0021600925&amp;Season=2016-17&amp;flag=1&amp;title=Leonard%203'%20Driving%20Layup%20(23%20PTS)", "Leonard 3' Driving Layup (23 PTS)")</f>
        <v>Leonard 3' Driving Layup (23 PTS)</v>
      </c>
      <c r="K1075" s="2" t="str">
        <f>HYPERLINK("https://www.nba.com/game/...-vs-...-0021600925/play-by-play?watchFullGame=true", "SAS vs MIN - Q4 07:26.00")</f>
        <v>SAS vs MIN - Q4 07:26.00</v>
      </c>
      <c r="L1075">
        <v>3</v>
      </c>
      <c r="M1075">
        <v>-25</v>
      </c>
      <c r="N1075">
        <v>11</v>
      </c>
      <c r="O1075">
        <v>-25</v>
      </c>
      <c r="P1075">
        <v>11</v>
      </c>
    </row>
    <row r="1076" spans="1:16" x14ac:dyDescent="0.25">
      <c r="A1076">
        <v>22000188</v>
      </c>
      <c r="B1076">
        <v>2020</v>
      </c>
      <c r="C1076" t="s">
        <v>32</v>
      </c>
      <c r="D1076" t="s">
        <v>47</v>
      </c>
      <c r="E1076">
        <v>13</v>
      </c>
      <c r="F1076">
        <v>16</v>
      </c>
      <c r="G1076">
        <v>1</v>
      </c>
      <c r="H1076" s="1">
        <v>4.8148148148148152E-3</v>
      </c>
      <c r="I1076" t="s">
        <v>23</v>
      </c>
      <c r="J1076" s="2" t="str">
        <f>HYPERLINK("https://www.nba.com/stats/events?CFID=&amp;CFPARAMS=&amp;GameEventID=57&amp;GameID=0022000188&amp;Season=2020-21&amp;flag=1&amp;title=Leonard%20Layup%20(8%20PTS)", "Layup (8 PTS)")</f>
        <v>Layup (8 PTS)</v>
      </c>
      <c r="K1076" s="2" t="str">
        <f>HYPERLINK("https://www.nba.com/game/...-vs-...-0022000188/play-by-play?watchFullGame=true", "LAC vs SAC - Q1 06:56.00")</f>
        <v>LAC vs SAC - Q1 06:56.00</v>
      </c>
      <c r="L1076">
        <v>3</v>
      </c>
      <c r="M1076">
        <v>92.72</v>
      </c>
      <c r="N1076">
        <v>44.92</v>
      </c>
      <c r="O1076">
        <v>-25</v>
      </c>
      <c r="P1076">
        <v>16</v>
      </c>
    </row>
    <row r="1077" spans="1:16" x14ac:dyDescent="0.25">
      <c r="A1077">
        <v>22201004</v>
      </c>
      <c r="B1077">
        <v>2022</v>
      </c>
      <c r="C1077" t="s">
        <v>32</v>
      </c>
      <c r="D1077" t="s">
        <v>47</v>
      </c>
      <c r="E1077">
        <v>91</v>
      </c>
      <c r="F1077">
        <v>82</v>
      </c>
      <c r="G1077">
        <v>4</v>
      </c>
      <c r="H1077" s="1">
        <v>4.2476851851851851E-3</v>
      </c>
      <c r="I1077" t="s">
        <v>23</v>
      </c>
      <c r="J1077" s="2" t="str">
        <f>HYPERLINK("https://www.nba.com/stats/events?CFID=&amp;CFPARAMS=&amp;GameEventID=543&amp;GameID=0022201004&amp;Season=2022-23&amp;flag=1&amp;title=Leonard%20driving%20Layup%20(31%20PTS)", "Driving Layup (31 PTS)")</f>
        <v>Driving Layup (31 PTS)</v>
      </c>
      <c r="K1077" s="2" t="str">
        <f>HYPERLINK("https://www.nba.com/game/...-vs-...-0022201004/play-by-play?watchFullGame=true", "LAC vs NYK - Q4 06:07.00")</f>
        <v>LAC vs NYK - Q4 06:07.00</v>
      </c>
      <c r="L1077">
        <v>2.99</v>
      </c>
      <c r="M1077">
        <v>7.41</v>
      </c>
      <c r="N1077">
        <v>54.9</v>
      </c>
      <c r="O1077">
        <v>-25</v>
      </c>
      <c r="P1077">
        <v>17</v>
      </c>
    </row>
    <row r="1078" spans="1:16" x14ac:dyDescent="0.25">
      <c r="A1078">
        <v>22400646</v>
      </c>
      <c r="B1078">
        <v>2024</v>
      </c>
      <c r="C1078" t="s">
        <v>32</v>
      </c>
      <c r="D1078" t="s">
        <v>47</v>
      </c>
      <c r="E1078">
        <v>67</v>
      </c>
      <c r="F1078">
        <v>67</v>
      </c>
      <c r="G1078">
        <v>3</v>
      </c>
      <c r="H1078" s="1">
        <v>6.099537037037037E-3</v>
      </c>
      <c r="I1078" t="s">
        <v>23</v>
      </c>
      <c r="J1078" s="2" t="str">
        <f>HYPERLINK("https://www.nba.com/stats/events?CFID=&amp;CFPARAMS=&amp;GameEventID=378&amp;GameID=0022400646&amp;Season=2024-25&amp;flag=1&amp;title=Leonard%20driving%20reverse%20Layup%20(18%20PTS)", "Driving reverse Layup (18 PTS)")</f>
        <v>Driving reverse Layup (18 PTS)</v>
      </c>
      <c r="K1078" s="2" t="str">
        <f>HYPERLINK("https://www.nba.com/game/...-vs-...-0022400646/play-by-play?watchFullGame=true", "LAC vs MIL - Q3 08:47.00")</f>
        <v>LAC vs MIL - Q3 08:47.00</v>
      </c>
      <c r="L1078">
        <v>3.32</v>
      </c>
      <c r="M1078">
        <v>7.97</v>
      </c>
      <c r="N1078">
        <v>54.9</v>
      </c>
      <c r="O1078">
        <v>-25</v>
      </c>
      <c r="P1078">
        <v>22</v>
      </c>
    </row>
    <row r="1079" spans="1:16" x14ac:dyDescent="0.25">
      <c r="A1079">
        <v>22200423</v>
      </c>
      <c r="B1079">
        <v>2022</v>
      </c>
      <c r="C1079" t="s">
        <v>32</v>
      </c>
      <c r="D1079" t="s">
        <v>44</v>
      </c>
      <c r="E1079">
        <v>69</v>
      </c>
      <c r="F1079">
        <v>69</v>
      </c>
      <c r="G1079">
        <v>4</v>
      </c>
      <c r="H1079" s="1">
        <v>7.6388888888888886E-3</v>
      </c>
      <c r="I1079" t="s">
        <v>23</v>
      </c>
      <c r="J1079" s="2" t="str">
        <f>HYPERLINK("https://www.nba.com/stats/events?CFID=&amp;CFPARAMS=&amp;GameEventID=482&amp;GameID=0022200423&amp;Season=2022-23&amp;flag=1&amp;title=Leonard%206'%20Hook%20(11%20PTS)", "6' Hook (11 PTS)")</f>
        <v>6' Hook (11 PTS)</v>
      </c>
      <c r="K1079" s="2" t="str">
        <f>HYPERLINK("https://www.nba.com/game/...-vs-...-0022200423/play-by-play?watchFullGame=true", "LAC vs MIN - Q4 11:00.00")</f>
        <v>LAC vs MIN - Q4 11:00.00</v>
      </c>
      <c r="L1079">
        <v>6.86</v>
      </c>
      <c r="M1079">
        <v>12.4</v>
      </c>
      <c r="N1079">
        <v>54.9</v>
      </c>
      <c r="O1079">
        <v>-25</v>
      </c>
      <c r="P1079">
        <v>64</v>
      </c>
    </row>
    <row r="1080" spans="1:16" x14ac:dyDescent="0.25">
      <c r="A1080">
        <v>22300264</v>
      </c>
      <c r="B1080">
        <v>2023</v>
      </c>
      <c r="C1080" t="s">
        <v>32</v>
      </c>
      <c r="D1080" t="s">
        <v>19</v>
      </c>
      <c r="E1080">
        <v>47</v>
      </c>
      <c r="F1080">
        <v>58</v>
      </c>
      <c r="G1080">
        <v>2</v>
      </c>
      <c r="H1080" s="1">
        <v>3.0787037037037037E-3</v>
      </c>
      <c r="I1080" t="s">
        <v>23</v>
      </c>
      <c r="J1080" s="2" t="str">
        <f>HYPERLINK("https://www.nba.com/stats/events?CFID=&amp;CFPARAMS=&amp;GameEventID=305&amp;GameID=0022300264&amp;Season=2023-24&amp;flag=1&amp;title=Leonard%2011'%20fadeaway%20Jump%20Shot%20(11%20PTS)%20(P.%20George%204%20AST)", "11' fadeaway Jump Shot (11 PTS) (P. George 4 AST)")</f>
        <v>11' fadeaway Jump Shot (11 PTS) (P. George 4 AST)</v>
      </c>
      <c r="K1080" s="2" t="str">
        <f>HYPERLINK("https://www.nba.com/game/...-vs-...-0022300264/play-by-play?watchFullGame=true", "LAC vs SAC - Q2 04:26.00")</f>
        <v>LAC vs SAC - Q2 04:26.00</v>
      </c>
      <c r="L1080">
        <v>11.16</v>
      </c>
      <c r="M1080">
        <v>17.16</v>
      </c>
      <c r="N1080">
        <v>54.9</v>
      </c>
      <c r="O1080">
        <v>-25</v>
      </c>
      <c r="P1080">
        <v>109</v>
      </c>
    </row>
    <row r="1081" spans="1:16" x14ac:dyDescent="0.25">
      <c r="A1081">
        <v>21600782</v>
      </c>
      <c r="B1081">
        <v>2016</v>
      </c>
      <c r="C1081" t="s">
        <v>16</v>
      </c>
      <c r="D1081" t="s">
        <v>29</v>
      </c>
      <c r="E1081">
        <v>38</v>
      </c>
      <c r="F1081">
        <v>45</v>
      </c>
      <c r="G1081">
        <v>2</v>
      </c>
      <c r="H1081" s="1">
        <v>3.9236111111111112E-3</v>
      </c>
      <c r="I1081" t="s">
        <v>18</v>
      </c>
      <c r="J1081" s="2" t="str">
        <f>HYPERLINK("https://www.nba.com/stats/events?CFID=&amp;CFPARAMS=&amp;GameEventID=179&amp;GameID=0021600782&amp;Season=2016-17&amp;flag=1&amp;title=Leonard%2026'%203PT%20Pullup%20Jump%20Shot%20(10%20PTS)", "Leonard 26' 3PT Pullup Jump Shot (10 PTS)")</f>
        <v>Leonard 26' 3PT Pullup Jump Shot (10 PTS)</v>
      </c>
      <c r="K1081" s="2" t="str">
        <f>HYPERLINK("https://www.nba.com/game/...-vs-...-0021600782/play-by-play?watchFullGame=true", "SAS vs PHI - Q2 05:39.00")</f>
        <v>SAS vs PHI - Q2 05:39.00</v>
      </c>
      <c r="L1081">
        <v>26</v>
      </c>
      <c r="M1081">
        <v>-25</v>
      </c>
      <c r="N1081">
        <v>257</v>
      </c>
      <c r="O1081">
        <v>-25</v>
      </c>
      <c r="P1081">
        <v>257</v>
      </c>
    </row>
    <row r="1082" spans="1:16" x14ac:dyDescent="0.25">
      <c r="A1082">
        <v>22200476</v>
      </c>
      <c r="B1082">
        <v>2022</v>
      </c>
      <c r="C1082" t="s">
        <v>16</v>
      </c>
      <c r="D1082" t="s">
        <v>19</v>
      </c>
      <c r="E1082">
        <v>65</v>
      </c>
      <c r="F1082">
        <v>32</v>
      </c>
      <c r="G1082">
        <v>2</v>
      </c>
      <c r="H1082" s="1">
        <v>3.6689814814814814E-3</v>
      </c>
      <c r="I1082" t="s">
        <v>23</v>
      </c>
      <c r="J1082" s="2" t="str">
        <f>HYPERLINK("https://www.nba.com/stats/events?CFID=&amp;CFPARAMS=&amp;GameEventID=294&amp;GameID=0022200476&amp;Season=2022-23&amp;flag=1&amp;title=Leonard%2026'%203PT%20%20(9%20PTS)%20(P.%20George%203%20AST)", "26' 3PT  (9 PTS) (P. George 3 AST)")</f>
        <v>26' 3PT  (9 PTS) (P. George 3 AST)</v>
      </c>
      <c r="K1082" s="2" t="str">
        <f>HYPERLINK("https://www.nba.com/game/...-vs-...-0022200476/play-by-play?watchFullGame=true", "LAC vs CHA - Q2 05:17.00")</f>
        <v>LAC vs CHA - Q2 05:17.00</v>
      </c>
      <c r="L1082">
        <v>26.56</v>
      </c>
      <c r="M1082">
        <v>66.28</v>
      </c>
      <c r="N1082">
        <v>45.1</v>
      </c>
      <c r="O1082">
        <v>-25</v>
      </c>
      <c r="P1082">
        <v>264</v>
      </c>
    </row>
    <row r="1083" spans="1:16" x14ac:dyDescent="0.25">
      <c r="A1083">
        <v>41300314</v>
      </c>
      <c r="B1083" t="s">
        <v>26</v>
      </c>
      <c r="C1083" t="s">
        <v>32</v>
      </c>
      <c r="D1083" t="s">
        <v>51</v>
      </c>
      <c r="E1083">
        <v>26</v>
      </c>
      <c r="F1083">
        <v>22</v>
      </c>
      <c r="G1083">
        <v>2</v>
      </c>
      <c r="H1083" s="1">
        <v>7.5462962962962966E-3</v>
      </c>
      <c r="I1083" t="s">
        <v>18</v>
      </c>
      <c r="J1083" s="2" t="str">
        <f>HYPERLINK("https://www.nba.com/stats/events?CFID=&amp;CFPARAMS=&amp;GameEventID=121&amp;GameID=0041300314&amp;Season=2013-14&amp;flag=1&amp;title=Leonard%202'%20Reverse%20Layup%20(8%20PTS)%20(Diaw%201%20AST)", "Leonard 2' Reverse Layup (8 PTS) (Diaw 1 AST)")</f>
        <v>Leonard 2' Reverse Layup (8 PTS) (Diaw 1 AST)</v>
      </c>
      <c r="K1083" s="2" t="str">
        <f>HYPERLINK("https://www.nba.com/game/...-vs-...-0041300314/play-by-play?watchFullGame=true", "SAS vs OKC - Q2 10:52.00")</f>
        <v>SAS vs OKC - Q2 10:52.00</v>
      </c>
      <c r="L1083">
        <v>2</v>
      </c>
      <c r="M1083">
        <v>-24</v>
      </c>
      <c r="N1083">
        <v>0</v>
      </c>
      <c r="O1083">
        <v>-24</v>
      </c>
      <c r="P1083">
        <v>0</v>
      </c>
    </row>
    <row r="1084" spans="1:16" x14ac:dyDescent="0.25">
      <c r="A1084">
        <v>21500872</v>
      </c>
      <c r="B1084">
        <v>2015</v>
      </c>
      <c r="C1084" t="s">
        <v>32</v>
      </c>
      <c r="D1084" t="s">
        <v>52</v>
      </c>
      <c r="E1084">
        <v>85</v>
      </c>
      <c r="F1084">
        <v>99</v>
      </c>
      <c r="G1084">
        <v>4</v>
      </c>
      <c r="H1084" s="1">
        <v>1.8865740740740742E-3</v>
      </c>
      <c r="I1084" t="s">
        <v>18</v>
      </c>
      <c r="J1084" s="2" t="str">
        <f>HYPERLINK("https://www.nba.com/stats/events?CFID=&amp;CFPARAMS=&amp;GameEventID=505&amp;GameID=0021500872&amp;Season=2015-16&amp;flag=1&amp;title=Leonard%202'%20Alley%20Oop%20Layup%20(27%20PTS)%20(Duncan%206%20AST)", "Leonard 2' Alley Oop Layup (27 PTS) (Duncan 6 AST)")</f>
        <v>Leonard 2' Alley Oop Layup (27 PTS) (Duncan 6 AST)</v>
      </c>
      <c r="K1084" s="2" t="str">
        <f>HYPERLINK("https://www.nba.com/game/...-vs-...-0021500872/play-by-play?watchFullGame=true", "SAS vs HOU - Q4 02:43.00")</f>
        <v>SAS vs HOU - Q4 02:43.00</v>
      </c>
      <c r="L1084">
        <v>2</v>
      </c>
      <c r="M1084">
        <v>-24</v>
      </c>
      <c r="N1084">
        <v>2</v>
      </c>
      <c r="O1084">
        <v>-24</v>
      </c>
      <c r="P1084">
        <v>2</v>
      </c>
    </row>
    <row r="1085" spans="1:16" x14ac:dyDescent="0.25">
      <c r="A1085">
        <v>21600077</v>
      </c>
      <c r="B1085">
        <v>2016</v>
      </c>
      <c r="C1085" t="s">
        <v>32</v>
      </c>
      <c r="D1085" t="s">
        <v>57</v>
      </c>
      <c r="E1085">
        <v>17</v>
      </c>
      <c r="F1085">
        <v>31</v>
      </c>
      <c r="G1085">
        <v>2</v>
      </c>
      <c r="H1085" s="1">
        <v>6.8402777777777776E-3</v>
      </c>
      <c r="I1085" t="s">
        <v>18</v>
      </c>
      <c r="J1085" s="2" t="str">
        <f>HYPERLINK("https://www.nba.com/stats/events?CFID=&amp;CFPARAMS=&amp;GameEventID=158&amp;GameID=0021600077&amp;Season=2016-17&amp;flag=1&amp;title=Leonard%202'%20Layup%20(9%20PTS)", "Leonard 2' Layup (9 PTS)")</f>
        <v>Leonard 2' Layup (9 PTS)</v>
      </c>
      <c r="K1085" s="2" t="str">
        <f>HYPERLINK("https://www.nba.com/game/...-vs-...-0021600077/play-by-play?watchFullGame=true", "SAS vs UTA - Q2 09:51.00")</f>
        <v>SAS vs UTA - Q2 09:51.00</v>
      </c>
      <c r="L1085">
        <v>2</v>
      </c>
      <c r="M1085">
        <v>-24</v>
      </c>
      <c r="N1085">
        <v>2</v>
      </c>
      <c r="O1085">
        <v>-24</v>
      </c>
      <c r="P1085">
        <v>2</v>
      </c>
    </row>
    <row r="1086" spans="1:16" x14ac:dyDescent="0.25">
      <c r="A1086">
        <v>21600605</v>
      </c>
      <c r="B1086">
        <v>2016</v>
      </c>
      <c r="C1086" t="s">
        <v>32</v>
      </c>
      <c r="D1086" t="s">
        <v>57</v>
      </c>
      <c r="E1086">
        <v>43</v>
      </c>
      <c r="F1086">
        <v>52</v>
      </c>
      <c r="G1086">
        <v>2</v>
      </c>
      <c r="H1086" s="1">
        <v>2.1990740740740742E-3</v>
      </c>
      <c r="I1086" t="s">
        <v>18</v>
      </c>
      <c r="J1086" s="2" t="str">
        <f>HYPERLINK("https://www.nba.com/stats/events?CFID=&amp;CFPARAMS=&amp;GameEventID=229&amp;GameID=0021600605&amp;Season=2016-17&amp;flag=1&amp;title=Leonard%203'%20Layup%20(11%20PTS)%20(Anderson%201%20AST)", "Leonard 3' Layup (11 PTS) (Anderson 1 AST)")</f>
        <v>Leonard 3' Layup (11 PTS) (Anderson 1 AST)</v>
      </c>
      <c r="K1086" s="2" t="str">
        <f>HYPERLINK("https://www.nba.com/game/...-vs-...-0021600605/play-by-play?watchFullGame=true", "SAS vs PHX - Q2 03:10.00")</f>
        <v>SAS vs PHX - Q2 03:10.00</v>
      </c>
      <c r="L1086">
        <v>3</v>
      </c>
      <c r="M1086">
        <v>-24</v>
      </c>
      <c r="N1086">
        <v>11</v>
      </c>
      <c r="O1086">
        <v>-24</v>
      </c>
      <c r="P1086">
        <v>11</v>
      </c>
    </row>
    <row r="1087" spans="1:16" x14ac:dyDescent="0.25">
      <c r="A1087">
        <v>21300094</v>
      </c>
      <c r="B1087">
        <v>2013</v>
      </c>
      <c r="C1087" t="s">
        <v>32</v>
      </c>
      <c r="D1087" t="s">
        <v>49</v>
      </c>
      <c r="E1087">
        <v>17</v>
      </c>
      <c r="F1087">
        <v>33</v>
      </c>
      <c r="G1087">
        <v>1</v>
      </c>
      <c r="H1087" s="1">
        <v>9.7222222222222219E-4</v>
      </c>
      <c r="I1087" t="s">
        <v>18</v>
      </c>
      <c r="J1087" s="2" t="str">
        <f>HYPERLINK("https://www.nba.com/stats/events?CFID=&amp;CFPARAMS=&amp;GameEventID=96&amp;GameID=0021300094&amp;Season=2013-14&amp;flag=1&amp;title=Leonard%203'%20Driving%20Layup%20(3%20PTS)", "Leonard 3' Driving Layup (3 PTS)")</f>
        <v>Leonard 3' Driving Layup (3 PTS)</v>
      </c>
      <c r="K1087" s="2" t="str">
        <f>HYPERLINK("https://www.nba.com/game/...-vs-...-0021300094/play-by-play?watchFullGame=true", "SAS vs NYK - Q1 01:24.00")</f>
        <v>SAS vs NYK - Q1 01:24.00</v>
      </c>
      <c r="L1087">
        <v>3</v>
      </c>
      <c r="M1087">
        <v>-24</v>
      </c>
      <c r="N1087">
        <v>14</v>
      </c>
      <c r="O1087">
        <v>-24</v>
      </c>
      <c r="P1087">
        <v>14</v>
      </c>
    </row>
    <row r="1088" spans="1:16" x14ac:dyDescent="0.25">
      <c r="A1088">
        <v>22400859</v>
      </c>
      <c r="B1088">
        <v>2024</v>
      </c>
      <c r="C1088" t="s">
        <v>32</v>
      </c>
      <c r="D1088" t="s">
        <v>47</v>
      </c>
      <c r="E1088">
        <v>67</v>
      </c>
      <c r="F1088">
        <v>67</v>
      </c>
      <c r="G1088">
        <v>3</v>
      </c>
      <c r="H1088" s="1">
        <v>3.9930555555555552E-3</v>
      </c>
      <c r="I1088" t="s">
        <v>23</v>
      </c>
      <c r="J1088" s="2" t="str">
        <f>HYPERLINK("https://www.nba.com/stats/events?CFID=&amp;CFPARAMS=&amp;GameEventID=357&amp;GameID=0022400859&amp;Season=2024-25&amp;flag=1&amp;title=Leonard%20running%20Layup%20(13%20PTS)%20(D.%20Jones%20Jr.%201%20AST)", "Running Layup (13 PTS) (D. Jones Jr. 1 AST)")</f>
        <v>Running Layup (13 PTS) (D. Jones Jr. 1 AST)</v>
      </c>
      <c r="K1088" s="2" t="str">
        <f>HYPERLINK("https://www.nba.com/game/...-vs-...-0022400859/play-by-play?watchFullGame=true", "LAC vs LAL - Q3 05:45.00")</f>
        <v>LAC vs LAL - Q3 05:45.00</v>
      </c>
      <c r="L1088">
        <v>3.4</v>
      </c>
      <c r="M1088">
        <v>8.15</v>
      </c>
      <c r="N1088">
        <v>54.8</v>
      </c>
      <c r="O1088">
        <v>-24</v>
      </c>
      <c r="P1088">
        <v>24</v>
      </c>
    </row>
    <row r="1089" spans="1:16" x14ac:dyDescent="0.25">
      <c r="A1089">
        <v>22000775</v>
      </c>
      <c r="B1089">
        <v>2020</v>
      </c>
      <c r="C1089" t="s">
        <v>32</v>
      </c>
      <c r="D1089" t="s">
        <v>47</v>
      </c>
      <c r="E1089">
        <v>77</v>
      </c>
      <c r="F1089">
        <v>68</v>
      </c>
      <c r="G1089">
        <v>3</v>
      </c>
      <c r="H1089" s="1">
        <v>7.1180555555555554E-3</v>
      </c>
      <c r="I1089" t="s">
        <v>23</v>
      </c>
      <c r="J1089" s="2" t="str">
        <f>HYPERLINK("https://www.nba.com/stats/events?CFID=&amp;CFPARAMS=&amp;GameEventID=348&amp;GameID=0022000775&amp;Season=2020-21&amp;flag=1&amp;title=Leonard%20cutting%20Layup%20(15%20PTS)%20(I.%20Zubac%201%20AST)", "Cutting Layup (15 PTS) (I. Zubac 1 AST)")</f>
        <v>Cutting Layup (15 PTS) (I. Zubac 1 AST)</v>
      </c>
      <c r="K1089" s="2" t="str">
        <f>HYPERLINK("https://www.nba.com/game/...-vs-...-0022000775/play-by-play?watchFullGame=true", "LAC vs POR - Q3 10:15.00")</f>
        <v>LAC vs POR - Q3 10:15.00</v>
      </c>
      <c r="L1089">
        <v>4.2</v>
      </c>
      <c r="M1089">
        <v>9.2799999999999994</v>
      </c>
      <c r="N1089">
        <v>54.73</v>
      </c>
      <c r="O1089">
        <v>-24</v>
      </c>
      <c r="P1089">
        <v>35</v>
      </c>
    </row>
    <row r="1090" spans="1:16" x14ac:dyDescent="0.25">
      <c r="A1090">
        <v>41600155</v>
      </c>
      <c r="B1090" t="s">
        <v>30</v>
      </c>
      <c r="C1090" t="s">
        <v>32</v>
      </c>
      <c r="D1090" t="s">
        <v>37</v>
      </c>
      <c r="E1090">
        <v>67</v>
      </c>
      <c r="F1090">
        <v>55</v>
      </c>
      <c r="G1090">
        <v>3</v>
      </c>
      <c r="H1090" s="1">
        <v>5.1504629629629626E-3</v>
      </c>
      <c r="I1090" t="s">
        <v>18</v>
      </c>
      <c r="J1090" s="2" t="str">
        <f>HYPERLINK("https://www.nba.com/stats/events?CFID=&amp;CFPARAMS=&amp;GameEventID=282&amp;GameID=0041600155&amp;Season=2016-17&amp;flag=1&amp;title=Leonard%206'%20Floating%20Jump%20Shot%20(14%20PTS)", "Leonard 6' Floating Jump Shot (14 PTS)")</f>
        <v>Leonard 6' Floating Jump Shot (14 PTS)</v>
      </c>
      <c r="K1090" s="2" t="str">
        <f>HYPERLINK("https://www.nba.com/game/...-vs-...-0041600155/play-by-play?watchFullGame=true", "SAS vs MEM - Q3 07:25.00")</f>
        <v>SAS vs MEM - Q3 07:25.00</v>
      </c>
      <c r="L1090">
        <v>6</v>
      </c>
      <c r="M1090">
        <v>-24</v>
      </c>
      <c r="N1090">
        <v>51</v>
      </c>
      <c r="O1090">
        <v>-24</v>
      </c>
      <c r="P1090">
        <v>51</v>
      </c>
    </row>
    <row r="1091" spans="1:16" x14ac:dyDescent="0.25">
      <c r="A1091">
        <v>21600917</v>
      </c>
      <c r="B1091">
        <v>2016</v>
      </c>
      <c r="C1091" t="s">
        <v>32</v>
      </c>
      <c r="D1091" t="s">
        <v>40</v>
      </c>
      <c r="E1091">
        <v>26</v>
      </c>
      <c r="F1091">
        <v>23</v>
      </c>
      <c r="G1091">
        <v>1</v>
      </c>
      <c r="H1091" s="1">
        <v>1.1458333333333333E-3</v>
      </c>
      <c r="I1091" t="s">
        <v>18</v>
      </c>
      <c r="J1091" s="2" t="str">
        <f>HYPERLINK("https://www.nba.com/stats/events?CFID=&amp;CFPARAMS=&amp;GameEventID=100&amp;GameID=0021600917&amp;Season=2016-17&amp;flag=1&amp;title=Leonard%208'%20Hook%20Shot%20(12%20PTS)", "Leonard 8' Hook Shot (12 PTS)")</f>
        <v>Leonard 8' Hook Shot (12 PTS)</v>
      </c>
      <c r="K1091" s="2" t="str">
        <f>HYPERLINK("https://www.nba.com/game/...-vs-...-0021600917/play-by-play?watchFullGame=true", "SAS vs NOP - Q1 01:39.00")</f>
        <v>SAS vs NOP - Q1 01:39.00</v>
      </c>
      <c r="L1091">
        <v>8</v>
      </c>
      <c r="M1091">
        <v>-24</v>
      </c>
      <c r="N1091">
        <v>80</v>
      </c>
      <c r="O1091">
        <v>-24</v>
      </c>
      <c r="P1091">
        <v>80</v>
      </c>
    </row>
    <row r="1092" spans="1:16" x14ac:dyDescent="0.25">
      <c r="A1092">
        <v>21900292</v>
      </c>
      <c r="B1092">
        <v>2019</v>
      </c>
      <c r="C1092" t="s">
        <v>32</v>
      </c>
      <c r="D1092" t="s">
        <v>22</v>
      </c>
      <c r="E1092">
        <v>87</v>
      </c>
      <c r="F1092">
        <v>65</v>
      </c>
      <c r="G1092">
        <v>3</v>
      </c>
      <c r="H1092" s="1">
        <v>7.1875000000000003E-3</v>
      </c>
      <c r="I1092" t="s">
        <v>23</v>
      </c>
      <c r="J1092" s="2" t="str">
        <f>HYPERLINK("https://www.nba.com/stats/events?CFID=&amp;CFPARAMS=&amp;GameEventID=404&amp;GameID=0021900292&amp;Season=2019-20&amp;flag=1&amp;title=Leonard%209'%20jumpshot%20(19%20PTS)", "9' jumpshot (19 PTS)")</f>
        <v>9' jumpshot (19 PTS)</v>
      </c>
      <c r="K1092" s="2" t="str">
        <f>HYPERLINK("https://www.nba.com/game/...-vs-...-0021900292/play-by-play?watchFullGame=true", "LAC vs WAS - Q3 10:21.00")</f>
        <v>LAC vs WAS - Q3 10:21.00</v>
      </c>
      <c r="L1092">
        <v>9.02</v>
      </c>
      <c r="M1092">
        <v>14.24</v>
      </c>
      <c r="N1092">
        <v>54.83</v>
      </c>
      <c r="O1092">
        <v>-24</v>
      </c>
      <c r="P1092">
        <v>81</v>
      </c>
    </row>
    <row r="1093" spans="1:16" x14ac:dyDescent="0.25">
      <c r="A1093">
        <v>21400361</v>
      </c>
      <c r="B1093">
        <v>2014</v>
      </c>
      <c r="C1093" t="s">
        <v>32</v>
      </c>
      <c r="D1093" t="s">
        <v>19</v>
      </c>
      <c r="E1093">
        <v>104</v>
      </c>
      <c r="F1093">
        <v>95</v>
      </c>
      <c r="G1093">
        <v>4</v>
      </c>
      <c r="H1093" s="1">
        <v>9.2592592592592596E-4</v>
      </c>
      <c r="I1093" t="s">
        <v>18</v>
      </c>
      <c r="J1093" s="2" t="str">
        <f>HYPERLINK("https://www.nba.com/stats/events?CFID=&amp;CFPARAMS=&amp;GameEventID=494&amp;GameID=0021400361&amp;Season=2014-15&amp;flag=1&amp;title=Leonard%2013'%20Jump%20Shot%20(21%20PTS)", "Leonard 13' Jump Shot (21 PTS)")</f>
        <v>Leonard 13' Jump Shot (21 PTS)</v>
      </c>
      <c r="K1093" s="2" t="str">
        <f>HYPERLINK("https://www.nba.com/game/...-vs-...-0021400361/play-by-play?watchFullGame=true", "SAS vs POR - Q4 01:20.00")</f>
        <v>SAS vs POR - Q4 01:20.00</v>
      </c>
      <c r="L1093">
        <v>13</v>
      </c>
      <c r="M1093">
        <v>-24</v>
      </c>
      <c r="N1093">
        <v>131</v>
      </c>
      <c r="O1093">
        <v>-24</v>
      </c>
      <c r="P1093">
        <v>131</v>
      </c>
    </row>
    <row r="1094" spans="1:16" x14ac:dyDescent="0.25">
      <c r="A1094">
        <v>41800213</v>
      </c>
      <c r="B1094" t="s">
        <v>20</v>
      </c>
      <c r="C1094" t="s">
        <v>32</v>
      </c>
      <c r="D1094" t="s">
        <v>19</v>
      </c>
      <c r="E1094">
        <v>11</v>
      </c>
      <c r="F1094">
        <v>7</v>
      </c>
      <c r="G1094">
        <v>1</v>
      </c>
      <c r="H1094" s="1">
        <v>5.9722222222222225E-3</v>
      </c>
      <c r="I1094" t="s">
        <v>21</v>
      </c>
      <c r="J1094" s="2" t="str">
        <f>HYPERLINK("https://www.nba.com/stats/events?CFID=&amp;CFPARAMS=&amp;GameEventID=33&amp;GameID=0041800213&amp;Season=2018-19&amp;flag=1&amp;title=Leonard%2014'%20Jump%20Shot%20(7%20PTS)", "Leonard 14' Jump Shot (7 PTS)")</f>
        <v>Leonard 14' Jump Shot (7 PTS)</v>
      </c>
      <c r="K1094" s="2" t="str">
        <f>HYPERLINK("https://www.nba.com/game/...-vs-...-0041800213/play-by-play?watchFullGame=true", "TOR vs PHI - Q1 08:36.00")</f>
        <v>TOR vs PHI - Q1 08:36.00</v>
      </c>
      <c r="L1094">
        <v>14</v>
      </c>
      <c r="M1094">
        <v>-24</v>
      </c>
      <c r="N1094">
        <v>134</v>
      </c>
      <c r="O1094">
        <v>-24</v>
      </c>
      <c r="P1094">
        <v>134</v>
      </c>
    </row>
    <row r="1095" spans="1:16" x14ac:dyDescent="0.25">
      <c r="A1095">
        <v>21900576</v>
      </c>
      <c r="B1095">
        <v>2019</v>
      </c>
      <c r="C1095" t="s">
        <v>32</v>
      </c>
      <c r="D1095" t="s">
        <v>22</v>
      </c>
      <c r="E1095">
        <v>11</v>
      </c>
      <c r="F1095">
        <v>7</v>
      </c>
      <c r="G1095">
        <v>1</v>
      </c>
      <c r="H1095" s="1">
        <v>5.0115740740740737E-3</v>
      </c>
      <c r="I1095" t="s">
        <v>23</v>
      </c>
      <c r="J1095" s="2" t="str">
        <f>HYPERLINK("https://www.nba.com/stats/events?CFID=&amp;CFPARAMS=&amp;GameEventID=59&amp;GameID=0021900576&amp;Season=2019-20&amp;flag=1&amp;title=Leonard%2015'%20jumpshot%20(2%20PTS)%20(P.%20Beverley%201%20AST)", "15' jumpshot (2 PTS) (P. Beverley 1 AST)")</f>
        <v>15' jumpshot (2 PTS) (P. Beverley 1 AST)</v>
      </c>
      <c r="K1095" s="2" t="str">
        <f>HYPERLINK("https://www.nba.com/game/...-vs-...-0021900576/play-by-play?watchFullGame=true", "LAC vs GSW - Q1 07:13.00")</f>
        <v>LAC vs GSW - Q1 07:13.00</v>
      </c>
      <c r="L1095">
        <v>14.59</v>
      </c>
      <c r="M1095">
        <v>79.680000000000007</v>
      </c>
      <c r="N1095">
        <v>45.27</v>
      </c>
      <c r="O1095">
        <v>-24</v>
      </c>
      <c r="P1095">
        <v>138</v>
      </c>
    </row>
    <row r="1096" spans="1:16" x14ac:dyDescent="0.25">
      <c r="A1096">
        <v>21600206</v>
      </c>
      <c r="B1096">
        <v>2016</v>
      </c>
      <c r="C1096" t="s">
        <v>32</v>
      </c>
      <c r="D1096" t="s">
        <v>19</v>
      </c>
      <c r="E1096">
        <v>19</v>
      </c>
      <c r="F1096">
        <v>20</v>
      </c>
      <c r="G1096">
        <v>1</v>
      </c>
      <c r="H1096" s="1">
        <v>2.2800925925925927E-3</v>
      </c>
      <c r="I1096" t="s">
        <v>18</v>
      </c>
      <c r="J1096" s="2" t="str">
        <f>HYPERLINK("https://www.nba.com/stats/events?CFID=&amp;CFPARAMS=&amp;GameEventID=66&amp;GameID=0021600206&amp;Season=2016-17&amp;flag=1&amp;title=Leonard%2017'%20Jump%20Shot%20(9%20PTS)", "Leonard 17' Jump Shot (9 PTS)")</f>
        <v>Leonard 17' Jump Shot (9 PTS)</v>
      </c>
      <c r="K1096" s="2" t="str">
        <f>HYPERLINK("https://www.nba.com/game/...-vs-...-0021600206/play-by-play?watchFullGame=true", "SAS vs DAL - Q1 03:17.00")</f>
        <v>SAS vs DAL - Q1 03:17.00</v>
      </c>
      <c r="L1096">
        <v>17</v>
      </c>
      <c r="M1096">
        <v>-24</v>
      </c>
      <c r="N1096">
        <v>164</v>
      </c>
      <c r="O1096">
        <v>-24</v>
      </c>
      <c r="P1096">
        <v>164</v>
      </c>
    </row>
    <row r="1097" spans="1:16" x14ac:dyDescent="0.25">
      <c r="A1097">
        <v>22300873</v>
      </c>
      <c r="B1097">
        <v>2023</v>
      </c>
      <c r="C1097" t="s">
        <v>32</v>
      </c>
      <c r="D1097" t="s">
        <v>47</v>
      </c>
      <c r="E1097">
        <v>84</v>
      </c>
      <c r="F1097">
        <v>86</v>
      </c>
      <c r="G1097">
        <v>4</v>
      </c>
      <c r="H1097" s="1">
        <v>1.4004629629629629E-3</v>
      </c>
      <c r="I1097" t="s">
        <v>23</v>
      </c>
      <c r="J1097" s="2" t="str">
        <f>HYPERLINK("https://www.nba.com/stats/events?CFID=&amp;CFPARAMS=&amp;GameEventID=556&amp;GameID=0022300873&amp;Season=2023-24&amp;flag=1&amp;title=Leonard%20cutting%20Layup%20(29%20PTS)%20(J.%20Harden%2010%20AST)", "Cutting Layup (29 PTS) (J. Harden 10 AST)")</f>
        <v>Cutting Layup (29 PTS) (J. Harden 10 AST)</v>
      </c>
      <c r="K1097" s="2" t="str">
        <f>HYPERLINK("https://www.nba.com/game/...-vs-...-0022300873/play-by-play?watchFullGame=true", "LAC vs MIN - Q4 02:01.00")</f>
        <v>LAC vs MIN - Q4 02:01.00</v>
      </c>
      <c r="L1097">
        <v>2.4</v>
      </c>
      <c r="M1097">
        <v>93.56</v>
      </c>
      <c r="N1097">
        <v>45.49</v>
      </c>
      <c r="O1097">
        <v>-23</v>
      </c>
      <c r="P1097">
        <v>8</v>
      </c>
    </row>
    <row r="1098" spans="1:16" x14ac:dyDescent="0.25">
      <c r="A1098">
        <v>22300618</v>
      </c>
      <c r="B1098">
        <v>2023</v>
      </c>
      <c r="C1098" t="s">
        <v>32</v>
      </c>
      <c r="D1098" t="s">
        <v>47</v>
      </c>
      <c r="E1098">
        <v>67</v>
      </c>
      <c r="F1098">
        <v>55</v>
      </c>
      <c r="G1098">
        <v>2</v>
      </c>
      <c r="H1098" s="1">
        <v>1.9560185185185184E-3</v>
      </c>
      <c r="I1098" t="s">
        <v>23</v>
      </c>
      <c r="J1098" s="2" t="str">
        <f>HYPERLINK("https://www.nba.com/stats/events?CFID=&amp;CFPARAMS=&amp;GameEventID=269&amp;GameID=0022300618&amp;Season=2023-24&amp;flag=1&amp;title=Leonard%20driving%20reverse%20Layup%20(12%20PTS)%20(P.%20George%203%20AST)", "Driving reverse Layup (12 PTS) (P. George 3 AST)")</f>
        <v>Driving reverse Layup (12 PTS) (P. George 3 AST)</v>
      </c>
      <c r="K1098" s="2" t="str">
        <f>HYPERLINK("https://www.nba.com/game/...-vs-...-0022300618/play-by-play?watchFullGame=true", "LAC vs LAL - Q2 02:49.00")</f>
        <v>LAC vs LAL - Q2 02:49.00</v>
      </c>
      <c r="L1098">
        <v>2.64</v>
      </c>
      <c r="M1098">
        <v>93.08</v>
      </c>
      <c r="N1098">
        <v>45.34</v>
      </c>
      <c r="O1098">
        <v>-23</v>
      </c>
      <c r="P1098">
        <v>13</v>
      </c>
    </row>
    <row r="1099" spans="1:16" x14ac:dyDescent="0.25">
      <c r="A1099">
        <v>21300094</v>
      </c>
      <c r="B1099">
        <v>2013</v>
      </c>
      <c r="C1099" t="s">
        <v>32</v>
      </c>
      <c r="D1099" t="s">
        <v>49</v>
      </c>
      <c r="E1099">
        <v>21</v>
      </c>
      <c r="F1099">
        <v>44</v>
      </c>
      <c r="G1099">
        <v>2</v>
      </c>
      <c r="H1099" s="1">
        <v>5.7986111111111112E-3</v>
      </c>
      <c r="I1099" t="s">
        <v>18</v>
      </c>
      <c r="J1099" s="2" t="str">
        <f>HYPERLINK("https://www.nba.com/stats/events?CFID=&amp;CFPARAMS=&amp;GameEventID=153&amp;GameID=0021300094&amp;Season=2013-14&amp;flag=1&amp;title=Leonard%203'%20Driving%20Layup%20(7%20PTS)", "Leonard 3' Driving Layup (7 PTS)")</f>
        <v>Leonard 3' Driving Layup (7 PTS)</v>
      </c>
      <c r="K1099" s="2" t="str">
        <f>HYPERLINK("https://www.nba.com/game/...-vs-...-0021300094/play-by-play?watchFullGame=true", "SAS vs NYK - Q2 08:21.00")</f>
        <v>SAS vs NYK - Q2 08:21.00</v>
      </c>
      <c r="L1099">
        <v>3</v>
      </c>
      <c r="M1099">
        <v>-23</v>
      </c>
      <c r="N1099">
        <v>17</v>
      </c>
      <c r="O1099">
        <v>-23</v>
      </c>
      <c r="P1099">
        <v>17</v>
      </c>
    </row>
    <row r="1100" spans="1:16" x14ac:dyDescent="0.25">
      <c r="A1100">
        <v>22200701</v>
      </c>
      <c r="B1100">
        <v>2022</v>
      </c>
      <c r="C1100" t="s">
        <v>32</v>
      </c>
      <c r="D1100" t="s">
        <v>47</v>
      </c>
      <c r="E1100">
        <v>16</v>
      </c>
      <c r="F1100">
        <v>20</v>
      </c>
      <c r="G1100">
        <v>1</v>
      </c>
      <c r="H1100" s="1">
        <v>2.0254629629629629E-3</v>
      </c>
      <c r="I1100" t="s">
        <v>23</v>
      </c>
      <c r="J1100" s="2" t="str">
        <f>HYPERLINK("https://www.nba.com/stats/events?CFID=&amp;CFPARAMS=&amp;GameEventID=109&amp;GameID=0022200701&amp;Season=2022-23&amp;flag=1&amp;title=Leonard%20driving%20Layup%20(5%20PTS)", "Driving Layup (5 PTS)")</f>
        <v>Driving Layup (5 PTS)</v>
      </c>
      <c r="K1100" s="2" t="str">
        <f>HYPERLINK("https://www.nba.com/game/...-vs-...-0022200701/play-by-play?watchFullGame=true", "LAC vs DAL - Q1 02:55.00")</f>
        <v>LAC vs DAL - Q1 02:55.00</v>
      </c>
      <c r="L1100">
        <v>3.04</v>
      </c>
      <c r="M1100">
        <v>92.33</v>
      </c>
      <c r="N1100">
        <v>45.34</v>
      </c>
      <c r="O1100">
        <v>-23</v>
      </c>
      <c r="P1100">
        <v>20</v>
      </c>
    </row>
    <row r="1101" spans="1:16" x14ac:dyDescent="0.25">
      <c r="A1101">
        <v>22301028</v>
      </c>
      <c r="B1101">
        <v>2023</v>
      </c>
      <c r="C1101" t="s">
        <v>32</v>
      </c>
      <c r="D1101" t="s">
        <v>44</v>
      </c>
      <c r="E1101">
        <v>75</v>
      </c>
      <c r="F1101">
        <v>79</v>
      </c>
      <c r="G1101">
        <v>3</v>
      </c>
      <c r="H1101" s="1">
        <v>3.0324074074074073E-3</v>
      </c>
      <c r="I1101" t="s">
        <v>23</v>
      </c>
      <c r="J1101" s="2" t="str">
        <f>HYPERLINK("https://www.nba.com/stats/events?CFID=&amp;CFPARAMS=&amp;GameEventID=379&amp;GameID=0022301028&amp;Season=2023-24&amp;flag=1&amp;title=Leonard%20Hook%20(16%20PTS)%20(J.%20Harden%2012%20AST)", "Hook (16 PTS) (J. Harden 12 AST)")</f>
        <v>Hook (16 PTS) (J. Harden 12 AST)</v>
      </c>
      <c r="K1101" s="2" t="str">
        <f>HYPERLINK("https://www.nba.com/game/...-vs-...-0022301028/play-by-play?watchFullGame=true", "LAC vs PHI - Q3 04:22.00")</f>
        <v>LAC vs PHI - Q3 04:22.00</v>
      </c>
      <c r="L1101">
        <v>3.21</v>
      </c>
      <c r="M1101">
        <v>7.93</v>
      </c>
      <c r="N1101">
        <v>54.66</v>
      </c>
      <c r="O1101">
        <v>-23</v>
      </c>
      <c r="P1101">
        <v>22</v>
      </c>
    </row>
    <row r="1102" spans="1:16" x14ac:dyDescent="0.25">
      <c r="A1102">
        <v>21300032</v>
      </c>
      <c r="B1102">
        <v>2013</v>
      </c>
      <c r="C1102" t="s">
        <v>32</v>
      </c>
      <c r="D1102" t="s">
        <v>57</v>
      </c>
      <c r="E1102">
        <v>15</v>
      </c>
      <c r="F1102">
        <v>10</v>
      </c>
      <c r="G1102">
        <v>1</v>
      </c>
      <c r="H1102" s="1">
        <v>3.5300925925925925E-3</v>
      </c>
      <c r="I1102" t="s">
        <v>18</v>
      </c>
      <c r="J1102" s="2" t="str">
        <f>HYPERLINK("https://www.nba.com/stats/events?CFID=&amp;CFPARAMS=&amp;GameEventID=79&amp;GameID=0021300032&amp;Season=2013-14&amp;flag=1&amp;title=Leonard%203'%20Layup%20(4%20PTS)%20(Ginobili%201%20AST)", "Leonard 3' Layup (4 PTS) (Ginobili 1 AST)")</f>
        <v>Leonard 3' Layup (4 PTS) (Ginobili 1 AST)</v>
      </c>
      <c r="K1102" s="2" t="str">
        <f>HYPERLINK("https://www.nba.com/game/...-vs-...-0021300032/play-by-play?watchFullGame=true", "SAS vs LAL - Q1 05:05.00")</f>
        <v>SAS vs LAL - Q1 05:05.00</v>
      </c>
      <c r="L1102">
        <v>3</v>
      </c>
      <c r="M1102">
        <v>-23</v>
      </c>
      <c r="N1102">
        <v>23</v>
      </c>
      <c r="O1102">
        <v>-23</v>
      </c>
      <c r="P1102">
        <v>23</v>
      </c>
    </row>
    <row r="1103" spans="1:16" x14ac:dyDescent="0.25">
      <c r="A1103">
        <v>21300421</v>
      </c>
      <c r="B1103">
        <v>2013</v>
      </c>
      <c r="C1103" t="s">
        <v>32</v>
      </c>
      <c r="D1103" t="s">
        <v>42</v>
      </c>
      <c r="E1103">
        <v>66</v>
      </c>
      <c r="F1103">
        <v>71</v>
      </c>
      <c r="G1103">
        <v>3</v>
      </c>
      <c r="H1103" s="1">
        <v>3.3217592592592591E-3</v>
      </c>
      <c r="I1103" t="s">
        <v>18</v>
      </c>
      <c r="J1103" s="2" t="str">
        <f>HYPERLINK("https://www.nba.com/stats/events?CFID=&amp;CFPARAMS=&amp;GameEventID=319&amp;GameID=0021300421&amp;Season=2013-14&amp;flag=1&amp;title=Leonard%204'%20Driving%20Jump%20Shot%20(8%20PTS)", "Leonard 4' Driving Jump Shot (8 PTS)")</f>
        <v>Leonard 4' Driving Jump Shot (8 PTS)</v>
      </c>
      <c r="K1103" s="2" t="str">
        <f>HYPERLINK("https://www.nba.com/game/...-vs-...-0021300421/play-by-play?watchFullGame=true", "SAS vs HOU - Q3 04:47.00")</f>
        <v>SAS vs HOU - Q3 04:47.00</v>
      </c>
      <c r="L1103">
        <v>4</v>
      </c>
      <c r="M1103">
        <v>-23</v>
      </c>
      <c r="N1103">
        <v>33</v>
      </c>
      <c r="O1103">
        <v>-23</v>
      </c>
      <c r="P1103">
        <v>33</v>
      </c>
    </row>
    <row r="1104" spans="1:16" x14ac:dyDescent="0.25">
      <c r="A1104">
        <v>41300404</v>
      </c>
      <c r="B1104" t="s">
        <v>26</v>
      </c>
      <c r="C1104" t="s">
        <v>32</v>
      </c>
      <c r="D1104" t="s">
        <v>54</v>
      </c>
      <c r="E1104">
        <v>28</v>
      </c>
      <c r="F1104">
        <v>39</v>
      </c>
      <c r="G1104">
        <v>2</v>
      </c>
      <c r="H1104" s="1">
        <v>4.2708333333333331E-3</v>
      </c>
      <c r="I1104" t="s">
        <v>18</v>
      </c>
      <c r="J1104" s="2" t="str">
        <f>HYPERLINK("https://www.nba.com/stats/events?CFID=&amp;CFPARAMS=&amp;GameEventID=167&amp;GameID=0041300404&amp;Season=2013-14&amp;flag=1&amp;title=Leonard%205'%20Driving%20Bank%20Shot%20(4%20PTS)", "Leonard 5' Driving Bank Shot (4 PTS)")</f>
        <v>Leonard 5' Driving Bank Shot (4 PTS)</v>
      </c>
      <c r="K1104" s="2" t="str">
        <f>HYPERLINK("https://www.nba.com/game/...-vs-...-0041300404/play-by-play?watchFullGame=true", "SAS vs MIA - Q2 06:09.00")</f>
        <v>SAS vs MIA - Q2 06:09.00</v>
      </c>
      <c r="L1104">
        <v>5</v>
      </c>
      <c r="M1104">
        <v>-23</v>
      </c>
      <c r="N1104">
        <v>45</v>
      </c>
      <c r="O1104">
        <v>-23</v>
      </c>
      <c r="P1104">
        <v>45</v>
      </c>
    </row>
    <row r="1105" spans="1:16" x14ac:dyDescent="0.25">
      <c r="A1105">
        <v>22200538</v>
      </c>
      <c r="B1105">
        <v>2022</v>
      </c>
      <c r="C1105" t="s">
        <v>32</v>
      </c>
      <c r="D1105" t="s">
        <v>19</v>
      </c>
      <c r="E1105">
        <v>62</v>
      </c>
      <c r="F1105">
        <v>54</v>
      </c>
      <c r="G1105">
        <v>2</v>
      </c>
      <c r="H1105" s="1">
        <v>2.2453703703703703E-4</v>
      </c>
      <c r="I1105" t="s">
        <v>23</v>
      </c>
      <c r="J1105" s="2" t="str">
        <f>HYPERLINK("https://www.nba.com/stats/events?CFID=&amp;CFPARAMS=&amp;GameEventID=283&amp;GameID=0022200538&amp;Season=2022-23&amp;flag=1&amp;title=Leonard%208'%20driving%20floating%20Jump%20Shot%20(6%20PTS)%20(M.%20Morris%20Sr.%201%20AST)", "8' driving floating Jump Shot (6 PTS) (M. Morris Sr. 1 AST)")</f>
        <v>8' driving floating Jump Shot (6 PTS) (M. Morris Sr. 1 AST)</v>
      </c>
      <c r="K1105" s="2" t="str">
        <f>HYPERLINK("https://www.nba.com/game/...-vs-...-0022200538/play-by-play?watchFullGame=true", "LAC vs IND - Q2 00:19.40")</f>
        <v>LAC vs IND - Q2 00:19.40</v>
      </c>
      <c r="L1105">
        <v>8.23</v>
      </c>
      <c r="M1105">
        <v>86.02</v>
      </c>
      <c r="N1105">
        <v>45.34</v>
      </c>
      <c r="O1105">
        <v>-23</v>
      </c>
      <c r="P1105">
        <v>79</v>
      </c>
    </row>
    <row r="1106" spans="1:16" x14ac:dyDescent="0.25">
      <c r="A1106">
        <v>22300526</v>
      </c>
      <c r="B1106">
        <v>2023</v>
      </c>
      <c r="C1106" t="s">
        <v>32</v>
      </c>
      <c r="D1106" t="s">
        <v>19</v>
      </c>
      <c r="E1106">
        <v>51</v>
      </c>
      <c r="F1106">
        <v>50</v>
      </c>
      <c r="G1106">
        <v>2</v>
      </c>
      <c r="H1106" s="1">
        <v>2.1064814814814813E-3</v>
      </c>
      <c r="I1106" t="s">
        <v>23</v>
      </c>
      <c r="J1106" s="2" t="str">
        <f>HYPERLINK("https://www.nba.com/stats/events?CFID=&amp;CFPARAMS=&amp;GameEventID=249&amp;GameID=0022300526&amp;Season=2023-24&amp;flag=1&amp;title=Leonard%2015'%20pullup%20Jump%20Shot%20(16%20PTS)", "15' pullup Jump Shot (16 PTS)")</f>
        <v>15' pullup Jump Shot (16 PTS)</v>
      </c>
      <c r="K1106" s="2" t="str">
        <f>HYPERLINK("https://www.nba.com/game/...-vs-...-0022300526/play-by-play?watchFullGame=true", "LAC vs TOR - Q2 03:02.00")</f>
        <v>LAC vs TOR - Q2 03:02.00</v>
      </c>
      <c r="L1106">
        <v>15.11</v>
      </c>
      <c r="M1106">
        <v>21.47</v>
      </c>
      <c r="N1106">
        <v>54.66</v>
      </c>
      <c r="O1106">
        <v>-23</v>
      </c>
      <c r="P1106">
        <v>149</v>
      </c>
    </row>
    <row r="1107" spans="1:16" x14ac:dyDescent="0.25">
      <c r="A1107">
        <v>22300799</v>
      </c>
      <c r="B1107">
        <v>2023</v>
      </c>
      <c r="C1107" t="s">
        <v>32</v>
      </c>
      <c r="D1107" t="s">
        <v>19</v>
      </c>
      <c r="E1107">
        <v>59</v>
      </c>
      <c r="F1107">
        <v>57</v>
      </c>
      <c r="G1107">
        <v>2</v>
      </c>
      <c r="H1107" s="1">
        <v>1.3773148148148147E-3</v>
      </c>
      <c r="I1107" t="s">
        <v>23</v>
      </c>
      <c r="J1107" s="2" t="str">
        <f>HYPERLINK("https://www.nba.com/stats/events?CFID=&amp;CFPARAMS=&amp;GameEventID=288&amp;GameID=0022300799&amp;Season=2023-24&amp;flag=1&amp;title=Leonard%2018'%20pullup%20Jump%20Shot%20(10%20PTS)%20(T.%20Mann%204%20AST)", "18' pullup Jump Shot (10 PTS) (T. Mann 4 AST)")</f>
        <v>18' pullup Jump Shot (10 PTS) (T. Mann 4 AST)</v>
      </c>
      <c r="K1107" s="2" t="str">
        <f>HYPERLINK("https://www.nba.com/game/...-vs-...-0022300799/play-by-play?watchFullGame=true", "LAC vs OKC - Q2 01:59.00")</f>
        <v>LAC vs OKC - Q2 01:59.00</v>
      </c>
      <c r="L1107">
        <v>18.45</v>
      </c>
      <c r="M1107">
        <v>25.05</v>
      </c>
      <c r="N1107">
        <v>54.66</v>
      </c>
      <c r="O1107">
        <v>-23</v>
      </c>
      <c r="P1107">
        <v>183</v>
      </c>
    </row>
    <row r="1108" spans="1:16" x14ac:dyDescent="0.25">
      <c r="A1108">
        <v>21500182</v>
      </c>
      <c r="B1108">
        <v>2015</v>
      </c>
      <c r="C1108" t="s">
        <v>32</v>
      </c>
      <c r="D1108" t="s">
        <v>49</v>
      </c>
      <c r="E1108">
        <v>69</v>
      </c>
      <c r="F1108">
        <v>61</v>
      </c>
      <c r="G1108">
        <v>3</v>
      </c>
      <c r="H1108" s="1">
        <v>2.0254629629629629E-3</v>
      </c>
      <c r="I1108" t="s">
        <v>18</v>
      </c>
      <c r="J1108" s="2" t="str">
        <f>HYPERLINK("https://www.nba.com/stats/events?CFID=&amp;CFPARAMS=&amp;GameEventID=398&amp;GameID=0021500182&amp;Season=2015-16&amp;flag=1&amp;title=Leonard%202'%20Driving%20Layup%20(15%20PTS)", "Leonard 2' Driving Layup (15 PTS)")</f>
        <v>Leonard 2' Driving Layup (15 PTS)</v>
      </c>
      <c r="K1108" s="2" t="str">
        <f>HYPERLINK("https://www.nba.com/game/...-vs-...-0021500182/play-by-play?watchFullGame=true", "SAS vs NOP - Q3 02:55.00")</f>
        <v>SAS vs NOP - Q3 02:55.00</v>
      </c>
      <c r="L1108">
        <v>2</v>
      </c>
      <c r="M1108">
        <v>-22</v>
      </c>
      <c r="N1108">
        <v>2</v>
      </c>
      <c r="O1108">
        <v>-22</v>
      </c>
      <c r="P1108">
        <v>2</v>
      </c>
    </row>
    <row r="1109" spans="1:16" x14ac:dyDescent="0.25">
      <c r="A1109">
        <v>41800406</v>
      </c>
      <c r="B1109" t="s">
        <v>20</v>
      </c>
      <c r="C1109" t="s">
        <v>32</v>
      </c>
      <c r="D1109" t="s">
        <v>55</v>
      </c>
      <c r="E1109">
        <v>15</v>
      </c>
      <c r="F1109">
        <v>21</v>
      </c>
      <c r="G1109">
        <v>1</v>
      </c>
      <c r="H1109" s="1">
        <v>3.9699074074074072E-3</v>
      </c>
      <c r="I1109" t="s">
        <v>21</v>
      </c>
      <c r="J1109" s="2" t="str">
        <f>HYPERLINK("https://www.nba.com/stats/events?CFID=&amp;CFPARAMS=&amp;GameEventID=80&amp;GameID=0041800406&amp;Season=2018-19&amp;flag=1&amp;title=Leonard%202'%20Driving%20Reverse%20Layup%20(2%20PTS)", "Leonard 2' Driving Reverse Layup (2 PTS)")</f>
        <v>Leonard 2' Driving Reverse Layup (2 PTS)</v>
      </c>
      <c r="K1109" s="2" t="str">
        <f>HYPERLINK("https://www.nba.com/game/...-vs-...-0041800406/play-by-play?watchFullGame=true", "TOR vs GSW - Q1 05:43.00")</f>
        <v>TOR vs GSW - Q1 05:43.00</v>
      </c>
      <c r="L1109">
        <v>2</v>
      </c>
      <c r="M1109">
        <v>-22</v>
      </c>
      <c r="N1109">
        <v>2</v>
      </c>
      <c r="O1109">
        <v>-22</v>
      </c>
      <c r="P1109">
        <v>2</v>
      </c>
    </row>
    <row r="1110" spans="1:16" x14ac:dyDescent="0.25">
      <c r="A1110">
        <v>22200438</v>
      </c>
      <c r="B1110">
        <v>2022</v>
      </c>
      <c r="C1110" t="s">
        <v>32</v>
      </c>
      <c r="D1110" t="s">
        <v>47</v>
      </c>
      <c r="E1110">
        <v>41</v>
      </c>
      <c r="F1110">
        <v>52</v>
      </c>
      <c r="G1110">
        <v>2</v>
      </c>
      <c r="H1110" s="1">
        <v>2.1064814814814813E-3</v>
      </c>
      <c r="I1110" t="s">
        <v>23</v>
      </c>
      <c r="J1110" s="2" t="str">
        <f>HYPERLINK("https://www.nba.com/stats/events?CFID=&amp;CFPARAMS=&amp;GameEventID=257&amp;GameID=0022200438&amp;Season=2022-23&amp;flag=1&amp;title=Leonard%20driving%20Layup%20(12%20PTS)%20(M.%20Morris%20Sr.%202%20AST)", "Driving Layup (12 PTS) (M. Morris Sr. 2 AST)")</f>
        <v>Driving Layup (12 PTS) (M. Morris Sr. 2 AST)</v>
      </c>
      <c r="K1110" s="2" t="str">
        <f>HYPERLINK("https://www.nba.com/game/...-vs-...-0022200438/play-by-play?watchFullGame=true", "LAC vs WAS - Q2 03:02.00")</f>
        <v>LAC vs WAS - Q2 03:02.00</v>
      </c>
      <c r="L1110">
        <v>3.21</v>
      </c>
      <c r="M1110">
        <v>8.07</v>
      </c>
      <c r="N1110">
        <v>54.41</v>
      </c>
      <c r="O1110">
        <v>-22</v>
      </c>
      <c r="P1110">
        <v>23</v>
      </c>
    </row>
    <row r="1111" spans="1:16" x14ac:dyDescent="0.25">
      <c r="A1111">
        <v>22200476</v>
      </c>
      <c r="B1111">
        <v>2022</v>
      </c>
      <c r="C1111" t="s">
        <v>32</v>
      </c>
      <c r="D1111" t="s">
        <v>47</v>
      </c>
      <c r="E1111">
        <v>112</v>
      </c>
      <c r="F1111">
        <v>90</v>
      </c>
      <c r="G1111">
        <v>4</v>
      </c>
      <c r="H1111" s="1">
        <v>3.8078703703703703E-3</v>
      </c>
      <c r="I1111" t="s">
        <v>23</v>
      </c>
      <c r="J1111" s="2" t="str">
        <f>HYPERLINK("https://www.nba.com/stats/events?CFID=&amp;CFPARAMS=&amp;GameEventID=628&amp;GameID=0022200476&amp;Season=2022-23&amp;flag=1&amp;title=Leonard%20Layup%20(16%20PTS)", "Layup (16 PTS)")</f>
        <v>Layup (16 PTS)</v>
      </c>
      <c r="K1111" s="2" t="str">
        <f>HYPERLINK("https://www.nba.com/game/...-vs-...-0022200476/play-by-play?watchFullGame=true", "LAC vs CHA - Q4 05:29.00")</f>
        <v>LAC vs CHA - Q4 05:29.00</v>
      </c>
      <c r="L1111">
        <v>3.69</v>
      </c>
      <c r="M1111">
        <v>8.7200000000000006</v>
      </c>
      <c r="N1111">
        <v>54.41</v>
      </c>
      <c r="O1111">
        <v>-22</v>
      </c>
      <c r="P1111">
        <v>29</v>
      </c>
    </row>
    <row r="1112" spans="1:16" x14ac:dyDescent="0.25">
      <c r="A1112">
        <v>22000966</v>
      </c>
      <c r="B1112">
        <v>2020</v>
      </c>
      <c r="C1112" t="s">
        <v>32</v>
      </c>
      <c r="D1112" t="s">
        <v>19</v>
      </c>
      <c r="E1112">
        <v>93</v>
      </c>
      <c r="F1112">
        <v>101</v>
      </c>
      <c r="G1112">
        <v>4</v>
      </c>
      <c r="H1112" s="1">
        <v>2.2800925925925927E-3</v>
      </c>
      <c r="I1112" t="s">
        <v>23</v>
      </c>
      <c r="J1112" s="2" t="str">
        <f>HYPERLINK("https://www.nba.com/stats/events?CFID=&amp;CFPARAMS=&amp;GameEventID=560&amp;GameID=0022000966&amp;Season=2020-21&amp;flag=1&amp;title=Leonard%20bank%20Jump%20Shot%20(16%20PTS)", "Bank Jump Shot (16 PTS)")</f>
        <v>Bank Jump Shot (16 PTS)</v>
      </c>
      <c r="K1112" s="2" t="str">
        <f>HYPERLINK("https://www.nba.com/game/...-vs-...-0022000966/play-by-play?watchFullGame=true", "LAC vs DEN - Q4 03:17.00")</f>
        <v>LAC vs DEN - Q4 03:17.00</v>
      </c>
      <c r="L1112">
        <v>3.76</v>
      </c>
      <c r="M1112">
        <v>8.8000000000000007</v>
      </c>
      <c r="N1112">
        <v>54.45</v>
      </c>
      <c r="O1112">
        <v>-22</v>
      </c>
      <c r="P1112">
        <v>30</v>
      </c>
    </row>
    <row r="1113" spans="1:16" x14ac:dyDescent="0.25">
      <c r="A1113">
        <v>22400596</v>
      </c>
      <c r="B1113">
        <v>2024</v>
      </c>
      <c r="C1113" t="s">
        <v>32</v>
      </c>
      <c r="D1113" t="s">
        <v>47</v>
      </c>
      <c r="E1113">
        <v>56</v>
      </c>
      <c r="F1113">
        <v>44</v>
      </c>
      <c r="G1113">
        <v>2</v>
      </c>
      <c r="H1113" s="1">
        <v>2.9282407407407408E-3</v>
      </c>
      <c r="I1113" t="s">
        <v>23</v>
      </c>
      <c r="J1113" s="2" t="str">
        <f>HYPERLINK("https://www.nba.com/stats/events?CFID=&amp;CFPARAMS=&amp;GameEventID=228&amp;GameID=0022400596&amp;Season=2024-25&amp;flag=1&amp;title=Leonard%20driving%20finger%20roll%20Layup%20(11%20PTS)", "Driving finger roll Layup (11 PTS)")</f>
        <v>Driving finger roll Layup (11 PTS)</v>
      </c>
      <c r="K1113" s="2" t="str">
        <f>HYPERLINK("https://www.nba.com/game/...-vs-...-0022400596/play-by-play?watchFullGame=true", "LAC vs LAL - Q2 04:13.00")</f>
        <v>LAC vs LAL - Q2 04:13.00</v>
      </c>
      <c r="L1113">
        <v>3.99</v>
      </c>
      <c r="M1113">
        <v>90.88</v>
      </c>
      <c r="N1113">
        <v>45.59</v>
      </c>
      <c r="O1113">
        <v>-22</v>
      </c>
      <c r="P1113">
        <v>33</v>
      </c>
    </row>
    <row r="1114" spans="1:16" x14ac:dyDescent="0.25">
      <c r="A1114">
        <v>22300646</v>
      </c>
      <c r="B1114">
        <v>2023</v>
      </c>
      <c r="C1114" t="s">
        <v>32</v>
      </c>
      <c r="D1114" t="s">
        <v>47</v>
      </c>
      <c r="E1114">
        <v>48</v>
      </c>
      <c r="F1114">
        <v>81</v>
      </c>
      <c r="G1114">
        <v>3</v>
      </c>
      <c r="H1114" s="1">
        <v>2.1180555555555558E-3</v>
      </c>
      <c r="I1114" t="s">
        <v>23</v>
      </c>
      <c r="J1114" s="2" t="str">
        <f>HYPERLINK("https://www.nba.com/stats/events?CFID=&amp;CFPARAMS=&amp;GameEventID=436&amp;GameID=0022300646&amp;Season=2023-24&amp;flag=1&amp;title=Leonard%20driving%20finger%20roll%20Layup%20(23%20PTS)", "Driving finger roll Layup (23 PTS)")</f>
        <v>Driving finger roll Layup (23 PTS)</v>
      </c>
      <c r="K1114" s="2" t="str">
        <f>HYPERLINK("https://www.nba.com/game/...-vs-...-0022300646/play-by-play?watchFullGame=true", "LAC vs BOS - Q3 03:03.00")</f>
        <v>LAC vs BOS - Q3 03:03.00</v>
      </c>
      <c r="L1114">
        <v>4.22</v>
      </c>
      <c r="M1114">
        <v>9.41</v>
      </c>
      <c r="N1114">
        <v>54.41</v>
      </c>
      <c r="O1114">
        <v>-22</v>
      </c>
      <c r="P1114">
        <v>36</v>
      </c>
    </row>
    <row r="1115" spans="1:16" x14ac:dyDescent="0.25">
      <c r="A1115">
        <v>41600234</v>
      </c>
      <c r="B1115" t="s">
        <v>30</v>
      </c>
      <c r="C1115" t="s">
        <v>32</v>
      </c>
      <c r="E1115">
        <v>48</v>
      </c>
      <c r="F1115">
        <v>42</v>
      </c>
      <c r="G1115">
        <v>2</v>
      </c>
      <c r="H1115" s="1">
        <v>2.5694444444444445E-3</v>
      </c>
      <c r="I1115" t="s">
        <v>18</v>
      </c>
      <c r="J1115" s="2" t="str">
        <f>HYPERLINK("https://www.nba.com/stats/events?CFID=&amp;CFPARAMS=&amp;GameEventID=236&amp;GameID=0041600234&amp;Season=2016-17&amp;flag=1&amp;title=Leonard%206'%20Shot%20(12%20PTS)", "Leonard 6' Shot (12 PTS)")</f>
        <v>Leonard 6' Shot (12 PTS)</v>
      </c>
      <c r="K1115" s="2" t="str">
        <f>HYPERLINK("https://www.nba.com/game/...-vs-...-0041600234/play-by-play?watchFullGame=true", "SAS vs HOU - Q2 03:42.00")</f>
        <v>SAS vs HOU - Q2 03:42.00</v>
      </c>
      <c r="L1115">
        <v>6</v>
      </c>
      <c r="M1115">
        <v>-22</v>
      </c>
      <c r="N1115">
        <v>52</v>
      </c>
      <c r="O1115">
        <v>-22</v>
      </c>
      <c r="P1115">
        <v>52</v>
      </c>
    </row>
    <row r="1116" spans="1:16" x14ac:dyDescent="0.25">
      <c r="A1116">
        <v>22000142</v>
      </c>
      <c r="B1116">
        <v>2020</v>
      </c>
      <c r="C1116" t="s">
        <v>32</v>
      </c>
      <c r="D1116" t="s">
        <v>44</v>
      </c>
      <c r="E1116">
        <v>48</v>
      </c>
      <c r="F1116">
        <v>50</v>
      </c>
      <c r="G1116">
        <v>2</v>
      </c>
      <c r="H1116" s="1">
        <v>2.1064814814814813E-3</v>
      </c>
      <c r="I1116" t="s">
        <v>23</v>
      </c>
      <c r="J1116" s="2" t="str">
        <f>HYPERLINK("https://www.nba.com/stats/events?CFID=&amp;CFPARAMS=&amp;GameEventID=278&amp;GameID=0022000142&amp;Season=2020-21&amp;flag=1&amp;title=Leonard%206'%20turnaround%20Hook%20(12%20PTS)", "6' turnaround Hook (12 PTS)")</f>
        <v>6' turnaround Hook (12 PTS)</v>
      </c>
      <c r="K1116" s="2" t="str">
        <f>HYPERLINK("https://www.nba.com/game/...-vs-...-0022000142/play-by-play?watchFullGame=true", "LAC vs CHI - Q2 03:02.00")</f>
        <v>LAC vs CHI - Q2 03:02.00</v>
      </c>
      <c r="L1116">
        <v>6.12</v>
      </c>
      <c r="M1116">
        <v>11.65</v>
      </c>
      <c r="N1116">
        <v>54.48</v>
      </c>
      <c r="O1116">
        <v>-22</v>
      </c>
      <c r="P1116">
        <v>57</v>
      </c>
    </row>
    <row r="1117" spans="1:16" x14ac:dyDescent="0.25">
      <c r="A1117">
        <v>22200945</v>
      </c>
      <c r="B1117">
        <v>2022</v>
      </c>
      <c r="C1117" t="s">
        <v>32</v>
      </c>
      <c r="D1117" t="s">
        <v>19</v>
      </c>
      <c r="E1117">
        <v>19</v>
      </c>
      <c r="F1117">
        <v>19</v>
      </c>
      <c r="G1117">
        <v>1</v>
      </c>
      <c r="H1117" s="1">
        <v>2.4652777777777776E-3</v>
      </c>
      <c r="I1117" t="s">
        <v>23</v>
      </c>
      <c r="J1117" s="2" t="str">
        <f>HYPERLINK("https://www.nba.com/stats/events?CFID=&amp;CFPARAMS=&amp;GameEventID=102&amp;GameID=0022200945&amp;Season=2022-23&amp;flag=1&amp;title=Leonard%207'%20floating%20Jump%20Shot%20(7%20PTS)", "7' floating Jump Shot (7 PTS)")</f>
        <v>7' floating Jump Shot (7 PTS)</v>
      </c>
      <c r="K1117" s="2" t="str">
        <f>HYPERLINK("https://www.nba.com/game/...-vs-...-0022200945/play-by-play?watchFullGame=true", "LAC vs GSW - Q1 03:33.00")</f>
        <v>LAC vs GSW - Q1 03:33.00</v>
      </c>
      <c r="L1117">
        <v>7.72</v>
      </c>
      <c r="M1117">
        <v>86.55</v>
      </c>
      <c r="N1117">
        <v>45.59</v>
      </c>
      <c r="O1117">
        <v>-22</v>
      </c>
      <c r="P1117">
        <v>74</v>
      </c>
    </row>
    <row r="1118" spans="1:16" x14ac:dyDescent="0.25">
      <c r="A1118">
        <v>21600458</v>
      </c>
      <c r="B1118">
        <v>2016</v>
      </c>
      <c r="C1118" t="s">
        <v>32</v>
      </c>
      <c r="D1118" t="s">
        <v>35</v>
      </c>
      <c r="E1118">
        <v>47</v>
      </c>
      <c r="F1118">
        <v>35</v>
      </c>
      <c r="G1118">
        <v>2</v>
      </c>
      <c r="H1118" s="1">
        <v>4.363425925925926E-3</v>
      </c>
      <c r="I1118" t="s">
        <v>18</v>
      </c>
      <c r="J1118" s="2" t="str">
        <f>HYPERLINK("https://www.nba.com/stats/events?CFID=&amp;CFPARAMS=&amp;GameEventID=169&amp;GameID=0021600458&amp;Season=2016-17&amp;flag=1&amp;title=Leonard%2011'%20Driving%20Floating%20Jump%20Shot%20(14%20PTS)%20(Dedmon%201%20AST)", "Leonard 11' Driving Floating Jump Shot (14 PTS) (Dedmon 1 AST)")</f>
        <v>Leonard 11' Driving Floating Jump Shot (14 PTS) (Dedmon 1 AST)</v>
      </c>
      <c r="K1118" s="2" t="str">
        <f>HYPERLINK("https://www.nba.com/game/...-vs-...-0021600458/play-by-play?watchFullGame=true", "SAS vs CHI - Q2 06:17.00")</f>
        <v>SAS vs CHI - Q2 06:17.00</v>
      </c>
      <c r="L1118">
        <v>11</v>
      </c>
      <c r="M1118">
        <v>-22</v>
      </c>
      <c r="N1118">
        <v>106</v>
      </c>
      <c r="O1118">
        <v>-22</v>
      </c>
      <c r="P1118">
        <v>106</v>
      </c>
    </row>
    <row r="1119" spans="1:16" x14ac:dyDescent="0.25">
      <c r="A1119">
        <v>22300526</v>
      </c>
      <c r="B1119">
        <v>2023</v>
      </c>
      <c r="C1119" t="s">
        <v>32</v>
      </c>
      <c r="D1119" t="s">
        <v>19</v>
      </c>
      <c r="E1119">
        <v>22</v>
      </c>
      <c r="F1119">
        <v>15</v>
      </c>
      <c r="G1119">
        <v>1</v>
      </c>
      <c r="H1119" s="1">
        <v>2.8472222222222223E-3</v>
      </c>
      <c r="I1119" t="s">
        <v>23</v>
      </c>
      <c r="J1119" s="2" t="str">
        <f>HYPERLINK("https://www.nba.com/stats/events?CFID=&amp;CFPARAMS=&amp;GameEventID=88&amp;GameID=0022300526&amp;Season=2023-24&amp;flag=1&amp;title=Leonard%2012'%20pullup%20Jump%20Shot%20(7%20PTS)", "12' pullup Jump Shot (7 PTS)")</f>
        <v>12' pullup Jump Shot (7 PTS)</v>
      </c>
      <c r="K1119" s="2" t="str">
        <f>HYPERLINK("https://www.nba.com/game/...-vs-...-0022300526/play-by-play?watchFullGame=true", "LAC vs TOR - Q1 04:06.00")</f>
        <v>LAC vs TOR - Q1 04:06.00</v>
      </c>
      <c r="L1119">
        <v>12.29</v>
      </c>
      <c r="M1119">
        <v>18.45</v>
      </c>
      <c r="N1119">
        <v>54.41</v>
      </c>
      <c r="O1119">
        <v>-22</v>
      </c>
      <c r="P1119">
        <v>121</v>
      </c>
    </row>
    <row r="1120" spans="1:16" x14ac:dyDescent="0.25">
      <c r="A1120">
        <v>22200639</v>
      </c>
      <c r="B1120">
        <v>2022</v>
      </c>
      <c r="C1120" t="s">
        <v>32</v>
      </c>
      <c r="D1120" t="s">
        <v>19</v>
      </c>
      <c r="E1120">
        <v>98</v>
      </c>
      <c r="F1120">
        <v>108</v>
      </c>
      <c r="G1120">
        <v>4</v>
      </c>
      <c r="H1120" s="1">
        <v>2.1296296296296298E-3</v>
      </c>
      <c r="I1120" t="s">
        <v>23</v>
      </c>
      <c r="J1120" s="2" t="str">
        <f>HYPERLINK("https://www.nba.com/stats/events?CFID=&amp;CFPARAMS=&amp;GameEventID=530&amp;GameID=0022200639&amp;Season=2022-23&amp;flag=1&amp;title=Leonard%2012'%20turnaround%20fadeaway%20Jump%20Shot%20(22%20PTS)", "12' turnaround fadeaway Jump Shot (22 PTS)")</f>
        <v>12' turnaround fadeaway Jump Shot (22 PTS)</v>
      </c>
      <c r="K1120" s="2" t="str">
        <f>HYPERLINK("https://www.nba.com/game/...-vs-...-0022200639/play-by-play?watchFullGame=true", "LAC vs DEN - Q4 03:04.00")</f>
        <v>LAC vs DEN - Q4 03:04.00</v>
      </c>
      <c r="L1120">
        <v>12.77</v>
      </c>
      <c r="M1120">
        <v>18.97</v>
      </c>
      <c r="N1120">
        <v>54.41</v>
      </c>
      <c r="O1120">
        <v>-22</v>
      </c>
      <c r="P1120">
        <v>126</v>
      </c>
    </row>
    <row r="1121" spans="1:16" x14ac:dyDescent="0.25">
      <c r="A1121">
        <v>22000172</v>
      </c>
      <c r="B1121">
        <v>2020</v>
      </c>
      <c r="C1121" t="s">
        <v>16</v>
      </c>
      <c r="D1121" t="s">
        <v>19</v>
      </c>
      <c r="E1121">
        <v>105</v>
      </c>
      <c r="F1121">
        <v>96</v>
      </c>
      <c r="G1121">
        <v>4</v>
      </c>
      <c r="H1121" s="1">
        <v>2.0833333333333333E-3</v>
      </c>
      <c r="I1121" t="s">
        <v>23</v>
      </c>
      <c r="J1121" s="2" t="str">
        <f>HYPERLINK("https://www.nba.com/stats/events?CFID=&amp;CFPARAMS=&amp;GameEventID=534&amp;GameID=0022000172&amp;Season=2020-21&amp;flag=1&amp;title=Leonard%2026'%203PT%20%20(28%20PTS)%20(P.%20George%206%20AST)", "26' 3PT  (28 PTS) (P. George 6 AST)")</f>
        <v>26' 3PT  (28 PTS) (P. George 6 AST)</v>
      </c>
      <c r="K1121" s="2" t="str">
        <f>HYPERLINK("https://www.nba.com/game/...-vs-...-0022000172/play-by-play?watchFullGame=true", "LAC vs NOP - Q4 03:00.00")</f>
        <v>LAC vs NOP - Q4 03:00.00</v>
      </c>
      <c r="L1121">
        <v>26.91</v>
      </c>
      <c r="M1121">
        <v>65.88</v>
      </c>
      <c r="N1121">
        <v>45.52</v>
      </c>
      <c r="O1121">
        <v>-22</v>
      </c>
      <c r="P1121">
        <v>268</v>
      </c>
    </row>
    <row r="1122" spans="1:16" x14ac:dyDescent="0.25">
      <c r="A1122">
        <v>21901232</v>
      </c>
      <c r="B1122">
        <v>2019</v>
      </c>
      <c r="C1122" t="s">
        <v>32</v>
      </c>
      <c r="D1122" t="s">
        <v>50</v>
      </c>
      <c r="E1122">
        <v>11</v>
      </c>
      <c r="F1122">
        <v>9</v>
      </c>
      <c r="G1122">
        <v>1</v>
      </c>
      <c r="H1122" s="1">
        <v>5.4745370370370373E-3</v>
      </c>
      <c r="I1122" t="s">
        <v>23</v>
      </c>
      <c r="J1122" s="2" t="str">
        <f>HYPERLINK("https://www.nba.com/stats/events?CFID=&amp;CFPARAMS=&amp;GameEventID=55&amp;GameID=0021901232&amp;Season=2019-20&amp;flag=1&amp;title=Leonard%20layup%20(5%20PTS)", "Layup (5 PTS)")</f>
        <v>Layup (5 PTS)</v>
      </c>
      <c r="K1122" s="2" t="str">
        <f>HYPERLINK("https://www.nba.com/game/...-vs-...-0021901232/play-by-play?watchFullGame=true", "LAC vs LAL - Q1 07:53.00")</f>
        <v>LAC vs LAL - Q1 07:53.00</v>
      </c>
      <c r="L1122">
        <v>2.3199999999999998</v>
      </c>
      <c r="M1122">
        <v>6</v>
      </c>
      <c r="N1122">
        <v>54.24</v>
      </c>
      <c r="O1122">
        <v>-21</v>
      </c>
      <c r="P1122">
        <v>4</v>
      </c>
    </row>
    <row r="1123" spans="1:16" x14ac:dyDescent="0.25">
      <c r="A1123">
        <v>22200352</v>
      </c>
      <c r="B1123">
        <v>2022</v>
      </c>
      <c r="C1123" t="s">
        <v>32</v>
      </c>
      <c r="D1123" t="s">
        <v>47</v>
      </c>
      <c r="E1123">
        <v>105</v>
      </c>
      <c r="F1123">
        <v>110</v>
      </c>
      <c r="G1123">
        <v>4</v>
      </c>
      <c r="H1123" s="1">
        <v>3.414351851851852E-3</v>
      </c>
      <c r="I1123" t="s">
        <v>23</v>
      </c>
      <c r="J1123" s="2" t="str">
        <f>HYPERLINK("https://www.nba.com/stats/events?CFID=&amp;CFPARAMS=&amp;GameEventID=622&amp;GameID=0022200352&amp;Season=2022-23&amp;flag=1&amp;title=Leonard%20reverse%20Layup%20(10%20PTS)%20(R.%20Jackson%202%20AST)", "Reverse Layup (10 PTS) (R. Jackson 2 AST)")</f>
        <v>Reverse Layup (10 PTS) (R. Jackson 2 AST)</v>
      </c>
      <c r="K1123" s="2" t="str">
        <f>HYPERLINK("https://www.nba.com/game/...-vs-...-0022200352/play-by-play?watchFullGame=true", "LAC vs CHA - Q4 04:55.00")</f>
        <v>LAC vs CHA - Q4 04:55.00</v>
      </c>
      <c r="L1123">
        <v>2.4900000000000002</v>
      </c>
      <c r="M1123">
        <v>7.05</v>
      </c>
      <c r="N1123">
        <v>54.17</v>
      </c>
      <c r="O1123">
        <v>-21</v>
      </c>
      <c r="P1123">
        <v>14</v>
      </c>
    </row>
    <row r="1124" spans="1:16" x14ac:dyDescent="0.25">
      <c r="A1124">
        <v>22300264</v>
      </c>
      <c r="B1124">
        <v>2023</v>
      </c>
      <c r="C1124" t="s">
        <v>32</v>
      </c>
      <c r="D1124" t="s">
        <v>47</v>
      </c>
      <c r="E1124">
        <v>81</v>
      </c>
      <c r="F1124">
        <v>100</v>
      </c>
      <c r="G1124">
        <v>3</v>
      </c>
      <c r="H1124" s="1">
        <v>4.5023148148148147E-4</v>
      </c>
      <c r="I1124" t="s">
        <v>23</v>
      </c>
      <c r="J1124" s="2" t="str">
        <f>HYPERLINK("https://www.nba.com/stats/events?CFID=&amp;CFPARAMS=&amp;GameEventID=483&amp;GameID=0022300264&amp;Season=2023-24&amp;flag=1&amp;title=Leonard%20driving%20reverse%20Layup%20(27%20PTS)%20(J.%20Harden%206%20AST)", "Driving reverse Layup (27 PTS) (J. Harden 6 AST)")</f>
        <v>Driving reverse Layup (27 PTS) (J. Harden 6 AST)</v>
      </c>
      <c r="K1124" s="2" t="str">
        <f>HYPERLINK("https://www.nba.com/game/...-vs-...-0022300264/play-by-play?watchFullGame=true", "LAC vs SAC - Q3 00:38.90")</f>
        <v>LAC vs SAC - Q3 00:38.90</v>
      </c>
      <c r="L1124">
        <v>2.5499999999999998</v>
      </c>
      <c r="M1124">
        <v>92.85</v>
      </c>
      <c r="N1124">
        <v>45.83</v>
      </c>
      <c r="O1124">
        <v>-21</v>
      </c>
      <c r="P1124">
        <v>15</v>
      </c>
    </row>
    <row r="1125" spans="1:16" x14ac:dyDescent="0.25">
      <c r="A1125">
        <v>22300770</v>
      </c>
      <c r="B1125">
        <v>2023</v>
      </c>
      <c r="C1125" t="s">
        <v>32</v>
      </c>
      <c r="D1125" t="s">
        <v>48</v>
      </c>
      <c r="E1125">
        <v>22</v>
      </c>
      <c r="F1125">
        <v>28</v>
      </c>
      <c r="G1125">
        <v>1</v>
      </c>
      <c r="H1125" s="1">
        <v>3.5300925925925924E-4</v>
      </c>
      <c r="I1125" t="s">
        <v>23</v>
      </c>
      <c r="J1125" s="2" t="str">
        <f>HYPERLINK("https://www.nba.com/stats/events?CFID=&amp;CFPARAMS=&amp;GameEventID=190&amp;GameID=0022300770&amp;Season=2023-24&amp;flag=1&amp;title=Leonard%20driving%20DUNK%20(9%20PTS)", "Driving DUNK (9 PTS)")</f>
        <v>Driving DUNK (9 PTS)</v>
      </c>
      <c r="K1125" s="2" t="str">
        <f>HYPERLINK("https://www.nba.com/game/...-vs-...-0022300770/play-by-play?watchFullGame=true", "LAC vs MIN - Q1 00:30.50")</f>
        <v>LAC vs MIN - Q1 00:30.50</v>
      </c>
      <c r="L1125">
        <v>2.86</v>
      </c>
      <c r="M1125">
        <v>7.67</v>
      </c>
      <c r="N1125">
        <v>54.17</v>
      </c>
      <c r="O1125">
        <v>-21</v>
      </c>
      <c r="P1125">
        <v>20</v>
      </c>
    </row>
    <row r="1126" spans="1:16" x14ac:dyDescent="0.25">
      <c r="A1126">
        <v>41400165</v>
      </c>
      <c r="B1126" t="s">
        <v>28</v>
      </c>
      <c r="C1126" t="s">
        <v>32</v>
      </c>
      <c r="D1126" t="s">
        <v>52</v>
      </c>
      <c r="E1126">
        <v>36</v>
      </c>
      <c r="F1126">
        <v>34</v>
      </c>
      <c r="G1126">
        <v>2</v>
      </c>
      <c r="H1126" s="1">
        <v>4.9305555555555552E-3</v>
      </c>
      <c r="I1126" t="s">
        <v>18</v>
      </c>
      <c r="J1126" s="2" t="str">
        <f>HYPERLINK("https://www.nba.com/stats/events?CFID=&amp;CFPARAMS=&amp;GameEventID=185&amp;GameID=0041400165&amp;Season=2014-15&amp;flag=1&amp;title=Leonard%203'%20Alley%20Oop%20Layup%20(8%20PTS)%20(Duncan%201%20AST)", "Leonard 3' Alley Oop Layup (8 PTS) (Duncan 1 AST)")</f>
        <v>Leonard 3' Alley Oop Layup (8 PTS) (Duncan 1 AST)</v>
      </c>
      <c r="K1126" s="2" t="str">
        <f>HYPERLINK("https://www.nba.com/game/...-vs-...-0041400165/play-by-play?watchFullGame=true", "SAS vs LAC - Q2 07:06.00")</f>
        <v>SAS vs LAC - Q2 07:06.00</v>
      </c>
      <c r="L1126">
        <v>3</v>
      </c>
      <c r="M1126">
        <v>-21</v>
      </c>
      <c r="N1126">
        <v>25</v>
      </c>
      <c r="O1126">
        <v>-21</v>
      </c>
      <c r="P1126">
        <v>25</v>
      </c>
    </row>
    <row r="1127" spans="1:16" x14ac:dyDescent="0.25">
      <c r="A1127">
        <v>22300807</v>
      </c>
      <c r="B1127">
        <v>2023</v>
      </c>
      <c r="C1127" t="s">
        <v>32</v>
      </c>
      <c r="D1127" t="s">
        <v>19</v>
      </c>
      <c r="E1127">
        <v>19</v>
      </c>
      <c r="F1127">
        <v>25</v>
      </c>
      <c r="G1127">
        <v>1</v>
      </c>
      <c r="H1127" s="1">
        <v>2.5810185185185185E-3</v>
      </c>
      <c r="I1127" t="s">
        <v>23</v>
      </c>
      <c r="J1127" s="2" t="str">
        <f>HYPERLINK("https://www.nba.com/stats/events?CFID=&amp;CFPARAMS=&amp;GameEventID=96&amp;GameID=0022300807&amp;Season=2023-24&amp;flag=1&amp;title=Leonard%2010'%20turnaround%20fadeaway%20Jump%20Shot%20(8%20PTS)", "10' turnaround fadeaway Jump Shot (8 PTS)")</f>
        <v>10' turnaround fadeaway Jump Shot (8 PTS)</v>
      </c>
      <c r="K1127" s="2" t="str">
        <f>HYPERLINK("https://www.nba.com/game/...-vs-...-0022300807/play-by-play?watchFullGame=true", "LAC vs MEM - Q1 03:43.00")</f>
        <v>LAC vs MEM - Q1 03:43.00</v>
      </c>
      <c r="L1127">
        <v>10.119999999999999</v>
      </c>
      <c r="M1127">
        <v>16.11</v>
      </c>
      <c r="N1127">
        <v>54.17</v>
      </c>
      <c r="O1127">
        <v>-21</v>
      </c>
      <c r="P1127">
        <v>99</v>
      </c>
    </row>
    <row r="1128" spans="1:16" x14ac:dyDescent="0.25">
      <c r="A1128">
        <v>22300618</v>
      </c>
      <c r="B1128">
        <v>2023</v>
      </c>
      <c r="C1128" t="s">
        <v>32</v>
      </c>
      <c r="D1128" t="s">
        <v>19</v>
      </c>
      <c r="E1128">
        <v>18</v>
      </c>
      <c r="F1128">
        <v>14</v>
      </c>
      <c r="G1128">
        <v>1</v>
      </c>
      <c r="H1128" s="1">
        <v>4.2592592592592595E-3</v>
      </c>
      <c r="I1128" t="s">
        <v>23</v>
      </c>
      <c r="J1128" s="2" t="str">
        <f>HYPERLINK("https://www.nba.com/stats/events?CFID=&amp;CFPARAMS=&amp;GameEventID=64&amp;GameID=0022300618&amp;Season=2023-24&amp;flag=1&amp;title=Leonard%2014'%20Jump%20Shot%20(4%20PTS)%20(R.%20Westbrook%201%20AST)", "14' Jump Shot (4 PTS) (R. Westbrook 1 AST)")</f>
        <v>14' Jump Shot (4 PTS) (R. Westbrook 1 AST)</v>
      </c>
      <c r="K1128" s="2" t="str">
        <f>HYPERLINK("https://www.nba.com/game/...-vs-...-0022300618/play-by-play?watchFullGame=true", "LAC vs LAL - Q1 06:08.00")</f>
        <v>LAC vs LAL - Q1 06:08.00</v>
      </c>
      <c r="L1128">
        <v>14.49</v>
      </c>
      <c r="M1128">
        <v>79.16</v>
      </c>
      <c r="N1128">
        <v>45.83</v>
      </c>
      <c r="O1128">
        <v>-21</v>
      </c>
      <c r="P1128">
        <v>143</v>
      </c>
    </row>
    <row r="1129" spans="1:16" x14ac:dyDescent="0.25">
      <c r="A1129">
        <v>22300982</v>
      </c>
      <c r="B1129">
        <v>2023</v>
      </c>
      <c r="C1129" t="s">
        <v>16</v>
      </c>
      <c r="D1129" t="s">
        <v>19</v>
      </c>
      <c r="E1129">
        <v>28</v>
      </c>
      <c r="F1129">
        <v>29</v>
      </c>
      <c r="G1129">
        <v>1</v>
      </c>
      <c r="H1129" s="1">
        <v>4.6296296296296298E-4</v>
      </c>
      <c r="I1129" t="s">
        <v>23</v>
      </c>
      <c r="J1129" s="2" t="str">
        <f>HYPERLINK("https://www.nba.com/stats/events?CFID=&amp;CFPARAMS=&amp;GameEventID=144&amp;GameID=0022300982&amp;Season=2023-24&amp;flag=1&amp;title=Leonard%2025'%203PT%20%20(16%20PTS)%20(B.%20Hyland%201%20AST)", "25' 3PT  (16 PTS) (B. Hyland 1 AST)")</f>
        <v>25' 3PT  (16 PTS) (B. Hyland 1 AST)</v>
      </c>
      <c r="K1129" s="2" t="str">
        <f>HYPERLINK("https://www.nba.com/game/...-vs-...-0022300982/play-by-play?watchFullGame=true", "LAC vs ATL - Q1 00:40.00")</f>
        <v>LAC vs ATL - Q1 00:40.00</v>
      </c>
      <c r="L1129">
        <v>25.66</v>
      </c>
      <c r="M1129">
        <v>67.2</v>
      </c>
      <c r="N1129">
        <v>45.83</v>
      </c>
      <c r="O1129">
        <v>-21</v>
      </c>
      <c r="P1129">
        <v>256</v>
      </c>
    </row>
    <row r="1130" spans="1:16" x14ac:dyDescent="0.25">
      <c r="A1130">
        <v>21600053</v>
      </c>
      <c r="B1130">
        <v>2016</v>
      </c>
      <c r="C1130" t="s">
        <v>32</v>
      </c>
      <c r="D1130" t="s">
        <v>49</v>
      </c>
      <c r="E1130">
        <v>75</v>
      </c>
      <c r="F1130">
        <v>81</v>
      </c>
      <c r="G1130">
        <v>4</v>
      </c>
      <c r="H1130" s="1">
        <v>6.3541666666666668E-3</v>
      </c>
      <c r="I1130" t="s">
        <v>18</v>
      </c>
      <c r="J1130" s="2" t="str">
        <f>HYPERLINK("https://www.nba.com/stats/events?CFID=&amp;CFPARAMS=&amp;GameEventID=381&amp;GameID=0021600053&amp;Season=2016-17&amp;flag=1&amp;title=Leonard%202'%20Driving%20Layup%20(22%20PTS)", "Leonard 2' Driving Layup (22 PTS)")</f>
        <v>Leonard 2' Driving Layup (22 PTS)</v>
      </c>
      <c r="K1130" s="2" t="str">
        <f>HYPERLINK("https://www.nba.com/game/...-vs-...-0021600053/play-by-play?watchFullGame=true", "SAS vs UTA - Q4 09:09.00")</f>
        <v>SAS vs UTA - Q4 09:09.00</v>
      </c>
      <c r="L1130">
        <v>2</v>
      </c>
      <c r="M1130">
        <v>-20</v>
      </c>
      <c r="N1130">
        <v>-1</v>
      </c>
      <c r="O1130">
        <v>-20</v>
      </c>
      <c r="P1130">
        <v>-1</v>
      </c>
    </row>
    <row r="1131" spans="1:16" x14ac:dyDescent="0.25">
      <c r="A1131">
        <v>22201162</v>
      </c>
      <c r="B1131">
        <v>2022</v>
      </c>
      <c r="C1131" t="s">
        <v>32</v>
      </c>
      <c r="D1131" t="s">
        <v>47</v>
      </c>
      <c r="E1131">
        <v>36</v>
      </c>
      <c r="F1131">
        <v>44</v>
      </c>
      <c r="G1131">
        <v>2</v>
      </c>
      <c r="H1131" s="1">
        <v>4.0509259259259257E-3</v>
      </c>
      <c r="I1131" t="s">
        <v>23</v>
      </c>
      <c r="J1131" s="2" t="str">
        <f>HYPERLINK("https://www.nba.com/stats/events?CFID=&amp;CFPARAMS=&amp;GameEventID=263&amp;GameID=0022201162&amp;Season=2022-23&amp;flag=1&amp;title=Leonard%20Layup%20(8%20PTS)%20(R.%20Westbrook%205%20AST)", "Layup (8 PTS) (R. Westbrook 5 AST)")</f>
        <v>Layup (8 PTS) (R. Westbrook 5 AST)</v>
      </c>
      <c r="K1131" s="2" t="str">
        <f>HYPERLINK("https://www.nba.com/game/...-vs-...-0022201162/play-by-play?watchFullGame=true", "LAC vs NOP - Q2 05:50.00")</f>
        <v>LAC vs NOP - Q2 05:50.00</v>
      </c>
      <c r="L1131">
        <v>1.96</v>
      </c>
      <c r="M1131">
        <v>94.56</v>
      </c>
      <c r="N1131">
        <v>46.08</v>
      </c>
      <c r="O1131">
        <v>-20</v>
      </c>
      <c r="P1131">
        <v>-1</v>
      </c>
    </row>
    <row r="1132" spans="1:16" x14ac:dyDescent="0.25">
      <c r="A1132">
        <v>22200438</v>
      </c>
      <c r="B1132">
        <v>2022</v>
      </c>
      <c r="C1132" t="s">
        <v>32</v>
      </c>
      <c r="D1132" t="s">
        <v>47</v>
      </c>
      <c r="E1132">
        <v>94</v>
      </c>
      <c r="F1132">
        <v>89</v>
      </c>
      <c r="G1132">
        <v>4</v>
      </c>
      <c r="H1132" s="1">
        <v>1.9791666666666668E-3</v>
      </c>
      <c r="I1132" t="s">
        <v>23</v>
      </c>
      <c r="J1132" s="2" t="str">
        <f>HYPERLINK("https://www.nba.com/stats/events?CFID=&amp;CFPARAMS=&amp;GameEventID=586&amp;GameID=0022200438&amp;Season=2022-23&amp;flag=1&amp;title=Leonard%20driving%20reverse%20Layup%20(27%20PTS)%20(T.%20Mann%206%20AST)", "Driving reverse Layup (27 PTS) (T. Mann 6 AST)")</f>
        <v>Driving reverse Layup (27 PTS) (T. Mann 6 AST)</v>
      </c>
      <c r="K1132" s="2" t="str">
        <f>HYPERLINK("https://www.nba.com/game/...-vs-...-0022200438/play-by-play?watchFullGame=true", "LAC vs WAS - Q4 02:51.00")</f>
        <v>LAC vs WAS - Q4 02:51.00</v>
      </c>
      <c r="L1132">
        <v>2.2000000000000002</v>
      </c>
      <c r="M1132">
        <v>93.35</v>
      </c>
      <c r="N1132">
        <v>46.08</v>
      </c>
      <c r="O1132">
        <v>-20</v>
      </c>
      <c r="P1132">
        <v>10</v>
      </c>
    </row>
    <row r="1133" spans="1:16" x14ac:dyDescent="0.25">
      <c r="A1133">
        <v>41800403</v>
      </c>
      <c r="B1133" t="s">
        <v>20</v>
      </c>
      <c r="C1133" t="s">
        <v>32</v>
      </c>
      <c r="D1133" t="s">
        <v>49</v>
      </c>
      <c r="E1133">
        <v>94</v>
      </c>
      <c r="F1133">
        <v>111</v>
      </c>
      <c r="G1133">
        <v>4</v>
      </c>
      <c r="H1133" s="1">
        <v>3.9583333333333337E-3</v>
      </c>
      <c r="I1133" t="s">
        <v>21</v>
      </c>
      <c r="J1133" s="2" t="str">
        <f>HYPERLINK("https://www.nba.com/stats/events?CFID=&amp;CFPARAMS=&amp;GameEventID=594&amp;GameID=0041800403&amp;Season=2018-19&amp;flag=1&amp;title=Leonard%203'%20Driving%20Layup%20(28%20PTS)", "Leonard 3' Driving Layup (28 PTS)")</f>
        <v>Leonard 3' Driving Layup (28 PTS)</v>
      </c>
      <c r="K1133" s="2" t="str">
        <f>HYPERLINK("https://www.nba.com/game/...-vs-...-0041800403/play-by-play?watchFullGame=true", "TOR vs GSW - Q4 05:42.00")</f>
        <v>TOR vs GSW - Q4 05:42.00</v>
      </c>
      <c r="L1133">
        <v>3</v>
      </c>
      <c r="M1133">
        <v>-20</v>
      </c>
      <c r="N1133">
        <v>16</v>
      </c>
      <c r="O1133">
        <v>-20</v>
      </c>
      <c r="P1133">
        <v>16</v>
      </c>
    </row>
    <row r="1134" spans="1:16" x14ac:dyDescent="0.25">
      <c r="A1134">
        <v>22301028</v>
      </c>
      <c r="B1134">
        <v>2023</v>
      </c>
      <c r="C1134" t="s">
        <v>32</v>
      </c>
      <c r="D1134" t="s">
        <v>48</v>
      </c>
      <c r="E1134">
        <v>52</v>
      </c>
      <c r="F1134">
        <v>63</v>
      </c>
      <c r="G1134">
        <v>2</v>
      </c>
      <c r="H1134" s="1">
        <v>1.1458333333333333E-3</v>
      </c>
      <c r="I1134" t="s">
        <v>23</v>
      </c>
      <c r="J1134" s="2" t="str">
        <f>HYPERLINK("https://www.nba.com/stats/events?CFID=&amp;CFPARAMS=&amp;GameEventID=267&amp;GameID=0022301028&amp;Season=2023-24&amp;flag=1&amp;title=Leonard%20running%20DUNK%20(8%20PTS)%20(J.%20Harden%208%20AST)", "Running DUNK (8 PTS) (J. Harden 8 AST)")</f>
        <v>Running DUNK (8 PTS) (J. Harden 8 AST)</v>
      </c>
      <c r="K1134" s="2" t="str">
        <f>HYPERLINK("https://www.nba.com/game/...-vs-...-0022301028/play-by-play?watchFullGame=true", "LAC vs PHI - Q2 01:39.00")</f>
        <v>LAC vs PHI - Q2 01:39.00</v>
      </c>
      <c r="L1134">
        <v>2.54</v>
      </c>
      <c r="M1134">
        <v>92.69</v>
      </c>
      <c r="N1134">
        <v>46.08</v>
      </c>
      <c r="O1134">
        <v>-20</v>
      </c>
      <c r="P1134">
        <v>16</v>
      </c>
    </row>
    <row r="1135" spans="1:16" x14ac:dyDescent="0.25">
      <c r="A1135">
        <v>22000775</v>
      </c>
      <c r="B1135">
        <v>2020</v>
      </c>
      <c r="C1135" t="s">
        <v>32</v>
      </c>
      <c r="D1135" t="s">
        <v>47</v>
      </c>
      <c r="E1135">
        <v>97</v>
      </c>
      <c r="F1135">
        <v>87</v>
      </c>
      <c r="G1135">
        <v>3</v>
      </c>
      <c r="H1135" s="1">
        <v>8.2175925925925927E-4</v>
      </c>
      <c r="I1135" t="s">
        <v>23</v>
      </c>
      <c r="J1135" s="2" t="str">
        <f>HYPERLINK("https://www.nba.com/stats/events?CFID=&amp;CFPARAMS=&amp;GameEventID=461&amp;GameID=0022000775&amp;Season=2020-21&amp;flag=1&amp;title=Leonard%20driving%20Layup%20(20%20PTS)", "Driving Layup (20 PTS)")</f>
        <v>Driving Layup (20 PTS)</v>
      </c>
      <c r="K1135" s="2" t="str">
        <f>HYPERLINK("https://www.nba.com/game/...-vs-...-0022000775/play-by-play?watchFullGame=true", "LAC vs POR - Q3 01:11.00")</f>
        <v>LAC vs POR - Q3 01:11.00</v>
      </c>
      <c r="L1135">
        <v>2.74</v>
      </c>
      <c r="M1135">
        <v>7.57</v>
      </c>
      <c r="N1135">
        <v>53.99</v>
      </c>
      <c r="O1135">
        <v>-20</v>
      </c>
      <c r="P1135">
        <v>19</v>
      </c>
    </row>
    <row r="1136" spans="1:16" x14ac:dyDescent="0.25">
      <c r="A1136">
        <v>22400783</v>
      </c>
      <c r="B1136">
        <v>2024</v>
      </c>
      <c r="C1136" t="s">
        <v>32</v>
      </c>
      <c r="D1136" t="s">
        <v>48</v>
      </c>
      <c r="E1136">
        <v>78</v>
      </c>
      <c r="F1136">
        <v>68</v>
      </c>
      <c r="G1136">
        <v>3</v>
      </c>
      <c r="H1136" s="1">
        <v>6.5277777777777782E-3</v>
      </c>
      <c r="I1136" t="s">
        <v>23</v>
      </c>
      <c r="J1136" s="2" t="str">
        <f>HYPERLINK("https://www.nba.com/stats/events?CFID=&amp;CFPARAMS=&amp;GameEventID=385&amp;GameID=0022400783&amp;Season=2024-25&amp;flag=1&amp;title=Leonard%20running%20DUNK%20(18%20PTS)%20(Dunn%205%20AST)", "Running DUNK (18 PTS) (K. Dunn 5 AST)")</f>
        <v>Running DUNK (18 PTS) (K. Dunn 5 AST)</v>
      </c>
      <c r="K1136" s="2" t="str">
        <f>HYPERLINK("https://www.nba.com/game/...-vs-...-0022400783/play-by-play?watchFullGame=true", "LAC vs MEM - Q3 09:24.00")</f>
        <v>LAC vs MEM - Q3 09:24.00</v>
      </c>
      <c r="L1136">
        <v>4.28</v>
      </c>
      <c r="M1136">
        <v>90.41</v>
      </c>
      <c r="N1136">
        <v>45.96</v>
      </c>
      <c r="O1136">
        <v>-20</v>
      </c>
      <c r="P1136">
        <v>38</v>
      </c>
    </row>
    <row r="1137" spans="1:16" x14ac:dyDescent="0.25">
      <c r="A1137">
        <v>22201156</v>
      </c>
      <c r="B1137">
        <v>2022</v>
      </c>
      <c r="C1137" t="s">
        <v>32</v>
      </c>
      <c r="D1137" t="s">
        <v>19</v>
      </c>
      <c r="E1137">
        <v>52</v>
      </c>
      <c r="F1137">
        <v>47</v>
      </c>
      <c r="G1137">
        <v>2</v>
      </c>
      <c r="H1137" s="1">
        <v>2.3032407407407407E-3</v>
      </c>
      <c r="I1137" t="s">
        <v>23</v>
      </c>
      <c r="J1137" s="2" t="str">
        <f>HYPERLINK("https://www.nba.com/stats/events?CFID=&amp;CFPARAMS=&amp;GameEventID=280&amp;GameID=0022201156&amp;Season=2022-23&amp;flag=1&amp;title=Leonard%207'%20driving%20floating%20Jump%20Shot%20(12%20PTS)", "7' driving floating Jump Shot (12 PTS)")</f>
        <v>7' driving floating Jump Shot (12 PTS)</v>
      </c>
      <c r="K1137" s="2" t="str">
        <f>HYPERLINK("https://www.nba.com/game/...-vs-...-0022201156/play-by-play?watchFullGame=true", "LAC vs MEM - Q2 03:19.00")</f>
        <v>LAC vs MEM - Q2 03:19.00</v>
      </c>
      <c r="L1137">
        <v>7.68</v>
      </c>
      <c r="M1137">
        <v>13.49</v>
      </c>
      <c r="N1137">
        <v>53.92</v>
      </c>
      <c r="O1137">
        <v>-20</v>
      </c>
      <c r="P1137">
        <v>74</v>
      </c>
    </row>
    <row r="1138" spans="1:16" x14ac:dyDescent="0.25">
      <c r="A1138">
        <v>22200438</v>
      </c>
      <c r="B1138">
        <v>2022</v>
      </c>
      <c r="C1138" t="s">
        <v>32</v>
      </c>
      <c r="D1138" t="s">
        <v>19</v>
      </c>
      <c r="E1138">
        <v>52</v>
      </c>
      <c r="F1138">
        <v>57</v>
      </c>
      <c r="G1138">
        <v>3</v>
      </c>
      <c r="H1138" s="1">
        <v>8.1597222222222227E-3</v>
      </c>
      <c r="I1138" t="s">
        <v>23</v>
      </c>
      <c r="J1138" s="2" t="str">
        <f>HYPERLINK("https://www.nba.com/stats/events?CFID=&amp;CFPARAMS=&amp;GameEventID=311&amp;GameID=0022200438&amp;Season=2022-23&amp;flag=1&amp;title=Leonard%209'%20pullup%20Jump%20Shot%20(17%20PTS)%20(J.%20Wall%203%20AST)", "9' pullup Jump Shot (17 PTS) (J. Wall 3 AST)")</f>
        <v>9' pullup Jump Shot (17 PTS) (J. Wall 3 AST)</v>
      </c>
      <c r="K1138" s="2" t="str">
        <f>HYPERLINK("https://www.nba.com/game/...-vs-...-0022200438/play-by-play?watchFullGame=true", "LAC vs WAS - Q3 11:45.00")</f>
        <v>LAC vs WAS - Q3 11:45.00</v>
      </c>
      <c r="L1138">
        <v>9.73</v>
      </c>
      <c r="M1138">
        <v>84.28</v>
      </c>
      <c r="N1138">
        <v>46.08</v>
      </c>
      <c r="O1138">
        <v>-20</v>
      </c>
      <c r="P1138">
        <v>95</v>
      </c>
    </row>
    <row r="1139" spans="1:16" x14ac:dyDescent="0.25">
      <c r="A1139">
        <v>21600727</v>
      </c>
      <c r="B1139">
        <v>2016</v>
      </c>
      <c r="C1139" t="s">
        <v>32</v>
      </c>
      <c r="D1139" t="s">
        <v>34</v>
      </c>
      <c r="E1139">
        <v>93</v>
      </c>
      <c r="F1139">
        <v>80</v>
      </c>
      <c r="G1139">
        <v>4</v>
      </c>
      <c r="H1139" s="1">
        <v>4.8958333333333336E-3</v>
      </c>
      <c r="I1139" t="s">
        <v>18</v>
      </c>
      <c r="J1139" s="2" t="str">
        <f>HYPERLINK("https://www.nba.com/stats/events?CFID=&amp;CFPARAMS=&amp;GameEventID=560&amp;GameID=0021600727&amp;Season=2016-17&amp;flag=1&amp;title=Leonard%2011'%20Turnaround%20Fadeaway%20(31%20PTS)", "Leonard 11' Turnaround Fadeaway (31 PTS)")</f>
        <v>Leonard 11' Turnaround Fadeaway (31 PTS)</v>
      </c>
      <c r="K1139" s="2" t="str">
        <f>HYPERLINK("https://www.nba.com/game/...-vs-...-0021600727/play-by-play?watchFullGame=true", "SAS vs OKC - Q4 07:03.00")</f>
        <v>SAS vs OKC - Q4 07:03.00</v>
      </c>
      <c r="L1139">
        <v>11</v>
      </c>
      <c r="M1139">
        <v>-20</v>
      </c>
      <c r="N1139">
        <v>106</v>
      </c>
      <c r="O1139">
        <v>-20</v>
      </c>
      <c r="P1139">
        <v>106</v>
      </c>
    </row>
    <row r="1140" spans="1:16" x14ac:dyDescent="0.25">
      <c r="A1140">
        <v>22300052</v>
      </c>
      <c r="B1140">
        <v>2023</v>
      </c>
      <c r="C1140" t="s">
        <v>32</v>
      </c>
      <c r="D1140" t="s">
        <v>19</v>
      </c>
      <c r="E1140">
        <v>47</v>
      </c>
      <c r="F1140">
        <v>52</v>
      </c>
      <c r="G1140">
        <v>2</v>
      </c>
      <c r="H1140" s="1">
        <v>2.1412037037037038E-3</v>
      </c>
      <c r="I1140" t="s">
        <v>23</v>
      </c>
      <c r="J1140" s="2" t="str">
        <f>HYPERLINK("https://www.nba.com/stats/events?CFID=&amp;CFPARAMS=&amp;GameEventID=286&amp;GameID=0022300052&amp;Season=2023-24&amp;flag=1&amp;title=Leonard%2014'%20fadeaway%20Jump%20Shot%20(7%20PTS)", "14' fadeaway Jump Shot (7 PTS)")</f>
        <v>14' fadeaway Jump Shot (7 PTS)</v>
      </c>
      <c r="K1140" s="2" t="str">
        <f>HYPERLINK("https://www.nba.com/game/...-vs-...-0022300052/play-by-play?watchFullGame=true", "LAC vs NOP - Q2 03:05.00")</f>
        <v>LAC vs NOP - Q2 03:05.00</v>
      </c>
      <c r="L1140">
        <v>14.57</v>
      </c>
      <c r="M1140">
        <v>20.94</v>
      </c>
      <c r="N1140">
        <v>53.92</v>
      </c>
      <c r="O1140">
        <v>-20</v>
      </c>
      <c r="P1140">
        <v>144</v>
      </c>
    </row>
    <row r="1141" spans="1:16" x14ac:dyDescent="0.25">
      <c r="A1141">
        <v>21500905</v>
      </c>
      <c r="B1141">
        <v>2015</v>
      </c>
      <c r="C1141" t="s">
        <v>32</v>
      </c>
      <c r="D1141" t="s">
        <v>29</v>
      </c>
      <c r="E1141">
        <v>73</v>
      </c>
      <c r="F1141">
        <v>61</v>
      </c>
      <c r="G1141">
        <v>3</v>
      </c>
      <c r="H1141" s="1">
        <v>2.0949074074074073E-3</v>
      </c>
      <c r="I1141" t="s">
        <v>18</v>
      </c>
      <c r="J1141" s="2" t="str">
        <f>HYPERLINK("https://www.nba.com/stats/events?CFID=&amp;CFPARAMS=&amp;GameEventID=288&amp;GameID=0021500905&amp;Season=2015-16&amp;flag=1&amp;title=Leonard%2015'%20Pullup%20Jump%20Shot%20(19%20PTS)%20(Mills%206%20AST)", "Leonard 15' Pullup Jump Shot (19 PTS) (Mills 6 AST)")</f>
        <v>Leonard 15' Pullup Jump Shot (19 PTS) (Mills 6 AST)</v>
      </c>
      <c r="K1141" s="2" t="str">
        <f>HYPERLINK("https://www.nba.com/game/...-vs-...-0021500905/play-by-play?watchFullGame=true", "SAS vs DET - Q3 03:01.00")</f>
        <v>SAS vs DET - Q3 03:01.00</v>
      </c>
      <c r="L1141">
        <v>15</v>
      </c>
      <c r="M1141">
        <v>-20</v>
      </c>
      <c r="N1141">
        <v>149</v>
      </c>
      <c r="O1141">
        <v>-20</v>
      </c>
      <c r="P1141">
        <v>149</v>
      </c>
    </row>
    <row r="1142" spans="1:16" x14ac:dyDescent="0.25">
      <c r="A1142">
        <v>41800302</v>
      </c>
      <c r="B1142" t="s">
        <v>20</v>
      </c>
      <c r="C1142" t="s">
        <v>32</v>
      </c>
      <c r="D1142" t="s">
        <v>35</v>
      </c>
      <c r="E1142">
        <v>78</v>
      </c>
      <c r="F1142">
        <v>62</v>
      </c>
      <c r="G1142">
        <v>3</v>
      </c>
      <c r="H1142" s="1">
        <v>3.2638888888888891E-3</v>
      </c>
      <c r="I1142" t="s">
        <v>21</v>
      </c>
      <c r="J1142" s="2" t="str">
        <f>HYPERLINK("https://www.nba.com/stats/events?CFID=&amp;CFPARAMS=&amp;GameEventID=452&amp;GameID=0041800302&amp;Season=2018-19&amp;flag=1&amp;title=Leonard%2017'%20Driving%20Floating%20Jump%20Shot%20(23%20PTS)%20(Lowry%202%20AST)", "Leonard 17' Driving Floating Jump Shot (23 PTS) (Lowry 2 AST)")</f>
        <v>Leonard 17' Driving Floating Jump Shot (23 PTS) (Lowry 2 AST)</v>
      </c>
      <c r="K1142" s="2" t="str">
        <f>HYPERLINK("https://www.nba.com/game/...-vs-...-0041800302/play-by-play?watchFullGame=true", "TOR vs MIL - Q3 04:42.00")</f>
        <v>TOR vs MIL - Q3 04:42.00</v>
      </c>
      <c r="L1142">
        <v>17</v>
      </c>
      <c r="M1142">
        <v>-20</v>
      </c>
      <c r="N1142">
        <v>164</v>
      </c>
      <c r="O1142">
        <v>-20</v>
      </c>
      <c r="P1142">
        <v>164</v>
      </c>
    </row>
    <row r="1143" spans="1:16" x14ac:dyDescent="0.25">
      <c r="A1143">
        <v>21600874</v>
      </c>
      <c r="B1143">
        <v>2016</v>
      </c>
      <c r="C1143" t="s">
        <v>32</v>
      </c>
      <c r="D1143" t="s">
        <v>29</v>
      </c>
      <c r="E1143">
        <v>63</v>
      </c>
      <c r="F1143">
        <v>86</v>
      </c>
      <c r="G1143">
        <v>3</v>
      </c>
      <c r="H1143" s="1">
        <v>2.1412037037037038E-3</v>
      </c>
      <c r="I1143" t="s">
        <v>18</v>
      </c>
      <c r="J1143" s="2" t="str">
        <f>HYPERLINK("https://www.nba.com/stats/events?CFID=&amp;CFPARAMS=&amp;GameEventID=331&amp;GameID=0021600874&amp;Season=2016-17&amp;flag=1&amp;title=Leonard%2017'%20Pullup%20Jump%20Shot%20(23%20PTS)%20(Mills%205%20AST)", "Leonard 17' Pullup Jump Shot (23 PTS) (Mills 5 AST)")</f>
        <v>Leonard 17' Pullup Jump Shot (23 PTS) (Mills 5 AST)</v>
      </c>
      <c r="K1143" s="2" t="str">
        <f>HYPERLINK("https://www.nba.com/game/...-vs-...-0021600874/play-by-play?watchFullGame=true", "SAS vs LAL - Q3 03:05.00")</f>
        <v>SAS vs LAL - Q3 03:05.00</v>
      </c>
      <c r="L1143">
        <v>17</v>
      </c>
      <c r="M1143">
        <v>-20</v>
      </c>
      <c r="N1143">
        <v>168</v>
      </c>
      <c r="O1143">
        <v>-20</v>
      </c>
      <c r="P1143">
        <v>168</v>
      </c>
    </row>
    <row r="1144" spans="1:16" x14ac:dyDescent="0.25">
      <c r="A1144">
        <v>21600127</v>
      </c>
      <c r="B1144">
        <v>2016</v>
      </c>
      <c r="C1144" t="s">
        <v>32</v>
      </c>
      <c r="D1144" t="s">
        <v>19</v>
      </c>
      <c r="E1144">
        <v>42</v>
      </c>
      <c r="F1144">
        <v>45</v>
      </c>
      <c r="G1144">
        <v>2</v>
      </c>
      <c r="H1144" s="1">
        <v>2.5925925925925925E-3</v>
      </c>
      <c r="I1144" t="s">
        <v>18</v>
      </c>
      <c r="J1144" s="2" t="str">
        <f>HYPERLINK("https://www.nba.com/stats/events?CFID=&amp;CFPARAMS=&amp;GameEventID=184&amp;GameID=0021600127&amp;Season=2016-17&amp;flag=1&amp;title=Leonard%2018'%20Jump%20Shot%20(7%20PTS)%20(Anderson%202%20AST)", "Leonard 18' Jump Shot (7 PTS) (Anderson 2 AST)")</f>
        <v>Leonard 18' Jump Shot (7 PTS) (Anderson 2 AST)</v>
      </c>
      <c r="K1144" s="2" t="str">
        <f>HYPERLINK("https://www.nba.com/game/...-vs-...-0021600127/play-by-play?watchFullGame=true", "SAS vs DET - Q2 03:44.00")</f>
        <v>SAS vs DET - Q2 03:44.00</v>
      </c>
      <c r="L1144">
        <v>18</v>
      </c>
      <c r="M1144">
        <v>-20</v>
      </c>
      <c r="N1144">
        <v>174</v>
      </c>
      <c r="O1144">
        <v>-20</v>
      </c>
      <c r="P1144">
        <v>174</v>
      </c>
    </row>
    <row r="1145" spans="1:16" x14ac:dyDescent="0.25">
      <c r="A1145">
        <v>21600575</v>
      </c>
      <c r="B1145">
        <v>2016</v>
      </c>
      <c r="C1145" t="s">
        <v>32</v>
      </c>
      <c r="D1145" t="s">
        <v>29</v>
      </c>
      <c r="E1145">
        <v>73</v>
      </c>
      <c r="F1145">
        <v>68</v>
      </c>
      <c r="G1145">
        <v>3</v>
      </c>
      <c r="H1145" s="1">
        <v>3.2523148148148147E-3</v>
      </c>
      <c r="I1145" t="s">
        <v>18</v>
      </c>
      <c r="J1145" s="2" t="str">
        <f>HYPERLINK("https://www.nba.com/stats/events?CFID=&amp;CFPARAMS=&amp;GameEventID=323&amp;GameID=0021600575&amp;Season=2016-17&amp;flag=1&amp;title=Leonard%2019'%20Pullup%20Jump%20Shot%20(23%20PTS)", "Leonard 19' Pullup Jump Shot (23 PTS)")</f>
        <v>Leonard 19' Pullup Jump Shot (23 PTS)</v>
      </c>
      <c r="K1145" s="2" t="str">
        <f>HYPERLINK("https://www.nba.com/game/...-vs-...-0021600575/play-by-play?watchFullGame=true", "SAS vs MIL - Q3 04:41.00")</f>
        <v>SAS vs MIL - Q3 04:41.00</v>
      </c>
      <c r="L1145">
        <v>19</v>
      </c>
      <c r="M1145">
        <v>-20</v>
      </c>
      <c r="N1145">
        <v>185</v>
      </c>
      <c r="O1145">
        <v>-20</v>
      </c>
      <c r="P1145">
        <v>185</v>
      </c>
    </row>
    <row r="1146" spans="1:16" x14ac:dyDescent="0.25">
      <c r="A1146">
        <v>21600902</v>
      </c>
      <c r="B1146">
        <v>2016</v>
      </c>
      <c r="C1146" t="s">
        <v>32</v>
      </c>
      <c r="D1146" t="s">
        <v>57</v>
      </c>
      <c r="E1146">
        <v>49</v>
      </c>
      <c r="F1146">
        <v>56</v>
      </c>
      <c r="G1146">
        <v>3</v>
      </c>
      <c r="H1146" s="1">
        <v>6.8634259259259256E-3</v>
      </c>
      <c r="I1146" t="s">
        <v>18</v>
      </c>
      <c r="J1146" s="2" t="str">
        <f>HYPERLINK("https://www.nba.com/stats/events?CFID=&amp;CFPARAMS=&amp;GameEventID=297&amp;GameID=0021600902&amp;Season=2016-17&amp;flag=1&amp;title=Leonard%202'%20Layup%20(13%20PTS)", "Leonard 2' Layup (13 PTS)")</f>
        <v>Leonard 2' Layup (13 PTS)</v>
      </c>
      <c r="K1146" s="2" t="str">
        <f>HYPERLINK("https://www.nba.com/game/...-vs-...-0021600902/play-by-play?watchFullGame=true", "SAS vs IND - Q3 09:53.00")</f>
        <v>SAS vs IND - Q3 09:53.00</v>
      </c>
      <c r="L1146">
        <v>2</v>
      </c>
      <c r="M1146">
        <v>-19</v>
      </c>
      <c r="N1146">
        <v>-5</v>
      </c>
      <c r="O1146">
        <v>-19</v>
      </c>
      <c r="P1146">
        <v>-5</v>
      </c>
    </row>
    <row r="1147" spans="1:16" x14ac:dyDescent="0.25">
      <c r="A1147">
        <v>21500546</v>
      </c>
      <c r="B1147">
        <v>2015</v>
      </c>
      <c r="C1147" t="s">
        <v>32</v>
      </c>
      <c r="D1147" t="s">
        <v>49</v>
      </c>
      <c r="E1147">
        <v>15</v>
      </c>
      <c r="F1147">
        <v>13</v>
      </c>
      <c r="G1147">
        <v>1</v>
      </c>
      <c r="H1147" s="1">
        <v>3.7962962962962963E-3</v>
      </c>
      <c r="I1147" t="s">
        <v>18</v>
      </c>
      <c r="J1147" s="2" t="str">
        <f>HYPERLINK("https://www.nba.com/stats/events?CFID=&amp;CFPARAMS=&amp;GameEventID=74&amp;GameID=0021500546&amp;Season=2015-16&amp;flag=1&amp;title=Leonard%202'%20Driving%20Layup%20(6%20PTS)", "Leonard 2' Driving Layup (6 PTS)")</f>
        <v>Leonard 2' Driving Layup (6 PTS)</v>
      </c>
      <c r="K1147" s="2" t="str">
        <f>HYPERLINK("https://www.nba.com/game/...-vs-...-0021500546/play-by-play?watchFullGame=true", "SAS vs NYK - Q1 05:28.00")</f>
        <v>SAS vs NYK - Q1 05:28.00</v>
      </c>
      <c r="L1147">
        <v>2</v>
      </c>
      <c r="M1147">
        <v>-19</v>
      </c>
      <c r="N1147">
        <v>8</v>
      </c>
      <c r="O1147">
        <v>-19</v>
      </c>
      <c r="P1147">
        <v>8</v>
      </c>
    </row>
    <row r="1148" spans="1:16" x14ac:dyDescent="0.25">
      <c r="A1148">
        <v>41800212</v>
      </c>
      <c r="B1148" t="s">
        <v>20</v>
      </c>
      <c r="C1148" t="s">
        <v>32</v>
      </c>
      <c r="D1148" t="s">
        <v>58</v>
      </c>
      <c r="E1148">
        <v>69</v>
      </c>
      <c r="F1148">
        <v>78</v>
      </c>
      <c r="G1148">
        <v>4</v>
      </c>
      <c r="H1148" s="1">
        <v>4.8495370370370368E-3</v>
      </c>
      <c r="I1148" t="s">
        <v>21</v>
      </c>
      <c r="J1148" s="2" t="str">
        <f>HYPERLINK("https://www.nba.com/stats/events?CFID=&amp;CFPARAMS=&amp;GameEventID=559&amp;GameID=0041800212&amp;Season=2018-19&amp;flag=1&amp;title=Leonard%202'%20Driving%20Bank%20Hook%20Shot%20(28%20PTS)%20(Lowry%205%20AST)", "Leonard 2' Driving Bank Hook Shot (28 PTS) (Lowry 5 AST)")</f>
        <v>Leonard 2' Driving Bank Hook Shot (28 PTS) (Lowry 5 AST)</v>
      </c>
      <c r="K1148" s="2" t="str">
        <f>HYPERLINK("https://www.nba.com/game/...-vs-...-0041800212/play-by-play?watchFullGame=true", "TOR vs PHI - Q4 06:59.00")</f>
        <v>TOR vs PHI - Q4 06:59.00</v>
      </c>
      <c r="L1148">
        <v>2</v>
      </c>
      <c r="M1148">
        <v>-19</v>
      </c>
      <c r="N1148">
        <v>11</v>
      </c>
      <c r="O1148">
        <v>-19</v>
      </c>
      <c r="P1148">
        <v>11</v>
      </c>
    </row>
    <row r="1149" spans="1:16" x14ac:dyDescent="0.25">
      <c r="A1149">
        <v>22000350</v>
      </c>
      <c r="B1149">
        <v>2020</v>
      </c>
      <c r="C1149" t="s">
        <v>32</v>
      </c>
      <c r="D1149" t="s">
        <v>47</v>
      </c>
      <c r="E1149">
        <v>71</v>
      </c>
      <c r="F1149">
        <v>61</v>
      </c>
      <c r="G1149">
        <v>3</v>
      </c>
      <c r="H1149" s="1">
        <v>5.2546296296296299E-3</v>
      </c>
      <c r="I1149" t="s">
        <v>23</v>
      </c>
      <c r="J1149" s="2" t="str">
        <f>HYPERLINK("https://www.nba.com/stats/events?CFID=&amp;CFPARAMS=&amp;GameEventID=368&amp;GameID=0022000350&amp;Season=2020-21&amp;flag=1&amp;title=Leonard%20reverse%20Layup%20(20%20PTS)", "Reverse Layup (20 PTS)")</f>
        <v>Reverse Layup (20 PTS)</v>
      </c>
      <c r="K1149" s="2" t="str">
        <f>HYPERLINK("https://www.nba.com/game/...-vs-...-0022000350/play-by-play?watchFullGame=true", "LAC vs BOS - Q3 07:34.00")</f>
        <v>LAC vs BOS - Q3 07:34.00</v>
      </c>
      <c r="L1149">
        <v>2.35</v>
      </c>
      <c r="M1149">
        <v>92.99</v>
      </c>
      <c r="N1149">
        <v>46.15</v>
      </c>
      <c r="O1149">
        <v>-19</v>
      </c>
      <c r="P1149">
        <v>13</v>
      </c>
    </row>
    <row r="1150" spans="1:16" x14ac:dyDescent="0.25">
      <c r="A1150">
        <v>21401150</v>
      </c>
      <c r="B1150">
        <v>2014</v>
      </c>
      <c r="C1150" t="s">
        <v>32</v>
      </c>
      <c r="D1150" t="s">
        <v>49</v>
      </c>
      <c r="E1150">
        <v>14</v>
      </c>
      <c r="F1150">
        <v>6</v>
      </c>
      <c r="G1150">
        <v>1</v>
      </c>
      <c r="H1150" s="1">
        <v>4.7106481481481478E-3</v>
      </c>
      <c r="I1150" t="s">
        <v>18</v>
      </c>
      <c r="J1150" s="2" t="str">
        <f>HYPERLINK("https://www.nba.com/stats/events?CFID=&amp;CFPARAMS=&amp;GameEventID=48&amp;GameID=0021401150&amp;Season=2014-15&amp;flag=1&amp;title=Leonard%202'%20Driving%20Layup%20(8%20PTS)", "Leonard 2' Driving Layup (8 PTS)")</f>
        <v>Leonard 2' Driving Layup (8 PTS)</v>
      </c>
      <c r="K1150" s="2" t="str">
        <f>HYPERLINK("https://www.nba.com/game/...-vs-...-0021401150/play-by-play?watchFullGame=true", "SAS vs GSW - Q1 06:47.00")</f>
        <v>SAS vs GSW - Q1 06:47.00</v>
      </c>
      <c r="L1150">
        <v>2</v>
      </c>
      <c r="M1150">
        <v>-19</v>
      </c>
      <c r="N1150">
        <v>14</v>
      </c>
      <c r="O1150">
        <v>-19</v>
      </c>
      <c r="P1150">
        <v>14</v>
      </c>
    </row>
    <row r="1151" spans="1:16" x14ac:dyDescent="0.25">
      <c r="A1151">
        <v>41200404</v>
      </c>
      <c r="B1151" t="s">
        <v>27</v>
      </c>
      <c r="C1151" t="s">
        <v>32</v>
      </c>
      <c r="D1151" t="s">
        <v>49</v>
      </c>
      <c r="E1151">
        <v>51</v>
      </c>
      <c r="F1151">
        <v>51</v>
      </c>
      <c r="G1151">
        <v>3</v>
      </c>
      <c r="H1151" s="1">
        <v>7.5115740740740742E-3</v>
      </c>
      <c r="I1151" t="s">
        <v>18</v>
      </c>
      <c r="J1151" s="2" t="str">
        <f>HYPERLINK("https://www.nba.com/stats/events?CFID=&amp;CFPARAMS=&amp;GameEventID=260&amp;GameID=0041200404&amp;Season=2012-13&amp;flag=1&amp;title=Leonard%202'%20Driving%20Layup%20(7%20PTS)", "Leonard 2' Driving Layup (7 PTS)")</f>
        <v>Leonard 2' Driving Layup (7 PTS)</v>
      </c>
      <c r="K1151" s="2" t="str">
        <f>HYPERLINK("https://www.nba.com/game/...-vs-...-0041200404/play-by-play?watchFullGame=true", "SAS vs MIA - Q3 10:49.00")</f>
        <v>SAS vs MIA - Q3 10:49.00</v>
      </c>
      <c r="L1151">
        <v>2</v>
      </c>
      <c r="M1151">
        <v>-19</v>
      </c>
      <c r="N1151">
        <v>14</v>
      </c>
      <c r="O1151">
        <v>-19</v>
      </c>
      <c r="P1151">
        <v>14</v>
      </c>
    </row>
    <row r="1152" spans="1:16" x14ac:dyDescent="0.25">
      <c r="A1152">
        <v>21300382</v>
      </c>
      <c r="B1152">
        <v>2013</v>
      </c>
      <c r="C1152" t="s">
        <v>32</v>
      </c>
      <c r="D1152" t="s">
        <v>55</v>
      </c>
      <c r="E1152">
        <v>48</v>
      </c>
      <c r="F1152">
        <v>50</v>
      </c>
      <c r="G1152">
        <v>2</v>
      </c>
      <c r="H1152" s="1">
        <v>5.1504629629629632E-4</v>
      </c>
      <c r="I1152" t="s">
        <v>18</v>
      </c>
      <c r="J1152" s="2" t="str">
        <f>HYPERLINK("https://www.nba.com/stats/events?CFID=&amp;CFPARAMS=&amp;GameEventID=231&amp;GameID=0021300382&amp;Season=2013-14&amp;flag=1&amp;title=Leonard%202'%20Driving%20Reverse%20Layup%20(13%20PTS)", "Leonard 2' Driving Reverse Layup (13 PTS)")</f>
        <v>Leonard 2' Driving Reverse Layup (13 PTS)</v>
      </c>
      <c r="K1152" s="2" t="str">
        <f>HYPERLINK("https://www.nba.com/game/...-vs-...-0021300382/play-by-play?watchFullGame=true", "SAS vs GSW - Q2 00:44.50")</f>
        <v>SAS vs GSW - Q2 00:44.50</v>
      </c>
      <c r="L1152">
        <v>2</v>
      </c>
      <c r="M1152">
        <v>-19</v>
      </c>
      <c r="N1152">
        <v>15</v>
      </c>
      <c r="O1152">
        <v>-19</v>
      </c>
      <c r="P1152">
        <v>15</v>
      </c>
    </row>
    <row r="1153" spans="1:16" x14ac:dyDescent="0.25">
      <c r="A1153">
        <v>21900485</v>
      </c>
      <c r="B1153">
        <v>2019</v>
      </c>
      <c r="C1153" t="s">
        <v>32</v>
      </c>
      <c r="D1153" t="s">
        <v>50</v>
      </c>
      <c r="E1153">
        <v>46</v>
      </c>
      <c r="F1153">
        <v>41</v>
      </c>
      <c r="G1153">
        <v>2</v>
      </c>
      <c r="H1153" s="1">
        <v>4.5023148148148149E-3</v>
      </c>
      <c r="I1153" t="s">
        <v>23</v>
      </c>
      <c r="J1153" s="2" t="str">
        <f>HYPERLINK("https://www.nba.com/stats/events?CFID=&amp;CFPARAMS=&amp;GameEventID=234&amp;GameID=0021900485&amp;Season=2019-20&amp;flag=1&amp;title=Leonard%20layup%20(4%20PTS)%20(L.%20Williams%205%20AST)", "Layup (4 PTS) (L. Williams 5 AST)")</f>
        <v>Layup (4 PTS) (L. Williams 5 AST)</v>
      </c>
      <c r="K1153" s="2" t="str">
        <f>HYPERLINK("https://www.nba.com/game/...-vs-...-0021900485/play-by-play?watchFullGame=true", "LAC vs UTA - Q2 06:29.00")</f>
        <v>LAC vs UTA - Q2 06:29.00</v>
      </c>
      <c r="L1153">
        <v>2.88</v>
      </c>
      <c r="M1153">
        <v>7.28</v>
      </c>
      <c r="N1153">
        <v>53.85</v>
      </c>
      <c r="O1153">
        <v>-19</v>
      </c>
      <c r="P1153">
        <v>16</v>
      </c>
    </row>
    <row r="1154" spans="1:16" x14ac:dyDescent="0.25">
      <c r="A1154">
        <v>21300117</v>
      </c>
      <c r="B1154">
        <v>2013</v>
      </c>
      <c r="C1154" t="s">
        <v>32</v>
      </c>
      <c r="D1154" t="s">
        <v>57</v>
      </c>
      <c r="E1154">
        <v>2</v>
      </c>
      <c r="F1154">
        <v>0</v>
      </c>
      <c r="G1154">
        <v>1</v>
      </c>
      <c r="H1154" s="1">
        <v>8.1250000000000003E-3</v>
      </c>
      <c r="I1154" t="s">
        <v>18</v>
      </c>
      <c r="J1154" s="2" t="str">
        <f>HYPERLINK("https://www.nba.com/stats/events?CFID=&amp;CFPARAMS=&amp;GameEventID=2&amp;GameID=0021300117&amp;Season=2013-14&amp;flag=1&amp;title=Leonard%203'%20Layup%20(2%20PTS)%20(Duncan%201%20AST)", "Leonard 3' Layup (2 PTS) (Duncan 1 AST)")</f>
        <v>Leonard 3' Layup (2 PTS) (Duncan 1 AST)</v>
      </c>
      <c r="K1154" s="2" t="str">
        <f>HYPERLINK("https://www.nba.com/game/...-vs-...-0021300117/play-by-play?watchFullGame=true", "SAS vs WAS - Q1 11:42.00")</f>
        <v>SAS vs WAS - Q1 11:42.00</v>
      </c>
      <c r="L1154">
        <v>3</v>
      </c>
      <c r="M1154">
        <v>-19</v>
      </c>
      <c r="N1154">
        <v>20</v>
      </c>
      <c r="O1154">
        <v>-19</v>
      </c>
      <c r="P1154">
        <v>20</v>
      </c>
    </row>
    <row r="1155" spans="1:16" x14ac:dyDescent="0.25">
      <c r="A1155">
        <v>41500236</v>
      </c>
      <c r="B1155" t="s">
        <v>25</v>
      </c>
      <c r="C1155" t="s">
        <v>32</v>
      </c>
      <c r="D1155" t="s">
        <v>37</v>
      </c>
      <c r="E1155">
        <v>76</v>
      </c>
      <c r="F1155">
        <v>53</v>
      </c>
      <c r="G1155">
        <v>3</v>
      </c>
      <c r="H1155" s="1">
        <v>3.6921296296296298E-3</v>
      </c>
      <c r="I1155" t="s">
        <v>18</v>
      </c>
      <c r="J1155" s="2" t="str">
        <f>HYPERLINK("https://www.nba.com/stats/events?CFID=&amp;CFPARAMS=&amp;GameEventID=324&amp;GameID=0041500236&amp;Season=2015-16&amp;flag=1&amp;title=Leonard%203'%20Floating%20Jump%20Shot%20(14%20PTS)", "Leonard 3' Floating Jump Shot (14 PTS)")</f>
        <v>Leonard 3' Floating Jump Shot (14 PTS)</v>
      </c>
      <c r="K1155" s="2" t="str">
        <f>HYPERLINK("https://www.nba.com/game/...-vs-...-0041500236/play-by-play?watchFullGame=true", "SAS vs OKC - Q3 05:19.00")</f>
        <v>SAS vs OKC - Q3 05:19.00</v>
      </c>
      <c r="L1155">
        <v>3</v>
      </c>
      <c r="M1155">
        <v>-19</v>
      </c>
      <c r="N1155">
        <v>28</v>
      </c>
      <c r="O1155">
        <v>-19</v>
      </c>
      <c r="P1155">
        <v>28</v>
      </c>
    </row>
    <row r="1156" spans="1:16" x14ac:dyDescent="0.25">
      <c r="A1156">
        <v>21400757</v>
      </c>
      <c r="B1156">
        <v>2014</v>
      </c>
      <c r="C1156" t="s">
        <v>32</v>
      </c>
      <c r="D1156" t="s">
        <v>19</v>
      </c>
      <c r="E1156">
        <v>52</v>
      </c>
      <c r="F1156">
        <v>38</v>
      </c>
      <c r="G1156">
        <v>2</v>
      </c>
      <c r="H1156" s="1">
        <v>5.3009259259259253E-4</v>
      </c>
      <c r="I1156" t="s">
        <v>18</v>
      </c>
      <c r="J1156" s="2" t="str">
        <f>HYPERLINK("https://www.nba.com/stats/events?CFID=&amp;CFPARAMS=&amp;GameEventID=194&amp;GameID=0021400757&amp;Season=2014-15&amp;flag=1&amp;title=Leonard%204'%20Jump%20Shot%20(16%20PTS)%20(Ginobili%206%20AST)", "Leonard 4' Jump Shot (16 PTS) (Ginobili 6 AST)")</f>
        <v>Leonard 4' Jump Shot (16 PTS) (Ginobili 6 AST)</v>
      </c>
      <c r="K1156" s="2" t="str">
        <f>HYPERLINK("https://www.nba.com/game/...-vs-...-0021400757/play-by-play?watchFullGame=true", "SAS vs MIA - Q2 00:45.80")</f>
        <v>SAS vs MIA - Q2 00:45.80</v>
      </c>
      <c r="L1156">
        <v>4</v>
      </c>
      <c r="M1156">
        <v>-19</v>
      </c>
      <c r="N1156">
        <v>37</v>
      </c>
      <c r="O1156">
        <v>-19</v>
      </c>
      <c r="P1156">
        <v>37</v>
      </c>
    </row>
    <row r="1157" spans="1:16" x14ac:dyDescent="0.25">
      <c r="A1157">
        <v>21900603</v>
      </c>
      <c r="B1157">
        <v>2019</v>
      </c>
      <c r="C1157" t="s">
        <v>32</v>
      </c>
      <c r="D1157" t="s">
        <v>22</v>
      </c>
      <c r="E1157">
        <v>68</v>
      </c>
      <c r="F1157">
        <v>53</v>
      </c>
      <c r="G1157">
        <v>3</v>
      </c>
      <c r="H1157" s="1">
        <v>7.789351851851852E-3</v>
      </c>
      <c r="I1157" t="s">
        <v>23</v>
      </c>
      <c r="J1157" s="2" t="str">
        <f>HYPERLINK("https://www.nba.com/stats/events?CFID=&amp;CFPARAMS=&amp;GameEventID=319&amp;GameID=0021900603&amp;Season=2019-20&amp;flag=1&amp;title=Leonard%2011'%20jumpshot%20(28%20PTS)", "11' jumpshot (28 PTS)")</f>
        <v>11' jumpshot (28 PTS)</v>
      </c>
      <c r="K1157" s="2" t="str">
        <f>HYPERLINK("https://www.nba.com/game/...-vs-...-0021900603/play-by-play?watchFullGame=true", "LAC vs CLE - Q3 11:13.00")</f>
        <v>LAC vs CLE - Q3 11:13.00</v>
      </c>
      <c r="L1157">
        <v>10.73</v>
      </c>
      <c r="M1157">
        <v>83.75</v>
      </c>
      <c r="N1157">
        <v>46.25</v>
      </c>
      <c r="O1157">
        <v>-19</v>
      </c>
      <c r="P1157">
        <v>100</v>
      </c>
    </row>
    <row r="1158" spans="1:16" x14ac:dyDescent="0.25">
      <c r="A1158">
        <v>22400859</v>
      </c>
      <c r="B1158">
        <v>2024</v>
      </c>
      <c r="C1158" t="s">
        <v>32</v>
      </c>
      <c r="D1158" t="s">
        <v>19</v>
      </c>
      <c r="E1158">
        <v>50</v>
      </c>
      <c r="F1158">
        <v>42</v>
      </c>
      <c r="G1158">
        <v>2</v>
      </c>
      <c r="H1158" s="1">
        <v>2.9861111111111113E-3</v>
      </c>
      <c r="I1158" t="s">
        <v>23</v>
      </c>
      <c r="J1158" s="2" t="str">
        <f>HYPERLINK("https://www.nba.com/stats/events?CFID=&amp;CFPARAMS=&amp;GameEventID=223&amp;GameID=0022400859&amp;Season=2024-25&amp;flag=1&amp;title=Leonard%2014'%20Jump%20Shot%20(8%20PTS)%20(Dunn%203%20AST)", "14' Jump Shot (8 PTS) (K. Dunn 3 AST)")</f>
        <v>14' Jump Shot (8 PTS) (K. Dunn 3 AST)</v>
      </c>
      <c r="K1158" s="2" t="str">
        <f>HYPERLINK("https://www.nba.com/game/...-vs-...-0022400859/play-by-play?watchFullGame=true", "LAC vs LAL - Q2 04:18.00")</f>
        <v>LAC vs LAL - Q2 04:18.00</v>
      </c>
      <c r="L1158">
        <v>14.15</v>
      </c>
      <c r="M1158">
        <v>79.5</v>
      </c>
      <c r="N1158">
        <v>46.16</v>
      </c>
      <c r="O1158">
        <v>-19</v>
      </c>
      <c r="P1158">
        <v>140</v>
      </c>
    </row>
    <row r="1159" spans="1:16" x14ac:dyDescent="0.25">
      <c r="A1159">
        <v>21400220</v>
      </c>
      <c r="B1159">
        <v>2014</v>
      </c>
      <c r="C1159" t="s">
        <v>32</v>
      </c>
      <c r="D1159" t="s">
        <v>29</v>
      </c>
      <c r="E1159">
        <v>20</v>
      </c>
      <c r="F1159">
        <v>16</v>
      </c>
      <c r="G1159">
        <v>1</v>
      </c>
      <c r="H1159" s="1">
        <v>2.7199074074074074E-3</v>
      </c>
      <c r="I1159" t="s">
        <v>18</v>
      </c>
      <c r="J1159" s="2" t="str">
        <f>HYPERLINK("https://www.nba.com/stats/events?CFID=&amp;CFPARAMS=&amp;GameEventID=68&amp;GameID=0021400220&amp;Season=2014-15&amp;flag=1&amp;title=Leonard%2020'%20Pullup%20Jump%20Shot%20(9%20PTS)", "Leonard 20' Pullup Jump Shot (9 PTS)")</f>
        <v>Leonard 20' Pullup Jump Shot (9 PTS)</v>
      </c>
      <c r="K1159" s="2" t="str">
        <f>HYPERLINK("https://www.nba.com/game/...-vs-...-0021400220/play-by-play?watchFullGame=true", "SAS vs IND - Q1 03:55.00")</f>
        <v>SAS vs IND - Q1 03:55.00</v>
      </c>
      <c r="L1159">
        <v>20</v>
      </c>
      <c r="M1159">
        <v>-19</v>
      </c>
      <c r="N1159">
        <v>200</v>
      </c>
      <c r="O1159">
        <v>-19</v>
      </c>
      <c r="P1159">
        <v>200</v>
      </c>
    </row>
    <row r="1160" spans="1:16" x14ac:dyDescent="0.25">
      <c r="A1160">
        <v>21600525</v>
      </c>
      <c r="B1160">
        <v>2016</v>
      </c>
      <c r="C1160" t="s">
        <v>16</v>
      </c>
      <c r="D1160" t="s">
        <v>19</v>
      </c>
      <c r="E1160">
        <v>21</v>
      </c>
      <c r="F1160">
        <v>8</v>
      </c>
      <c r="G1160">
        <v>1</v>
      </c>
      <c r="H1160" s="1">
        <v>4.3287037037037035E-3</v>
      </c>
      <c r="I1160" t="s">
        <v>18</v>
      </c>
      <c r="J1160" s="2" t="str">
        <f>HYPERLINK("https://www.nba.com/stats/events?CFID=&amp;CFPARAMS=&amp;GameEventID=48&amp;GameID=0021600525&amp;Season=2016-17&amp;flag=1&amp;title=Leonard%2026'%203PT%20Jump%20Shot%20(7%20PTS)%20(Aldridge%202%20AST)", "Leonard 26' 3PT Jump Shot (7 PTS) (Aldridge 2 AST)")</f>
        <v>Leonard 26' 3PT Jump Shot (7 PTS) (Aldridge 2 AST)</v>
      </c>
      <c r="K1160" s="2" t="str">
        <f>HYPERLINK("https://www.nba.com/game/...-vs-...-0021600525/play-by-play?watchFullGame=true", "SAS vs TOR - Q1 06:14.00")</f>
        <v>SAS vs TOR - Q1 06:14.00</v>
      </c>
      <c r="L1160">
        <v>26</v>
      </c>
      <c r="M1160">
        <v>-19</v>
      </c>
      <c r="N1160">
        <v>262</v>
      </c>
      <c r="O1160">
        <v>-19</v>
      </c>
      <c r="P1160">
        <v>262</v>
      </c>
    </row>
    <row r="1161" spans="1:16" x14ac:dyDescent="0.25">
      <c r="A1161">
        <v>21900603</v>
      </c>
      <c r="B1161">
        <v>2019</v>
      </c>
      <c r="C1161" t="s">
        <v>16</v>
      </c>
      <c r="D1161" t="s">
        <v>22</v>
      </c>
      <c r="E1161">
        <v>56</v>
      </c>
      <c r="F1161">
        <v>50</v>
      </c>
      <c r="G1161">
        <v>2</v>
      </c>
      <c r="H1161" s="1">
        <v>1.8749999999999999E-3</v>
      </c>
      <c r="I1161" t="s">
        <v>23</v>
      </c>
      <c r="J1161" s="2" t="str">
        <f>HYPERLINK("https://www.nba.com/stats/events?CFID=&amp;CFPARAMS=&amp;GameEventID=265&amp;GameID=0021900603&amp;Season=2019-20&amp;flag=1&amp;title=Leonard%2029'%203PT%20%20(20%20PTS)%20(P.%20Beverley%207%20AST)", "29' 3PT  (20 PTS) (P. Beverley 7 AST)")</f>
        <v>29' 3PT  (20 PTS) (P. Beverley 7 AST)</v>
      </c>
      <c r="K1161" s="2" t="str">
        <f>HYPERLINK("https://www.nba.com/game/...-vs-...-0021900603/play-by-play?watchFullGame=true", "LAC vs CLE - Q2 02:42.00")</f>
        <v>LAC vs CLE - Q2 02:42.00</v>
      </c>
      <c r="L1161">
        <v>29</v>
      </c>
      <c r="M1161">
        <v>35.79</v>
      </c>
      <c r="N1161">
        <v>53.85</v>
      </c>
      <c r="O1161">
        <v>-19</v>
      </c>
      <c r="P1161">
        <v>284</v>
      </c>
    </row>
    <row r="1162" spans="1:16" x14ac:dyDescent="0.25">
      <c r="A1162">
        <v>21401134</v>
      </c>
      <c r="B1162">
        <v>2014</v>
      </c>
      <c r="C1162" t="s">
        <v>32</v>
      </c>
      <c r="D1162" t="s">
        <v>52</v>
      </c>
      <c r="E1162">
        <v>7</v>
      </c>
      <c r="F1162">
        <v>4</v>
      </c>
      <c r="G1162">
        <v>1</v>
      </c>
      <c r="H1162" s="1">
        <v>7.4884259259259262E-3</v>
      </c>
      <c r="I1162" t="s">
        <v>18</v>
      </c>
      <c r="J1162" s="2" t="str">
        <f>HYPERLINK("https://www.nba.com/stats/events?CFID=&amp;CFPARAMS=&amp;GameEventID=13&amp;GameID=0021401134&amp;Season=2014-15&amp;flag=1&amp;title=Leonard%202'%20Alley%20Oop%20Layup%20(4%20PTS)%20(Duncan%201%20AST)", "Leonard 2' Alley Oop Layup (4 PTS) (Duncan 1 AST)")</f>
        <v>Leonard 2' Alley Oop Layup (4 PTS) (Duncan 1 AST)</v>
      </c>
      <c r="K1162" s="2" t="str">
        <f>HYPERLINK("https://www.nba.com/game/...-vs-...-0021401134/play-by-play?watchFullGame=true", "SAS vs DEN - Q1 10:47.00")</f>
        <v>SAS vs DEN - Q1 10:47.00</v>
      </c>
      <c r="L1162">
        <v>2</v>
      </c>
      <c r="M1162">
        <v>-18</v>
      </c>
      <c r="N1162">
        <v>-2</v>
      </c>
      <c r="O1162">
        <v>-18</v>
      </c>
      <c r="P1162">
        <v>-2</v>
      </c>
    </row>
    <row r="1163" spans="1:16" x14ac:dyDescent="0.25">
      <c r="A1163">
        <v>21400663</v>
      </c>
      <c r="B1163">
        <v>2014</v>
      </c>
      <c r="C1163" t="s">
        <v>32</v>
      </c>
      <c r="D1163" t="s">
        <v>59</v>
      </c>
      <c r="E1163">
        <v>85</v>
      </c>
      <c r="F1163">
        <v>79</v>
      </c>
      <c r="G1163">
        <v>4</v>
      </c>
      <c r="H1163" s="1">
        <v>4.6412037037037038E-3</v>
      </c>
      <c r="I1163" t="s">
        <v>18</v>
      </c>
      <c r="J1163" s="2" t="str">
        <f>HYPERLINK("https://www.nba.com/stats/events?CFID=&amp;CFPARAMS=&amp;GameEventID=436&amp;GameID=0021400663&amp;Season=2014-15&amp;flag=1&amp;title=Leonard%202'%20Putback%20Layup%20(14%20PTS)", "Leonard 2' Putback Layup (14 PTS)")</f>
        <v>Leonard 2' Putback Layup (14 PTS)</v>
      </c>
      <c r="K1163" s="2" t="str">
        <f>HYPERLINK("https://www.nba.com/game/...-vs-...-0021400663/play-by-play?watchFullGame=true", "SAS vs MIL - Q4 06:41.00")</f>
        <v>SAS vs MIL - Q4 06:41.00</v>
      </c>
      <c r="L1163">
        <v>2</v>
      </c>
      <c r="M1163">
        <v>-18</v>
      </c>
      <c r="N1163">
        <v>3</v>
      </c>
      <c r="O1163">
        <v>-18</v>
      </c>
      <c r="P1163">
        <v>3</v>
      </c>
    </row>
    <row r="1164" spans="1:16" x14ac:dyDescent="0.25">
      <c r="A1164">
        <v>21400853</v>
      </c>
      <c r="B1164">
        <v>2014</v>
      </c>
      <c r="C1164" t="s">
        <v>32</v>
      </c>
      <c r="D1164" t="s">
        <v>57</v>
      </c>
      <c r="E1164">
        <v>72</v>
      </c>
      <c r="F1164">
        <v>62</v>
      </c>
      <c r="G1164">
        <v>3</v>
      </c>
      <c r="H1164" s="1">
        <v>2.5578703703703705E-3</v>
      </c>
      <c r="I1164" t="s">
        <v>18</v>
      </c>
      <c r="J1164" s="2" t="str">
        <f>HYPERLINK("https://www.nba.com/stats/events?CFID=&amp;CFPARAMS=&amp;GameEventID=278&amp;GameID=0021400853&amp;Season=2014-15&amp;flag=1&amp;title=Leonard%202'%20Layup%20(9%20PTS)", "Leonard 2' Layup (9 PTS)")</f>
        <v>Leonard 2' Layup (9 PTS)</v>
      </c>
      <c r="K1164" s="2" t="str">
        <f>HYPERLINK("https://www.nba.com/game/...-vs-...-0021400853/play-by-play?watchFullGame=true", "SAS vs POR - Q3 03:41.00")</f>
        <v>SAS vs POR - Q3 03:41.00</v>
      </c>
      <c r="L1164">
        <v>2</v>
      </c>
      <c r="M1164">
        <v>-18</v>
      </c>
      <c r="N1164">
        <v>4</v>
      </c>
      <c r="O1164">
        <v>-18</v>
      </c>
      <c r="P1164">
        <v>4</v>
      </c>
    </row>
    <row r="1165" spans="1:16" x14ac:dyDescent="0.25">
      <c r="A1165">
        <v>22200255</v>
      </c>
      <c r="B1165">
        <v>2022</v>
      </c>
      <c r="C1165" t="s">
        <v>32</v>
      </c>
      <c r="D1165" t="s">
        <v>47</v>
      </c>
      <c r="E1165">
        <v>80</v>
      </c>
      <c r="F1165">
        <v>70</v>
      </c>
      <c r="G1165">
        <v>3</v>
      </c>
      <c r="H1165" s="1">
        <v>4.4444444444444444E-3</v>
      </c>
      <c r="I1165" t="s">
        <v>23</v>
      </c>
      <c r="J1165" s="2" t="str">
        <f>HYPERLINK("https://www.nba.com/stats/events?CFID=&amp;CFPARAMS=&amp;GameEventID=386&amp;GameID=0022200255&amp;Season=2022-23&amp;flag=1&amp;title=Leonard%20driving%20Layup%20(6%20PTS)", "Driving Layup (6 PTS)")</f>
        <v>Driving Layup (6 PTS)</v>
      </c>
      <c r="K1165" s="2" t="str">
        <f>HYPERLINK("https://www.nba.com/game/...-vs-...-0022200255/play-by-play?watchFullGame=true", "LAC vs UTA - Q3 06:24.00")</f>
        <v>LAC vs UTA - Q3 06:24.00</v>
      </c>
      <c r="L1165">
        <v>2.16</v>
      </c>
      <c r="M1165">
        <v>93.22</v>
      </c>
      <c r="N1165">
        <v>46.32</v>
      </c>
      <c r="O1165">
        <v>-18</v>
      </c>
      <c r="P1165">
        <v>11</v>
      </c>
    </row>
    <row r="1166" spans="1:16" x14ac:dyDescent="0.25">
      <c r="A1166">
        <v>21300275</v>
      </c>
      <c r="B1166">
        <v>2013</v>
      </c>
      <c r="C1166" t="s">
        <v>32</v>
      </c>
      <c r="D1166" t="s">
        <v>57</v>
      </c>
      <c r="E1166">
        <v>91</v>
      </c>
      <c r="F1166">
        <v>74</v>
      </c>
      <c r="G1166">
        <v>4</v>
      </c>
      <c r="H1166" s="1">
        <v>5.347222222222222E-3</v>
      </c>
      <c r="I1166" t="s">
        <v>18</v>
      </c>
      <c r="J1166" s="2" t="str">
        <f>HYPERLINK("https://www.nba.com/stats/events?CFID=&amp;CFPARAMS=&amp;GameEventID=451&amp;GameID=0021300275&amp;Season=2013-14&amp;flag=1&amp;title=Leonard%203'%20Layup%20(10%20PTS)", "Leonard 3' Layup (10 PTS)")</f>
        <v>Leonard 3' Layup (10 PTS)</v>
      </c>
      <c r="K1166" s="2" t="str">
        <f>HYPERLINK("https://www.nba.com/game/...-vs-...-0021300275/play-by-play?watchFullGame=true", "SAS vs MIN - Q4 07:42.00")</f>
        <v>SAS vs MIN - Q4 07:42.00</v>
      </c>
      <c r="L1166">
        <v>3</v>
      </c>
      <c r="M1166">
        <v>-18</v>
      </c>
      <c r="N1166">
        <v>20</v>
      </c>
      <c r="O1166">
        <v>-18</v>
      </c>
      <c r="P1166">
        <v>20</v>
      </c>
    </row>
    <row r="1167" spans="1:16" x14ac:dyDescent="0.25">
      <c r="A1167">
        <v>21901291</v>
      </c>
      <c r="B1167">
        <v>2019</v>
      </c>
      <c r="C1167" t="s">
        <v>32</v>
      </c>
      <c r="D1167" t="s">
        <v>22</v>
      </c>
      <c r="E1167">
        <v>51</v>
      </c>
      <c r="F1167">
        <v>67</v>
      </c>
      <c r="G1167">
        <v>2</v>
      </c>
      <c r="H1167" s="1">
        <v>1.8749999999999999E-3</v>
      </c>
      <c r="I1167" t="s">
        <v>23</v>
      </c>
      <c r="J1167" s="2" t="str">
        <f>HYPERLINK("https://www.nba.com/stats/events?CFID=&amp;CFPARAMS=&amp;GameEventID=274&amp;GameID=0021901291&amp;Season=2019-20&amp;flag=1&amp;title=Leonard%20jumpshot%20(12%20PTS)", "Jumpshot (12 PTS)")</f>
        <v>Jumpshot (12 PTS)</v>
      </c>
      <c r="K1167" s="2" t="str">
        <f>HYPERLINK("https://www.nba.com/game/...-vs-...-0021901291/play-by-play?watchFullGame=true", "LAC vs BKN - Q2 02:42.00")</f>
        <v>LAC vs BKN - Q2 02:42.00</v>
      </c>
      <c r="L1167">
        <v>3.19</v>
      </c>
      <c r="M1167">
        <v>92.2</v>
      </c>
      <c r="N1167">
        <v>46.39</v>
      </c>
      <c r="O1167">
        <v>-18</v>
      </c>
      <c r="P1167">
        <v>21</v>
      </c>
    </row>
    <row r="1168" spans="1:16" x14ac:dyDescent="0.25">
      <c r="A1168">
        <v>21900051</v>
      </c>
      <c r="B1168">
        <v>2019</v>
      </c>
      <c r="C1168" t="s">
        <v>32</v>
      </c>
      <c r="D1168" t="s">
        <v>50</v>
      </c>
      <c r="E1168">
        <v>96</v>
      </c>
      <c r="F1168">
        <v>79</v>
      </c>
      <c r="G1168">
        <v>4</v>
      </c>
      <c r="H1168" s="1">
        <v>5.3819444444444444E-3</v>
      </c>
      <c r="I1168" t="s">
        <v>23</v>
      </c>
      <c r="J1168" s="2" t="str">
        <f>HYPERLINK("https://www.nba.com/stats/events?CFID=&amp;CFPARAMS=&amp;GameEventID=566&amp;GameID=0021900051&amp;Season=2019-20&amp;flag=1&amp;title=[LAC]%20Leonard%20layup:%20Made%20(25%20PTS)", "[LAC] Leonard layup: Made (25 PTS)")</f>
        <v>[LAC] Leonard layup: Made (25 PTS)</v>
      </c>
      <c r="K1168" s="2" t="str">
        <f>HYPERLINK("https://www.nba.com/game/...-vs-...-0021900051/play-by-play?watchFullGame=true", "LAC vs CHA - Q4 07:45.00")</f>
        <v>LAC vs CHA - Q4 07:45.00</v>
      </c>
      <c r="L1168">
        <v>4.6100000000000003</v>
      </c>
      <c r="M1168">
        <v>9.51</v>
      </c>
      <c r="N1168">
        <v>53.61</v>
      </c>
      <c r="O1168">
        <v>-18</v>
      </c>
      <c r="P1168">
        <v>37</v>
      </c>
    </row>
    <row r="1169" spans="1:16" x14ac:dyDescent="0.25">
      <c r="A1169">
        <v>22400659</v>
      </c>
      <c r="B1169">
        <v>2024</v>
      </c>
      <c r="C1169" t="s">
        <v>32</v>
      </c>
      <c r="D1169" t="s">
        <v>47</v>
      </c>
      <c r="E1169">
        <v>47</v>
      </c>
      <c r="F1169">
        <v>38</v>
      </c>
      <c r="G1169">
        <v>2</v>
      </c>
      <c r="H1169" s="1">
        <v>3.8310185185185183E-3</v>
      </c>
      <c r="I1169" t="s">
        <v>23</v>
      </c>
      <c r="J1169" s="2" t="str">
        <f>HYPERLINK("https://www.nba.com/stats/events?CFID=&amp;CFPARAMS=&amp;GameEventID=211&amp;GameID=0022400659&amp;Season=2024-25&amp;flag=1&amp;title=Leonard%208'%20driving%20finger%20roll%20Layup%20(4%20PTS)", "8' driving finger roll Layup (4 PTS)")</f>
        <v>8' driving finger roll Layup (4 PTS)</v>
      </c>
      <c r="K1169" s="2" t="str">
        <f>HYPERLINK("https://www.nba.com/game/...-vs-...-0022400659/play-by-play?watchFullGame=true", "LAC vs PHX - Q2 05:31.00")</f>
        <v>LAC vs PHX - Q2 05:31.00</v>
      </c>
      <c r="L1169">
        <v>8.58</v>
      </c>
      <c r="M1169">
        <v>85.5</v>
      </c>
      <c r="N1169">
        <v>46.32</v>
      </c>
      <c r="O1169">
        <v>-18</v>
      </c>
      <c r="P1169">
        <v>84</v>
      </c>
    </row>
    <row r="1170" spans="1:16" x14ac:dyDescent="0.25">
      <c r="A1170">
        <v>22301079</v>
      </c>
      <c r="B1170">
        <v>2023</v>
      </c>
      <c r="C1170" t="s">
        <v>32</v>
      </c>
      <c r="D1170" t="s">
        <v>19</v>
      </c>
      <c r="E1170">
        <v>82</v>
      </c>
      <c r="F1170">
        <v>92</v>
      </c>
      <c r="G1170">
        <v>3</v>
      </c>
      <c r="H1170" s="1">
        <v>9.1435185185185185E-4</v>
      </c>
      <c r="I1170" t="s">
        <v>23</v>
      </c>
      <c r="J1170" s="2" t="str">
        <f>HYPERLINK("https://www.nba.com/stats/events?CFID=&amp;CFPARAMS=&amp;GameEventID=417&amp;GameID=0022301079&amp;Season=2023-24&amp;flag=1&amp;title=Leonard%208'%20pullup%20Jump%20Shot%20(17%20PTS)%20(R.%20Westbrook%203%20AST)", "8' pullup Jump Shot (17 PTS) (R. Westbrook 3 AST)")</f>
        <v>8' pullup Jump Shot (17 PTS) (R. Westbrook 3 AST)</v>
      </c>
      <c r="K1170" s="2" t="str">
        <f>HYPERLINK("https://www.nba.com/game/...-vs-...-0022301079/play-by-play?watchFullGame=true", "LAC vs CHA - Q3 01:19.00")</f>
        <v>LAC vs CHA - Q3 01:19.00</v>
      </c>
      <c r="L1170">
        <v>8.74</v>
      </c>
      <c r="M1170">
        <v>14.67</v>
      </c>
      <c r="N1170">
        <v>53.68</v>
      </c>
      <c r="O1170">
        <v>-18</v>
      </c>
      <c r="P1170">
        <v>85</v>
      </c>
    </row>
    <row r="1171" spans="1:16" x14ac:dyDescent="0.25">
      <c r="A1171">
        <v>21900016</v>
      </c>
      <c r="B1171">
        <v>2019</v>
      </c>
      <c r="C1171" t="s">
        <v>32</v>
      </c>
      <c r="D1171" t="s">
        <v>22</v>
      </c>
      <c r="E1171">
        <v>58</v>
      </c>
      <c r="F1171">
        <v>76</v>
      </c>
      <c r="G1171">
        <v>3</v>
      </c>
      <c r="H1171" s="1">
        <v>6.8865740740740745E-3</v>
      </c>
      <c r="I1171" t="s">
        <v>23</v>
      </c>
      <c r="J1171" s="2" t="str">
        <f>HYPERLINK("https://www.nba.com/stats/events?CFID=&amp;CFPARAMS=&amp;GameEventID=410&amp;GameID=0021900016&amp;Season=2019-20&amp;flag=1&amp;title=[LAC]%20Leonard%20jumpshot:%20Made%20(13%20PTS)", "[LAC] Leonard jumpshot: Made (13 PTS)")</f>
        <v>[LAC] Leonard jumpshot: Made (13 PTS)</v>
      </c>
      <c r="K1171" s="2" t="str">
        <f>HYPERLINK("https://www.nba.com/game/...-vs-...-0021900016/play-by-play?watchFullGame=true", "LAC vs GSW - Q3 09:55.00")</f>
        <v>LAC vs GSW - Q3 09:55.00</v>
      </c>
      <c r="L1171">
        <v>12.4</v>
      </c>
      <c r="M1171">
        <v>81.95</v>
      </c>
      <c r="N1171">
        <v>46.39</v>
      </c>
      <c r="O1171">
        <v>-18</v>
      </c>
      <c r="P1171">
        <v>117</v>
      </c>
    </row>
    <row r="1172" spans="1:16" x14ac:dyDescent="0.25">
      <c r="A1172">
        <v>22300964</v>
      </c>
      <c r="B1172">
        <v>2023</v>
      </c>
      <c r="C1172" t="s">
        <v>32</v>
      </c>
      <c r="D1172" t="s">
        <v>19</v>
      </c>
      <c r="E1172">
        <v>65</v>
      </c>
      <c r="F1172">
        <v>57</v>
      </c>
      <c r="G1172">
        <v>3</v>
      </c>
      <c r="H1172" s="1">
        <v>4.5138888888888885E-3</v>
      </c>
      <c r="I1172" t="s">
        <v>23</v>
      </c>
      <c r="J1172" s="2" t="str">
        <f>HYPERLINK("https://www.nba.com/stats/events?CFID=&amp;CFPARAMS=&amp;GameEventID=380&amp;GameID=0022300964&amp;Season=2023-24&amp;flag=1&amp;title=Leonard%2013'%20step%20back%20Jump%20Shot%20(15%20PTS)%20(P.%20George%202%20AST)", "13' step back Jump Shot (15 PTS) (P. George 2 AST)")</f>
        <v>13' step back Jump Shot (15 PTS) (P. George 2 AST)</v>
      </c>
      <c r="K1172" s="2" t="str">
        <f>HYPERLINK("https://www.nba.com/game/...-vs-...-0022300964/play-by-play?watchFullGame=true", "LAC vs NOP - Q3 06:30.00")</f>
        <v>LAC vs NOP - Q3 06:30.00</v>
      </c>
      <c r="L1172">
        <v>13.72</v>
      </c>
      <c r="M1172">
        <v>20.059999999999999</v>
      </c>
      <c r="N1172">
        <v>53.68</v>
      </c>
      <c r="O1172">
        <v>-18</v>
      </c>
      <c r="P1172">
        <v>136</v>
      </c>
    </row>
    <row r="1173" spans="1:16" x14ac:dyDescent="0.25">
      <c r="A1173">
        <v>21300068</v>
      </c>
      <c r="B1173">
        <v>2013</v>
      </c>
      <c r="C1173" t="s">
        <v>32</v>
      </c>
      <c r="D1173" t="s">
        <v>29</v>
      </c>
      <c r="E1173">
        <v>35</v>
      </c>
      <c r="F1173">
        <v>35</v>
      </c>
      <c r="G1173">
        <v>2</v>
      </c>
      <c r="H1173" s="1">
        <v>4.4560185185185189E-3</v>
      </c>
      <c r="I1173" t="s">
        <v>18</v>
      </c>
      <c r="J1173" s="2" t="str">
        <f>HYPERLINK("https://www.nba.com/stats/events?CFID=&amp;CFPARAMS=&amp;GameEventID=178&amp;GameID=0021300068&amp;Season=2013-14&amp;flag=1&amp;title=Leonard%2014'%20Pullup%20Jump%20Shot%20(4%20PTS)%20(Ayres%201%20AST)", "Leonard 14' Pullup Jump Shot (4 PTS) (Ayres 1 AST)")</f>
        <v>Leonard 14' Pullup Jump Shot (4 PTS) (Ayres 1 AST)</v>
      </c>
      <c r="K1173" s="2" t="str">
        <f>HYPERLINK("https://www.nba.com/game/...-vs-...-0021300068/play-by-play?watchFullGame=true", "SAS vs PHX - Q2 06:25.00")</f>
        <v>SAS vs PHX - Q2 06:25.00</v>
      </c>
      <c r="L1173">
        <v>14</v>
      </c>
      <c r="M1173">
        <v>-18</v>
      </c>
      <c r="N1173">
        <v>140</v>
      </c>
      <c r="O1173">
        <v>-18</v>
      </c>
      <c r="P1173">
        <v>140</v>
      </c>
    </row>
    <row r="1174" spans="1:16" x14ac:dyDescent="0.25">
      <c r="A1174">
        <v>22300114</v>
      </c>
      <c r="B1174">
        <v>2023</v>
      </c>
      <c r="C1174" t="s">
        <v>32</v>
      </c>
      <c r="D1174" t="s">
        <v>19</v>
      </c>
      <c r="E1174">
        <v>71</v>
      </c>
      <c r="F1174">
        <v>60</v>
      </c>
      <c r="G1174">
        <v>3</v>
      </c>
      <c r="H1174" s="1">
        <v>3.3564814814814816E-3</v>
      </c>
      <c r="I1174" t="s">
        <v>23</v>
      </c>
      <c r="J1174" s="2" t="str">
        <f>HYPERLINK("https://www.nba.com/stats/events?CFID=&amp;CFPARAMS=&amp;GameEventID=432&amp;GameID=0022300114&amp;Season=2023-24&amp;flag=1&amp;title=Leonard%2015'%20Jump%20Shot%20(4%20PTS)%20(R.%20Westbrook%206%20AST)", "15' Jump Shot (4 PTS) (R. Westbrook 6 AST)")</f>
        <v>15' Jump Shot (4 PTS) (R. Westbrook 6 AST)</v>
      </c>
      <c r="K1174" s="2" t="str">
        <f>HYPERLINK("https://www.nba.com/game/...-vs-...-0022300114/play-by-play?watchFullGame=true", "LAC vs ORL - Q3 04:50.00")</f>
        <v>LAC vs ORL - Q3 04:50.00</v>
      </c>
      <c r="L1174">
        <v>15.78</v>
      </c>
      <c r="M1174">
        <v>22.26</v>
      </c>
      <c r="N1174">
        <v>53.68</v>
      </c>
      <c r="O1174">
        <v>-18</v>
      </c>
      <c r="P1174">
        <v>157</v>
      </c>
    </row>
    <row r="1175" spans="1:16" x14ac:dyDescent="0.25">
      <c r="A1175">
        <v>22300708</v>
      </c>
      <c r="B1175">
        <v>2023</v>
      </c>
      <c r="C1175" t="s">
        <v>16</v>
      </c>
      <c r="D1175" t="s">
        <v>19</v>
      </c>
      <c r="E1175">
        <v>54</v>
      </c>
      <c r="F1175">
        <v>62</v>
      </c>
      <c r="G1175">
        <v>3</v>
      </c>
      <c r="H1175" s="1">
        <v>4.0277777777777777E-3</v>
      </c>
      <c r="I1175" t="s">
        <v>23</v>
      </c>
      <c r="J1175" s="2" t="str">
        <f>HYPERLINK("https://www.nba.com/stats/events?CFID=&amp;CFPARAMS=&amp;GameEventID=330&amp;GameID=0022300708&amp;Season=2023-24&amp;flag=1&amp;title=Leonard%2026'%203PT%20step%20back%20(18%20PTS)", "26' 3PT step back (18 PTS)")</f>
        <v>26' 3PT step back (18 PTS)</v>
      </c>
      <c r="K1175" s="2" t="str">
        <f>HYPERLINK("https://www.nba.com/game/...-vs-...-0022300708/play-by-play?watchFullGame=true", "LAC vs MIA - Q3 05:48.00")</f>
        <v>LAC vs MIA - Q3 05:48.00</v>
      </c>
      <c r="L1175">
        <v>26.23</v>
      </c>
      <c r="M1175">
        <v>66.569999999999993</v>
      </c>
      <c r="N1175">
        <v>46.32</v>
      </c>
      <c r="O1175">
        <v>-18</v>
      </c>
      <c r="P1175">
        <v>262</v>
      </c>
    </row>
    <row r="1176" spans="1:16" x14ac:dyDescent="0.25">
      <c r="A1176">
        <v>21500257</v>
      </c>
      <c r="B1176">
        <v>2015</v>
      </c>
      <c r="C1176" t="s">
        <v>32</v>
      </c>
      <c r="D1176" t="s">
        <v>57</v>
      </c>
      <c r="E1176">
        <v>60</v>
      </c>
      <c r="F1176">
        <v>61</v>
      </c>
      <c r="G1176">
        <v>3</v>
      </c>
      <c r="H1176" s="1">
        <v>4.3518518518518515E-3</v>
      </c>
      <c r="I1176" t="s">
        <v>18</v>
      </c>
      <c r="J1176" s="2" t="str">
        <f>HYPERLINK("https://www.nba.com/stats/events?CFID=&amp;CFPARAMS=&amp;GameEventID=287&amp;GameID=0021500257&amp;Season=2015-16&amp;flag=1&amp;title=Leonard%202'%20Layup%20(17%20PTS)", "Leonard 2' Layup (17 PTS)")</f>
        <v>Leonard 2' Layup (17 PTS)</v>
      </c>
      <c r="K1176" s="2" t="str">
        <f>HYPERLINK("https://www.nba.com/game/...-vs-...-0021500257/play-by-play?watchFullGame=true", "SAS vs CHI - Q3 06:16.00")</f>
        <v>SAS vs CHI - Q3 06:16.00</v>
      </c>
      <c r="L1176">
        <v>2</v>
      </c>
      <c r="M1176">
        <v>-17</v>
      </c>
      <c r="N1176">
        <v>7</v>
      </c>
      <c r="O1176">
        <v>-17</v>
      </c>
      <c r="P1176">
        <v>7</v>
      </c>
    </row>
    <row r="1177" spans="1:16" x14ac:dyDescent="0.25">
      <c r="A1177">
        <v>22000720</v>
      </c>
      <c r="B1177">
        <v>2020</v>
      </c>
      <c r="C1177" t="s">
        <v>32</v>
      </c>
      <c r="D1177" t="s">
        <v>47</v>
      </c>
      <c r="E1177">
        <v>67</v>
      </c>
      <c r="F1177">
        <v>59</v>
      </c>
      <c r="G1177">
        <v>3</v>
      </c>
      <c r="H1177" s="1">
        <v>2.0601851851851853E-3</v>
      </c>
      <c r="I1177" t="s">
        <v>23</v>
      </c>
      <c r="J1177" s="2" t="str">
        <f>HYPERLINK("https://www.nba.com/stats/events?CFID=&amp;CFPARAMS=&amp;GameEventID=396&amp;GameID=0022000720&amp;Season=2020-21&amp;flag=1&amp;title=Leonard%20driving%20reverse%20Layup%20(23%20PTS)", "Driving reverse Layup (23 PTS)")</f>
        <v>Driving reverse Layup (23 PTS)</v>
      </c>
      <c r="K1177" s="2" t="str">
        <f>HYPERLINK("https://www.nba.com/game/...-vs-...-0022000720/play-by-play?watchFullGame=true", "LAC vs ORL - Q3 02:58.00")</f>
        <v>LAC vs ORL - Q3 02:58.00</v>
      </c>
      <c r="L1177">
        <v>2.15</v>
      </c>
      <c r="M1177">
        <v>92.99</v>
      </c>
      <c r="N1177">
        <v>46.64</v>
      </c>
      <c r="O1177">
        <v>-17</v>
      </c>
      <c r="P1177">
        <v>13</v>
      </c>
    </row>
    <row r="1178" spans="1:16" x14ac:dyDescent="0.25">
      <c r="A1178">
        <v>22200649</v>
      </c>
      <c r="B1178">
        <v>2022</v>
      </c>
      <c r="C1178" t="s">
        <v>32</v>
      </c>
      <c r="D1178" t="s">
        <v>19</v>
      </c>
      <c r="E1178">
        <v>80</v>
      </c>
      <c r="F1178">
        <v>79</v>
      </c>
      <c r="G1178">
        <v>3</v>
      </c>
      <c r="H1178" s="1">
        <v>2.9629629629629628E-3</v>
      </c>
      <c r="I1178" t="s">
        <v>23</v>
      </c>
      <c r="J1178" s="2" t="str">
        <f>HYPERLINK("https://www.nba.com/stats/events?CFID=&amp;CFPARAMS=&amp;GameEventID=413&amp;GameID=0022200649&amp;Season=2022-23&amp;flag=1&amp;title=Leonard%20pullup%20Jump%20Shot%20(22%20PTS)", "Pullup Jump Shot (22 PTS)")</f>
        <v>Pullup Jump Shot (22 PTS)</v>
      </c>
      <c r="K1178" s="2" t="str">
        <f>HYPERLINK("https://www.nba.com/game/...-vs-...-0022200649/play-by-play?watchFullGame=true", "LAC vs HOU - Q3 04:16.00")</f>
        <v>LAC vs HOU - Q3 04:16.00</v>
      </c>
      <c r="L1178">
        <v>4.3</v>
      </c>
      <c r="M1178">
        <v>9.77</v>
      </c>
      <c r="N1178">
        <v>53.43</v>
      </c>
      <c r="O1178">
        <v>-17</v>
      </c>
      <c r="P1178">
        <v>39</v>
      </c>
    </row>
    <row r="1179" spans="1:16" x14ac:dyDescent="0.25">
      <c r="A1179">
        <v>22300486</v>
      </c>
      <c r="B1179">
        <v>2023</v>
      </c>
      <c r="C1179" t="s">
        <v>32</v>
      </c>
      <c r="D1179" t="s">
        <v>47</v>
      </c>
      <c r="E1179">
        <v>29</v>
      </c>
      <c r="F1179">
        <v>30</v>
      </c>
      <c r="G1179">
        <v>2</v>
      </c>
      <c r="H1179" s="1">
        <v>7.5462962962962966E-3</v>
      </c>
      <c r="I1179" t="s">
        <v>23</v>
      </c>
      <c r="J1179" s="2" t="str">
        <f>HYPERLINK("https://www.nba.com/stats/events?CFID=&amp;CFPARAMS=&amp;GameEventID=160&amp;GameID=0022300486&amp;Season=2023-24&amp;flag=1&amp;title=Leonard%20Layup%20(4%20PTS)%20(R.%20Westbrook%203%20AST)", "Layup (4 PTS) (R. Westbrook 3 AST)")</f>
        <v>Layup (4 PTS) (R. Westbrook 3 AST)</v>
      </c>
      <c r="K1179" s="2" t="str">
        <f>HYPERLINK("https://www.nba.com/game/...-vs-...-0022300486/play-by-play?watchFullGame=true", "LAC vs NOP - Q2 10:52.00")</f>
        <v>LAC vs NOP - Q2 10:52.00</v>
      </c>
      <c r="L1179">
        <v>1.72</v>
      </c>
      <c r="M1179">
        <v>94.43</v>
      </c>
      <c r="N1179">
        <v>46.57</v>
      </c>
      <c r="O1179">
        <v>-17</v>
      </c>
      <c r="P1179">
        <v>46</v>
      </c>
    </row>
    <row r="1180" spans="1:16" x14ac:dyDescent="0.25">
      <c r="A1180">
        <v>22300127</v>
      </c>
      <c r="B1180">
        <v>2023</v>
      </c>
      <c r="C1180" t="s">
        <v>32</v>
      </c>
      <c r="D1180" t="s">
        <v>44</v>
      </c>
      <c r="E1180">
        <v>124</v>
      </c>
      <c r="F1180">
        <v>121</v>
      </c>
      <c r="G1180">
        <v>5</v>
      </c>
      <c r="H1180" s="1">
        <v>1.25E-3</v>
      </c>
      <c r="I1180" t="s">
        <v>23</v>
      </c>
      <c r="J1180" s="2" t="str">
        <f>HYPERLINK("https://www.nba.com/stats/events?CFID=&amp;CFPARAMS=&amp;GameEventID=728&amp;GameID=0022300127&amp;Season=2023-24&amp;flag=1&amp;title=Leonard%206'%20driving%20Hook%20(34%20PTS)%20(R.%20Westbrook%207%20AST)", "6' driving Hook (34 PTS) (R. Westbrook 7 AST)")</f>
        <v>6' driving Hook (34 PTS) (R. Westbrook 7 AST)</v>
      </c>
      <c r="K1180" s="2" t="str">
        <f>HYPERLINK("https://www.nba.com/game/...-vs-...-0022300127/play-by-play?watchFullGame=true", "LAC vs LAL - Q5 01:48.00")</f>
        <v>LAC vs LAL - Q5 01:48.00</v>
      </c>
      <c r="L1180">
        <v>6.4</v>
      </c>
      <c r="M1180">
        <v>12.14</v>
      </c>
      <c r="N1180">
        <v>53.43</v>
      </c>
      <c r="O1180">
        <v>-17</v>
      </c>
      <c r="P1180">
        <v>62</v>
      </c>
    </row>
    <row r="1181" spans="1:16" x14ac:dyDescent="0.25">
      <c r="A1181">
        <v>22200918</v>
      </c>
      <c r="B1181">
        <v>2022</v>
      </c>
      <c r="C1181" t="s">
        <v>32</v>
      </c>
      <c r="D1181" t="s">
        <v>19</v>
      </c>
      <c r="E1181">
        <v>57</v>
      </c>
      <c r="F1181">
        <v>44</v>
      </c>
      <c r="G1181">
        <v>2</v>
      </c>
      <c r="H1181" s="1">
        <v>2.662037037037037E-3</v>
      </c>
      <c r="I1181" t="s">
        <v>23</v>
      </c>
      <c r="J1181" s="2" t="str">
        <f>HYPERLINK("https://www.nba.com/stats/events?CFID=&amp;CFPARAMS=&amp;GameEventID=253&amp;GameID=0022200918&amp;Season=2022-23&amp;flag=1&amp;title=Leonard%207'%20driving%20floating%20Jump%20Shot%20(9%20PTS)%20(P.%20George%202%20AST)", "7' driving floating Jump Shot (9 PTS) (P. George 2 AST)")</f>
        <v>7' driving floating Jump Shot (9 PTS) (P. George 2 AST)</v>
      </c>
      <c r="K1181" s="2" t="str">
        <f>HYPERLINK("https://www.nba.com/game/...-vs-...-0022200918/play-by-play?watchFullGame=true", "LAC vs DEN - Q2 03:50.00")</f>
        <v>LAC vs DEN - Q2 03:50.00</v>
      </c>
      <c r="L1181">
        <v>7.11</v>
      </c>
      <c r="M1181">
        <v>87.07</v>
      </c>
      <c r="N1181">
        <v>46.57</v>
      </c>
      <c r="O1181">
        <v>-17</v>
      </c>
      <c r="P1181">
        <v>69</v>
      </c>
    </row>
    <row r="1182" spans="1:16" x14ac:dyDescent="0.25">
      <c r="A1182">
        <v>21500546</v>
      </c>
      <c r="B1182">
        <v>2015</v>
      </c>
      <c r="C1182" t="s">
        <v>32</v>
      </c>
      <c r="D1182" t="s">
        <v>37</v>
      </c>
      <c r="E1182">
        <v>22</v>
      </c>
      <c r="F1182">
        <v>25</v>
      </c>
      <c r="G1182">
        <v>1</v>
      </c>
      <c r="H1182" s="1">
        <v>6.9444444444444447E-4</v>
      </c>
      <c r="I1182" t="s">
        <v>18</v>
      </c>
      <c r="J1182" s="2" t="str">
        <f>HYPERLINK("https://www.nba.com/stats/events?CFID=&amp;CFPARAMS=&amp;GameEventID=114&amp;GameID=0021500546&amp;Season=2015-16&amp;flag=1&amp;title=Leonard%208'%20Floating%20Jump%20Shot%20(9%20PTS)%20(Mills%201%20AST)", "Leonard 8' Floating Jump Shot (9 PTS) (Mills 1 AST)")</f>
        <v>Leonard 8' Floating Jump Shot (9 PTS) (Mills 1 AST)</v>
      </c>
      <c r="K1182" s="2" t="str">
        <f>HYPERLINK("https://www.nba.com/game/...-vs-...-0021500546/play-by-play?watchFullGame=true", "SAS vs NYK - Q1 01:00.00")</f>
        <v>SAS vs NYK - Q1 01:00.00</v>
      </c>
      <c r="L1182">
        <v>8</v>
      </c>
      <c r="M1182">
        <v>-17</v>
      </c>
      <c r="N1182">
        <v>80</v>
      </c>
      <c r="O1182">
        <v>-17</v>
      </c>
      <c r="P1182">
        <v>80</v>
      </c>
    </row>
    <row r="1183" spans="1:16" x14ac:dyDescent="0.25">
      <c r="A1183">
        <v>41600232</v>
      </c>
      <c r="B1183" t="s">
        <v>30</v>
      </c>
      <c r="C1183" t="s">
        <v>32</v>
      </c>
      <c r="D1183" t="s">
        <v>29</v>
      </c>
      <c r="E1183">
        <v>37</v>
      </c>
      <c r="F1183">
        <v>33</v>
      </c>
      <c r="G1183">
        <v>2</v>
      </c>
      <c r="H1183" s="1">
        <v>7.4999999999999997E-3</v>
      </c>
      <c r="I1183" t="s">
        <v>18</v>
      </c>
      <c r="J1183" s="2" t="str">
        <f>HYPERLINK("https://www.nba.com/stats/events?CFID=&amp;CFPARAMS=&amp;GameEventID=115&amp;GameID=0041600232&amp;Season=2016-17&amp;flag=1&amp;title=Leonard%209'%20Pullup%20Jump%20Shot%20(10%20PTS)%20(Mills%202%20AST)", "Leonard 9' Pullup Jump Shot (10 PTS) (Mills 2 AST)")</f>
        <v>Leonard 9' Pullup Jump Shot (10 PTS) (Mills 2 AST)</v>
      </c>
      <c r="K1183" s="2" t="str">
        <f>HYPERLINK("https://www.nba.com/game/...-vs-...-0041600232/play-by-play?watchFullGame=true", "SAS vs HOU - Q2 10:48.00")</f>
        <v>SAS vs HOU - Q2 10:48.00</v>
      </c>
      <c r="L1183">
        <v>9</v>
      </c>
      <c r="M1183">
        <v>-17</v>
      </c>
      <c r="N1183">
        <v>85</v>
      </c>
      <c r="O1183">
        <v>-17</v>
      </c>
      <c r="P1183">
        <v>85</v>
      </c>
    </row>
    <row r="1184" spans="1:16" x14ac:dyDescent="0.25">
      <c r="A1184">
        <v>21900653</v>
      </c>
      <c r="B1184">
        <v>2019</v>
      </c>
      <c r="C1184" t="s">
        <v>32</v>
      </c>
      <c r="D1184" t="s">
        <v>22</v>
      </c>
      <c r="E1184">
        <v>96</v>
      </c>
      <c r="F1184">
        <v>96</v>
      </c>
      <c r="G1184">
        <v>4</v>
      </c>
      <c r="H1184" s="1">
        <v>2.673611111111111E-3</v>
      </c>
      <c r="I1184" t="s">
        <v>23</v>
      </c>
      <c r="J1184" s="2" t="str">
        <f>HYPERLINK("https://www.nba.com/stats/events?CFID=&amp;CFPARAMS=&amp;GameEventID=650&amp;GameID=0021900653&amp;Season=2019-20&amp;flag=1&amp;title=Leonard%2012'%20jumpshot%20(31%20PTS)", "12' jumpshot (31 PTS)")</f>
        <v>12' jumpshot (31 PTS)</v>
      </c>
      <c r="K1184" s="2" t="str">
        <f>HYPERLINK("https://www.nba.com/game/...-vs-...-0021900653/play-by-play?watchFullGame=true", "LAC vs DAL - Q4 03:51.00")</f>
        <v>LAC vs DAL - Q4 03:51.00</v>
      </c>
      <c r="L1184">
        <v>11.65</v>
      </c>
      <c r="M1184">
        <v>82.74</v>
      </c>
      <c r="N1184">
        <v>46.64</v>
      </c>
      <c r="O1184">
        <v>-17</v>
      </c>
      <c r="P1184">
        <v>110</v>
      </c>
    </row>
    <row r="1185" spans="1:16" x14ac:dyDescent="0.25">
      <c r="A1185">
        <v>21601209</v>
      </c>
      <c r="B1185">
        <v>2016</v>
      </c>
      <c r="C1185" t="s">
        <v>32</v>
      </c>
      <c r="D1185" t="s">
        <v>29</v>
      </c>
      <c r="E1185">
        <v>60</v>
      </c>
      <c r="F1185">
        <v>61</v>
      </c>
      <c r="G1185">
        <v>3</v>
      </c>
      <c r="H1185" s="1">
        <v>4.6527777777777774E-3</v>
      </c>
      <c r="I1185" t="s">
        <v>18</v>
      </c>
      <c r="J1185" s="2" t="str">
        <f>HYPERLINK("https://www.nba.com/stats/events?CFID=&amp;CFPARAMS=&amp;GameEventID=297&amp;GameID=0021601209&amp;Season=2016-17&amp;flag=1&amp;title=Leonard%2013'%20Pullup%20Jump%20Shot%20(16%20PTS)", "Leonard 13' Pullup Jump Shot (16 PTS)")</f>
        <v>Leonard 13' Pullup Jump Shot (16 PTS)</v>
      </c>
      <c r="K1185" s="2" t="str">
        <f>HYPERLINK("https://www.nba.com/game/...-vs-...-0021601209/play-by-play?watchFullGame=true", "SAS vs POR - Q3 06:42.00")</f>
        <v>SAS vs POR - Q3 06:42.00</v>
      </c>
      <c r="L1185">
        <v>13</v>
      </c>
      <c r="M1185">
        <v>-17</v>
      </c>
      <c r="N1185">
        <v>131</v>
      </c>
      <c r="O1185">
        <v>-17</v>
      </c>
      <c r="P1185">
        <v>131</v>
      </c>
    </row>
    <row r="1186" spans="1:16" x14ac:dyDescent="0.25">
      <c r="A1186">
        <v>22200352</v>
      </c>
      <c r="B1186">
        <v>2022</v>
      </c>
      <c r="C1186" t="s">
        <v>32</v>
      </c>
      <c r="D1186" t="s">
        <v>19</v>
      </c>
      <c r="E1186">
        <v>56</v>
      </c>
      <c r="F1186">
        <v>65</v>
      </c>
      <c r="G1186">
        <v>3</v>
      </c>
      <c r="H1186" s="1">
        <v>7.6620370370370366E-3</v>
      </c>
      <c r="I1186" t="s">
        <v>23</v>
      </c>
      <c r="J1186" s="2" t="str">
        <f>HYPERLINK("https://www.nba.com/stats/events?CFID=&amp;CFPARAMS=&amp;GameEventID=357&amp;GameID=0022200352&amp;Season=2022-23&amp;flag=1&amp;title=Leonard%2014'%20fadeaway%20Jump%20Shot%20(8%20PTS)%20(M.%20Morris%20Sr.%202%20AST)", "14' fadeaway Jump Shot (8 PTS) (M. Morris Sr. 2 AST)")</f>
        <v>14' fadeaway Jump Shot (8 PTS) (M. Morris Sr. 2 AST)</v>
      </c>
      <c r="K1186" s="2" t="str">
        <f>HYPERLINK("https://www.nba.com/game/...-vs-...-0022200352/play-by-play?watchFullGame=true", "LAC vs CHA - Q3 11:02.00")</f>
        <v>LAC vs CHA - Q3 11:02.00</v>
      </c>
      <c r="L1186">
        <v>14.81</v>
      </c>
      <c r="M1186">
        <v>21.24</v>
      </c>
      <c r="N1186">
        <v>53.43</v>
      </c>
      <c r="O1186">
        <v>-17</v>
      </c>
      <c r="P1186">
        <v>147</v>
      </c>
    </row>
    <row r="1187" spans="1:16" x14ac:dyDescent="0.25">
      <c r="A1187">
        <v>21900251</v>
      </c>
      <c r="B1187">
        <v>2019</v>
      </c>
      <c r="C1187" t="s">
        <v>32</v>
      </c>
      <c r="D1187" t="s">
        <v>22</v>
      </c>
      <c r="E1187">
        <v>53</v>
      </c>
      <c r="F1187">
        <v>73</v>
      </c>
      <c r="G1187">
        <v>3</v>
      </c>
      <c r="H1187" s="1">
        <v>6.1689814814814819E-3</v>
      </c>
      <c r="I1187" t="s">
        <v>23</v>
      </c>
      <c r="J1187" s="2" t="str">
        <f>HYPERLINK("https://www.nba.com/stats/events?CFID=&amp;CFPARAMS=&amp;GameEventID=411&amp;GameID=0021900251&amp;Season=2019-20&amp;flag=1&amp;title=Leonard%2016'%20jumpshot%20(15%20PTS)", "16' jumpshot (15 PTS)")</f>
        <v>16' jumpshot (15 PTS)</v>
      </c>
      <c r="K1187" s="2" t="str">
        <f>HYPERLINK("https://www.nba.com/game/...-vs-...-0021900251/play-by-play?watchFullGame=true", "LAC vs DAL - Q3 08:53.00")</f>
        <v>LAC vs DAL - Q3 08:53.00</v>
      </c>
      <c r="L1187">
        <v>15.82</v>
      </c>
      <c r="M1187">
        <v>78.27</v>
      </c>
      <c r="N1187">
        <v>46.64</v>
      </c>
      <c r="O1187">
        <v>-17</v>
      </c>
      <c r="P1187">
        <v>152</v>
      </c>
    </row>
    <row r="1188" spans="1:16" x14ac:dyDescent="0.25">
      <c r="A1188">
        <v>21901258</v>
      </c>
      <c r="B1188">
        <v>2019</v>
      </c>
      <c r="C1188" t="s">
        <v>16</v>
      </c>
      <c r="D1188" t="s">
        <v>22</v>
      </c>
      <c r="E1188">
        <v>87</v>
      </c>
      <c r="F1188">
        <v>88</v>
      </c>
      <c r="G1188">
        <v>3</v>
      </c>
      <c r="H1188" s="1">
        <v>1.8634259259259259E-3</v>
      </c>
      <c r="I1188" t="s">
        <v>23</v>
      </c>
      <c r="J1188" s="2" t="str">
        <f>HYPERLINK("https://www.nba.com/stats/events?CFID=&amp;CFPARAMS=&amp;GameEventID=421&amp;GameID=0021901258&amp;Season=2019-20&amp;flag=1&amp;title=Leonard%2026'%203PT%20%20(19%20PTS)%20(L.%20Williams%204%20AST)", "26' 3PT  (19 PTS) (L. Williams 4 AST)")</f>
        <v>26' 3PT  (19 PTS) (L. Williams 4 AST)</v>
      </c>
      <c r="K1188" s="2" t="str">
        <f>HYPERLINK("https://www.nba.com/game/...-vs-...-0021901258/play-by-play?watchFullGame=true", "LAC vs PHX - Q3 02:41.00")</f>
        <v>LAC vs PHX - Q3 02:41.00</v>
      </c>
      <c r="L1188">
        <v>26.15</v>
      </c>
      <c r="M1188">
        <v>67.23</v>
      </c>
      <c r="N1188">
        <v>46.64</v>
      </c>
      <c r="O1188">
        <v>-17</v>
      </c>
      <c r="P1188">
        <v>256</v>
      </c>
    </row>
    <row r="1189" spans="1:16" x14ac:dyDescent="0.25">
      <c r="A1189">
        <v>22000509</v>
      </c>
      <c r="B1189">
        <v>2020</v>
      </c>
      <c r="C1189" t="s">
        <v>16</v>
      </c>
      <c r="D1189" t="s">
        <v>19</v>
      </c>
      <c r="E1189">
        <v>47</v>
      </c>
      <c r="F1189">
        <v>61</v>
      </c>
      <c r="G1189">
        <v>2</v>
      </c>
      <c r="H1189" s="1">
        <v>8.3333333333333339E-4</v>
      </c>
      <c r="I1189" t="s">
        <v>23</v>
      </c>
      <c r="J1189" s="2" t="str">
        <f>HYPERLINK("https://www.nba.com/stats/events?CFID=&amp;CFPARAMS=&amp;GameEventID=317&amp;GameID=0022000509&amp;Season=2020-21&amp;flag=1&amp;title=Leonard%2026'%203PT%20%20(16%20PTS)%20(Ibaka%203%20AST)", "26' 3PT  (16 PTS) (S. Ibaka 3 AST)")</f>
        <v>26' 3PT  (16 PTS) (S. Ibaka 3 AST)</v>
      </c>
      <c r="K1189" s="2" t="str">
        <f>HYPERLINK("https://www.nba.com/game/...-vs-...-0022000509/play-by-play?watchFullGame=true", "LAC vs MEM - Q2 01:12.00")</f>
        <v>LAC vs MEM - Q2 01:12.00</v>
      </c>
      <c r="L1189">
        <v>26.84</v>
      </c>
      <c r="M1189">
        <v>65.92</v>
      </c>
      <c r="N1189">
        <v>46.64</v>
      </c>
      <c r="O1189">
        <v>-17</v>
      </c>
      <c r="P1189">
        <v>268</v>
      </c>
    </row>
    <row r="1190" spans="1:16" x14ac:dyDescent="0.25">
      <c r="A1190">
        <v>21301084</v>
      </c>
      <c r="B1190">
        <v>2013</v>
      </c>
      <c r="C1190" t="s">
        <v>32</v>
      </c>
      <c r="D1190" t="s">
        <v>57</v>
      </c>
      <c r="E1190">
        <v>29</v>
      </c>
      <c r="F1190">
        <v>38</v>
      </c>
      <c r="G1190">
        <v>2</v>
      </c>
      <c r="H1190" s="1">
        <v>5.7523148148148151E-3</v>
      </c>
      <c r="I1190" t="s">
        <v>18</v>
      </c>
      <c r="J1190" s="2" t="str">
        <f>HYPERLINK("https://www.nba.com/stats/events?CFID=&amp;CFPARAMS=&amp;GameEventID=160&amp;GameID=0021301084&amp;Season=2013-14&amp;flag=1&amp;title=Leonard%202'%20Layup%20(4%20PTS)%20(Splitter%202%20AST)", "Leonard 2' Layup (4 PTS) (Splitter 2 AST)")</f>
        <v>Leonard 2' Layup (4 PTS) (Splitter 2 AST)</v>
      </c>
      <c r="K1190" s="2" t="str">
        <f>HYPERLINK("https://www.nba.com/game/...-vs-...-0021301084/play-by-play?watchFullGame=true", "SAS vs DEN - Q2 08:17.00")</f>
        <v>SAS vs DEN - Q2 08:17.00</v>
      </c>
      <c r="L1190">
        <v>2</v>
      </c>
      <c r="M1190">
        <v>-16</v>
      </c>
      <c r="N1190">
        <v>4</v>
      </c>
      <c r="O1190">
        <v>-16</v>
      </c>
      <c r="P1190">
        <v>4</v>
      </c>
    </row>
    <row r="1191" spans="1:16" x14ac:dyDescent="0.25">
      <c r="A1191">
        <v>41300405</v>
      </c>
      <c r="B1191" t="s">
        <v>26</v>
      </c>
      <c r="C1191" t="s">
        <v>32</v>
      </c>
      <c r="D1191" t="s">
        <v>60</v>
      </c>
      <c r="E1191">
        <v>24</v>
      </c>
      <c r="F1191">
        <v>29</v>
      </c>
      <c r="G1191">
        <v>2</v>
      </c>
      <c r="H1191" s="1">
        <v>8.2060185185185187E-3</v>
      </c>
      <c r="I1191" t="s">
        <v>18</v>
      </c>
      <c r="J1191" s="2" t="str">
        <f>HYPERLINK("https://www.nba.com/stats/events?CFID=&amp;CFPARAMS=&amp;GameEventID=137&amp;GameID=0041300405&amp;Season=2013-14&amp;flag=1&amp;title=Leonard%202'%20Alley%20Oop%20Dunk%20(10%20PTS)%20(Diaw%201%20AST)", "Leonard 2' Alley Oop Dunk (10 PTS) (Diaw 1 AST)")</f>
        <v>Leonard 2' Alley Oop Dunk (10 PTS) (Diaw 1 AST)</v>
      </c>
      <c r="K1191" s="2" t="str">
        <f>HYPERLINK("https://www.nba.com/game/...-vs-...-0041300405/play-by-play?watchFullGame=true", "SAS vs MIA - Q2 11:49.00")</f>
        <v>SAS vs MIA - Q2 11:49.00</v>
      </c>
      <c r="L1191">
        <v>2</v>
      </c>
      <c r="M1191">
        <v>-16</v>
      </c>
      <c r="N1191">
        <v>6</v>
      </c>
      <c r="O1191">
        <v>-16</v>
      </c>
      <c r="P1191">
        <v>6</v>
      </c>
    </row>
    <row r="1192" spans="1:16" x14ac:dyDescent="0.25">
      <c r="A1192">
        <v>21500909</v>
      </c>
      <c r="B1192">
        <v>2015</v>
      </c>
      <c r="C1192" t="s">
        <v>32</v>
      </c>
      <c r="D1192" t="s">
        <v>57</v>
      </c>
      <c r="E1192">
        <v>68</v>
      </c>
      <c r="F1192">
        <v>68</v>
      </c>
      <c r="G1192">
        <v>3</v>
      </c>
      <c r="H1192" s="1">
        <v>3.1018518518518521E-4</v>
      </c>
      <c r="I1192" t="s">
        <v>18</v>
      </c>
      <c r="J1192" s="2" t="str">
        <f>HYPERLINK("https://www.nba.com/stats/events?CFID=&amp;CFPARAMS=&amp;GameEventID=338&amp;GameID=0021500909&amp;Season=2015-16&amp;flag=1&amp;title=Leonard%202'%20Layup%20(23%20PTS)%20(Anderson%201%20AST)", "Leonard 2' Layup (23 PTS) (Anderson 1 AST)")</f>
        <v>Leonard 2' Layup (23 PTS) (Anderson 1 AST)</v>
      </c>
      <c r="K1192" s="2" t="str">
        <f>HYPERLINK("https://www.nba.com/game/...-vs-...-0021500909/play-by-play?watchFullGame=true", "SAS vs NOP - Q3 00:26.80")</f>
        <v>SAS vs NOP - Q3 00:26.80</v>
      </c>
      <c r="L1192">
        <v>2</v>
      </c>
      <c r="M1192">
        <v>-16</v>
      </c>
      <c r="N1192">
        <v>7</v>
      </c>
      <c r="O1192">
        <v>-16</v>
      </c>
      <c r="P1192">
        <v>7</v>
      </c>
    </row>
    <row r="1193" spans="1:16" x14ac:dyDescent="0.25">
      <c r="A1193">
        <v>21600543</v>
      </c>
      <c r="B1193">
        <v>2016</v>
      </c>
      <c r="C1193" t="s">
        <v>32</v>
      </c>
      <c r="D1193" t="s">
        <v>61</v>
      </c>
      <c r="E1193">
        <v>72</v>
      </c>
      <c r="F1193">
        <v>90</v>
      </c>
      <c r="G1193">
        <v>3</v>
      </c>
      <c r="H1193" s="1">
        <v>4.9768518518518521E-4</v>
      </c>
      <c r="I1193" t="s">
        <v>18</v>
      </c>
      <c r="J1193" s="2" t="str">
        <f>HYPERLINK("https://www.nba.com/stats/events?CFID=&amp;CFPARAMS=&amp;GameEventID=353&amp;GameID=0021600543&amp;Season=2016-17&amp;flag=1&amp;title=Leonard%202'%20Driving%20Finger%20Roll%20Layup%20(15%20PTS)", "Leonard 2' Driving Finger Roll Layup (15 PTS)")</f>
        <v>Leonard 2' Driving Finger Roll Layup (15 PTS)</v>
      </c>
      <c r="K1193" s="2" t="str">
        <f>HYPERLINK("https://www.nba.com/game/...-vs-...-0021600543/play-by-play?watchFullGame=true", "SAS vs DEN - Q3 00:43.00")</f>
        <v>SAS vs DEN - Q3 00:43.00</v>
      </c>
      <c r="L1193">
        <v>2</v>
      </c>
      <c r="M1193">
        <v>-16</v>
      </c>
      <c r="N1193">
        <v>8</v>
      </c>
      <c r="O1193">
        <v>-16</v>
      </c>
      <c r="P1193">
        <v>8</v>
      </c>
    </row>
    <row r="1194" spans="1:16" x14ac:dyDescent="0.25">
      <c r="A1194">
        <v>22000061</v>
      </c>
      <c r="B1194">
        <v>2020</v>
      </c>
      <c r="C1194" t="s">
        <v>32</v>
      </c>
      <c r="D1194" t="s">
        <v>47</v>
      </c>
      <c r="E1194">
        <v>78</v>
      </c>
      <c r="F1194">
        <v>57</v>
      </c>
      <c r="G1194">
        <v>3</v>
      </c>
      <c r="H1194" s="1">
        <v>8.0208333333333329E-3</v>
      </c>
      <c r="I1194" t="s">
        <v>23</v>
      </c>
      <c r="J1194" s="2" t="str">
        <f>HYPERLINK("https://www.nba.com/stats/events?CFID=&amp;CFPARAMS=&amp;GameEventID=320&amp;GameID=0022000061&amp;Season=2020-21&amp;flag=1&amp;title=Leonard%20Layup%20(14%20PTS)", "Layup (14 PTS)")</f>
        <v>Layup (14 PTS)</v>
      </c>
      <c r="K1194" s="2" t="str">
        <f>HYPERLINK("https://www.nba.com/game/...-vs-...-0022000061/play-by-play?watchFullGame=true", "LAC vs POR - Q3 11:33.00")</f>
        <v>LAC vs POR - Q3 11:33.00</v>
      </c>
      <c r="L1194">
        <v>1.98</v>
      </c>
      <c r="M1194">
        <v>93.12</v>
      </c>
      <c r="N1194">
        <v>46.88</v>
      </c>
      <c r="O1194">
        <v>-16</v>
      </c>
      <c r="P1194">
        <v>12</v>
      </c>
    </row>
    <row r="1195" spans="1:16" x14ac:dyDescent="0.25">
      <c r="A1195">
        <v>41800114</v>
      </c>
      <c r="B1195" t="s">
        <v>20</v>
      </c>
      <c r="C1195" t="s">
        <v>32</v>
      </c>
      <c r="D1195" t="s">
        <v>49</v>
      </c>
      <c r="E1195">
        <v>13</v>
      </c>
      <c r="F1195">
        <v>16</v>
      </c>
      <c r="G1195">
        <v>1</v>
      </c>
      <c r="H1195" s="1">
        <v>4.2476851851851851E-3</v>
      </c>
      <c r="I1195" t="s">
        <v>21</v>
      </c>
      <c r="J1195" s="2" t="str">
        <f>HYPERLINK("https://www.nba.com/stats/events?CFID=&amp;CFPARAMS=&amp;GameEventID=65&amp;GameID=0041800114&amp;Season=2018-19&amp;flag=1&amp;title=Leonard%202'%20Driving%20Layup%20(6%20PTS)", "Leonard 2' Driving Layup (6 PTS)")</f>
        <v>Leonard 2' Driving Layup (6 PTS)</v>
      </c>
      <c r="K1195" s="2" t="str">
        <f>HYPERLINK("https://www.nba.com/game/...-vs-...-0041800114/play-by-play?watchFullGame=true", "TOR vs ORL - Q1 06:07.00")</f>
        <v>TOR vs ORL - Q1 06:07.00</v>
      </c>
      <c r="L1195">
        <v>2</v>
      </c>
      <c r="M1195">
        <v>-16</v>
      </c>
      <c r="N1195">
        <v>12</v>
      </c>
      <c r="O1195">
        <v>-16</v>
      </c>
      <c r="P1195">
        <v>12</v>
      </c>
    </row>
    <row r="1196" spans="1:16" x14ac:dyDescent="0.25">
      <c r="A1196">
        <v>21300013</v>
      </c>
      <c r="B1196">
        <v>2013</v>
      </c>
      <c r="C1196" t="s">
        <v>32</v>
      </c>
      <c r="D1196" t="s">
        <v>57</v>
      </c>
      <c r="E1196">
        <v>94</v>
      </c>
      <c r="F1196">
        <v>84</v>
      </c>
      <c r="G1196">
        <v>4</v>
      </c>
      <c r="H1196" s="1">
        <v>2.4189814814814816E-3</v>
      </c>
      <c r="I1196" t="s">
        <v>18</v>
      </c>
      <c r="J1196" s="2" t="str">
        <f>HYPERLINK("https://www.nba.com/stats/events?CFID=&amp;CFPARAMS=&amp;GameEventID=456&amp;GameID=0021300013&amp;Season=2013-14&amp;flag=1&amp;title=Leonard%202'%20Layup%20(11%20PTS)", "Leonard 2' Layup (11 PTS)")</f>
        <v>Leonard 2' Layup (11 PTS)</v>
      </c>
      <c r="K1196" s="2" t="str">
        <f>HYPERLINK("https://www.nba.com/game/...-vs-...-0021300013/play-by-play?watchFullGame=true", "SAS vs MEM - Q4 03:29.00")</f>
        <v>SAS vs MEM - Q4 03:29.00</v>
      </c>
      <c r="L1196">
        <v>2</v>
      </c>
      <c r="M1196">
        <v>-16</v>
      </c>
      <c r="N1196">
        <v>15</v>
      </c>
      <c r="O1196">
        <v>-16</v>
      </c>
      <c r="P1196">
        <v>15</v>
      </c>
    </row>
    <row r="1197" spans="1:16" x14ac:dyDescent="0.25">
      <c r="A1197">
        <v>21400772</v>
      </c>
      <c r="B1197">
        <v>2014</v>
      </c>
      <c r="C1197" t="s">
        <v>32</v>
      </c>
      <c r="D1197" t="s">
        <v>61</v>
      </c>
      <c r="E1197">
        <v>15</v>
      </c>
      <c r="F1197">
        <v>9</v>
      </c>
      <c r="G1197">
        <v>1</v>
      </c>
      <c r="H1197" s="1">
        <v>3.8425925925925928E-3</v>
      </c>
      <c r="I1197" t="s">
        <v>18</v>
      </c>
      <c r="J1197" s="2" t="str">
        <f>HYPERLINK("https://www.nba.com/stats/events?CFID=&amp;CFPARAMS=&amp;GameEventID=73&amp;GameID=0021400772&amp;Season=2014-15&amp;flag=1&amp;title=Leonard%202'%20Driving%20Finger%20Roll%20Layup%20(2%20PTS)%20(Ginobili%201%20AST)", "Leonard 2' Driving Finger Roll Layup (2 PTS) (Ginobili 1 AST)")</f>
        <v>Leonard 2' Driving Finger Roll Layup (2 PTS) (Ginobili 1 AST)</v>
      </c>
      <c r="K1197" s="2" t="str">
        <f>HYPERLINK("https://www.nba.com/game/...-vs-...-0021400772/play-by-play?watchFullGame=true", "SAS vs TOR - Q1 05:32.00")</f>
        <v>SAS vs TOR - Q1 05:32.00</v>
      </c>
      <c r="L1197">
        <v>2</v>
      </c>
      <c r="M1197">
        <v>-16</v>
      </c>
      <c r="N1197">
        <v>15</v>
      </c>
      <c r="O1197">
        <v>-16</v>
      </c>
      <c r="P1197">
        <v>15</v>
      </c>
    </row>
    <row r="1198" spans="1:16" x14ac:dyDescent="0.25">
      <c r="A1198">
        <v>21600206</v>
      </c>
      <c r="B1198">
        <v>2016</v>
      </c>
      <c r="C1198" t="s">
        <v>32</v>
      </c>
      <c r="D1198" t="s">
        <v>57</v>
      </c>
      <c r="E1198">
        <v>8</v>
      </c>
      <c r="F1198">
        <v>12</v>
      </c>
      <c r="G1198">
        <v>1</v>
      </c>
      <c r="H1198" s="1">
        <v>4.5833333333333334E-3</v>
      </c>
      <c r="I1198" t="s">
        <v>18</v>
      </c>
      <c r="J1198" s="2" t="str">
        <f>HYPERLINK("https://www.nba.com/stats/events?CFID=&amp;CFPARAMS=&amp;GameEventID=31&amp;GameID=0021600206&amp;Season=2016-17&amp;flag=1&amp;title=Leonard%202'%20Layup%20(4%20PTS)%20(Murray%201%20AST)", "Leonard 2' Layup (4 PTS) (Murray 1 AST)")</f>
        <v>Leonard 2' Layup (4 PTS) (Murray 1 AST)</v>
      </c>
      <c r="K1198" s="2" t="str">
        <f>HYPERLINK("https://www.nba.com/game/...-vs-...-0021600206/play-by-play?watchFullGame=true", "SAS vs DAL - Q1 06:36.00")</f>
        <v>SAS vs DAL - Q1 06:36.00</v>
      </c>
      <c r="L1198">
        <v>2</v>
      </c>
      <c r="M1198">
        <v>-16</v>
      </c>
      <c r="N1198">
        <v>16</v>
      </c>
      <c r="O1198">
        <v>-16</v>
      </c>
      <c r="P1198">
        <v>16</v>
      </c>
    </row>
    <row r="1199" spans="1:16" x14ac:dyDescent="0.25">
      <c r="A1199">
        <v>22300264</v>
      </c>
      <c r="B1199">
        <v>2023</v>
      </c>
      <c r="C1199" t="s">
        <v>32</v>
      </c>
      <c r="D1199" t="s">
        <v>48</v>
      </c>
      <c r="E1199">
        <v>56</v>
      </c>
      <c r="F1199">
        <v>79</v>
      </c>
      <c r="G1199">
        <v>3</v>
      </c>
      <c r="H1199" s="1">
        <v>6.5509259259259262E-3</v>
      </c>
      <c r="I1199" t="s">
        <v>23</v>
      </c>
      <c r="J1199" s="2" t="str">
        <f>HYPERLINK("https://www.nba.com/stats/events?CFID=&amp;CFPARAMS=&amp;GameEventID=381&amp;GameID=0022300264&amp;Season=2023-24&amp;flag=1&amp;title=Leonard%20alley-oop%20DUNK%20(18%20PTS)%20(J.%20Harden%203%20AST)", "Alley-oop DUNK (18 PTS) (J. Harden 3 AST)")</f>
        <v>Alley-oop DUNK (18 PTS) (J. Harden 3 AST)</v>
      </c>
      <c r="K1199" s="2" t="str">
        <f>HYPERLINK("https://www.nba.com/game/...-vs-...-0022300264/play-by-play?watchFullGame=true", "LAC vs SAC - Q3 09:26.00")</f>
        <v>LAC vs SAC - Q3 09:26.00</v>
      </c>
      <c r="L1199">
        <v>2.33</v>
      </c>
      <c r="M1199">
        <v>92.59</v>
      </c>
      <c r="N1199">
        <v>46.81</v>
      </c>
      <c r="O1199">
        <v>-16</v>
      </c>
      <c r="P1199">
        <v>17</v>
      </c>
    </row>
    <row r="1200" spans="1:16" x14ac:dyDescent="0.25">
      <c r="A1200">
        <v>22300731</v>
      </c>
      <c r="B1200">
        <v>2023</v>
      </c>
      <c r="C1200" t="s">
        <v>32</v>
      </c>
      <c r="D1200" t="s">
        <v>48</v>
      </c>
      <c r="E1200">
        <v>60</v>
      </c>
      <c r="F1200">
        <v>64</v>
      </c>
      <c r="G1200">
        <v>3</v>
      </c>
      <c r="H1200" s="1">
        <v>3.5879629629629629E-3</v>
      </c>
      <c r="I1200" t="s">
        <v>23</v>
      </c>
      <c r="J1200" s="2" t="str">
        <f>HYPERLINK("https://www.nba.com/stats/events?CFID=&amp;CFPARAMS=&amp;GameEventID=391&amp;GameID=0022300731&amp;Season=2023-24&amp;flag=1&amp;title=Leonard%20running%20DUNK%20(11%20PTS)", "Running DUNK (11 PTS)")</f>
        <v>Running DUNK (11 PTS)</v>
      </c>
      <c r="K1200" s="2" t="str">
        <f>HYPERLINK("https://www.nba.com/game/...-vs-...-0022300731/play-by-play?watchFullGame=true", "LAC vs NOP - Q3 05:10.00")</f>
        <v>LAC vs NOP - Q3 05:10.00</v>
      </c>
      <c r="L1200">
        <v>2.75</v>
      </c>
      <c r="M1200">
        <v>92.03</v>
      </c>
      <c r="N1200">
        <v>46.81</v>
      </c>
      <c r="O1200">
        <v>-16</v>
      </c>
      <c r="P1200">
        <v>22</v>
      </c>
    </row>
    <row r="1201" spans="1:16" x14ac:dyDescent="0.25">
      <c r="A1201">
        <v>21500872</v>
      </c>
      <c r="B1201">
        <v>2015</v>
      </c>
      <c r="C1201" t="s">
        <v>32</v>
      </c>
      <c r="D1201" t="s">
        <v>24</v>
      </c>
      <c r="E1201">
        <v>0</v>
      </c>
      <c r="F1201">
        <v>6</v>
      </c>
      <c r="G1201">
        <v>1</v>
      </c>
      <c r="H1201" s="1">
        <v>5.9259259259259256E-3</v>
      </c>
      <c r="I1201" t="s">
        <v>18</v>
      </c>
      <c r="J1201" s="2" t="str">
        <f>HYPERLINK("https://www.nba.com/stats/events?CFID=&amp;CFPARAMS=&amp;GameEventID=26&amp;GameID=0021500872&amp;Season=2015-16&amp;flag=1&amp;title=Leonard%208'%20Turnaround%20Jump%20Shot%20(2%20PTS)", "Leonard 8' Turnaround Jump Shot (2 PTS)")</f>
        <v>Leonard 8' Turnaround Jump Shot (2 PTS)</v>
      </c>
      <c r="K1201" s="2" t="str">
        <f>HYPERLINK("https://www.nba.com/game/...-vs-...-0021500872/play-by-play?watchFullGame=true", "SAS vs HOU - Q1 08:32.00")</f>
        <v>SAS vs HOU - Q1 08:32.00</v>
      </c>
      <c r="L1201">
        <v>8</v>
      </c>
      <c r="M1201">
        <v>-16</v>
      </c>
      <c r="N1201">
        <v>75</v>
      </c>
      <c r="O1201">
        <v>-16</v>
      </c>
      <c r="P1201">
        <v>75</v>
      </c>
    </row>
    <row r="1202" spans="1:16" x14ac:dyDescent="0.25">
      <c r="A1202">
        <v>21900090</v>
      </c>
      <c r="B1202">
        <v>2019</v>
      </c>
      <c r="C1202" t="s">
        <v>32</v>
      </c>
      <c r="D1202" t="s">
        <v>22</v>
      </c>
      <c r="E1202">
        <v>26</v>
      </c>
      <c r="F1202">
        <v>24</v>
      </c>
      <c r="G1202">
        <v>2</v>
      </c>
      <c r="H1202" s="1">
        <v>6.053240740740741E-3</v>
      </c>
      <c r="I1202" t="s">
        <v>23</v>
      </c>
      <c r="J1202" s="2" t="str">
        <f>HYPERLINK("https://www.nba.com/stats/events?CFID=&amp;CFPARAMS=&amp;GameEventID=216&amp;GameID=0021900090&amp;Season=2019-20&amp;flag=1&amp;title=[LAC]%20Leonard%20jumpshot:%20Made%20(4%20PTS)", "[LAC] Leonard jumpshot: Made (4 PTS)")</f>
        <v>[LAC] Leonard jumpshot: Made (4 PTS)</v>
      </c>
      <c r="K1202" s="2" t="str">
        <f>HYPERLINK("https://www.nba.com/game/...-vs-...-0021900090/play-by-play?watchFullGame=true", "LAC vs UTA - Q2 08:43.00")</f>
        <v>LAC vs UTA - Q2 08:43.00</v>
      </c>
      <c r="L1202">
        <v>8.2200000000000006</v>
      </c>
      <c r="M1202">
        <v>13.58</v>
      </c>
      <c r="N1202">
        <v>53.12</v>
      </c>
      <c r="O1202">
        <v>-16</v>
      </c>
      <c r="P1202">
        <v>75</v>
      </c>
    </row>
    <row r="1203" spans="1:16" x14ac:dyDescent="0.25">
      <c r="A1203">
        <v>22300473</v>
      </c>
      <c r="B1203">
        <v>2023</v>
      </c>
      <c r="C1203" t="s">
        <v>32</v>
      </c>
      <c r="D1203" t="s">
        <v>19</v>
      </c>
      <c r="E1203">
        <v>93</v>
      </c>
      <c r="F1203">
        <v>111</v>
      </c>
      <c r="G1203">
        <v>4</v>
      </c>
      <c r="H1203" s="1">
        <v>7.2337962962962963E-3</v>
      </c>
      <c r="I1203" t="s">
        <v>23</v>
      </c>
      <c r="J1203" s="2" t="str">
        <f>HYPERLINK("https://www.nba.com/stats/events?CFID=&amp;CFPARAMS=&amp;GameEventID=536&amp;GameID=0022300473&amp;Season=2023-24&amp;flag=1&amp;title=Leonard%2011'%20pullup%20Jump%20Shot%20(24%20PTS)", "11' pullup Jump Shot (24 PTS)")</f>
        <v>11' pullup Jump Shot (24 PTS)</v>
      </c>
      <c r="K1203" s="2" t="str">
        <f>HYPERLINK("https://www.nba.com/game/...-vs-...-0022300473/play-by-play?watchFullGame=true", "LAC vs PHX - Q4 10:25.00")</f>
        <v>LAC vs PHX - Q4 10:25.00</v>
      </c>
      <c r="L1203">
        <v>11.98</v>
      </c>
      <c r="M1203">
        <v>18.22</v>
      </c>
      <c r="N1203">
        <v>53.19</v>
      </c>
      <c r="O1203">
        <v>-16</v>
      </c>
      <c r="P1203">
        <v>119</v>
      </c>
    </row>
    <row r="1204" spans="1:16" x14ac:dyDescent="0.25">
      <c r="A1204">
        <v>21900090</v>
      </c>
      <c r="B1204">
        <v>2019</v>
      </c>
      <c r="C1204" t="s">
        <v>32</v>
      </c>
      <c r="D1204" t="s">
        <v>22</v>
      </c>
      <c r="E1204">
        <v>41</v>
      </c>
      <c r="F1204">
        <v>41</v>
      </c>
      <c r="G1204">
        <v>3</v>
      </c>
      <c r="H1204" s="1">
        <v>8.1481481481481474E-3</v>
      </c>
      <c r="I1204" t="s">
        <v>23</v>
      </c>
      <c r="J1204" s="2" t="str">
        <f>HYPERLINK("https://www.nba.com/stats/events?CFID=&amp;CFPARAMS=&amp;GameEventID=348&amp;GameID=0021900090&amp;Season=2019-20&amp;flag=1&amp;title=[LAC]%20Leonard%20jumpshot:%20Made%20(7%20PTS)%20assist:%20Zubac%20(1%20AST)", "[LAC] Leonard jumpshot: Made (7 PTS) assist: Zubac (1 AST)")</f>
        <v>[LAC] Leonard jumpshot: Made (7 PTS) assist: Zubac (1 AST)</v>
      </c>
      <c r="K1204" s="2" t="str">
        <f>HYPERLINK("https://www.nba.com/game/...-vs-...-0021900090/play-by-play?watchFullGame=true", "LAC vs UTA - Q3 11:44.00")</f>
        <v>LAC vs UTA - Q3 11:44.00</v>
      </c>
      <c r="L1204">
        <v>15.11</v>
      </c>
      <c r="M1204">
        <v>79.02</v>
      </c>
      <c r="N1204">
        <v>46.74</v>
      </c>
      <c r="O1204">
        <v>-16</v>
      </c>
      <c r="P1204">
        <v>145</v>
      </c>
    </row>
    <row r="1205" spans="1:16" x14ac:dyDescent="0.25">
      <c r="A1205">
        <v>41800403</v>
      </c>
      <c r="B1205" t="s">
        <v>20</v>
      </c>
      <c r="C1205" t="s">
        <v>16</v>
      </c>
      <c r="D1205" t="s">
        <v>19</v>
      </c>
      <c r="E1205">
        <v>71</v>
      </c>
      <c r="F1205">
        <v>83</v>
      </c>
      <c r="G1205">
        <v>3</v>
      </c>
      <c r="H1205" s="1">
        <v>2.4537037037037036E-3</v>
      </c>
      <c r="I1205" t="s">
        <v>21</v>
      </c>
      <c r="J1205" s="2" t="str">
        <f>HYPERLINK("https://www.nba.com/stats/events?CFID=&amp;CFPARAMS=&amp;GameEventID=443&amp;GameID=0041800403&amp;Season=2018-19&amp;flag=1&amp;title=Leonard%2026'%203PT%20Jump%20Shot%20(20%20PTS)%20(Siakam%205%20AST)", "Leonard 26' 3PT Jump Shot (20 PTS) (Siakam 5 AST)")</f>
        <v>Leonard 26' 3PT Jump Shot (20 PTS) (Siakam 5 AST)</v>
      </c>
      <c r="K1205" s="2" t="str">
        <f>HYPERLINK("https://www.nba.com/game/...-vs-...-0041800403/play-by-play?watchFullGame=true", "TOR vs GSW - Q3 03:32.00")</f>
        <v>TOR vs GSW - Q3 03:32.00</v>
      </c>
      <c r="L1205">
        <v>26</v>
      </c>
      <c r="M1205">
        <v>-16</v>
      </c>
      <c r="N1205">
        <v>260</v>
      </c>
      <c r="O1205">
        <v>-16</v>
      </c>
      <c r="P1205">
        <v>260</v>
      </c>
    </row>
    <row r="1206" spans="1:16" x14ac:dyDescent="0.25">
      <c r="A1206">
        <v>21400152</v>
      </c>
      <c r="B1206">
        <v>2014</v>
      </c>
      <c r="C1206" t="s">
        <v>32</v>
      </c>
      <c r="D1206" t="s">
        <v>51</v>
      </c>
      <c r="E1206">
        <v>53</v>
      </c>
      <c r="F1206">
        <v>37</v>
      </c>
      <c r="G1206">
        <v>3</v>
      </c>
      <c r="H1206" s="1">
        <v>6.5162037037037037E-3</v>
      </c>
      <c r="I1206" t="s">
        <v>18</v>
      </c>
      <c r="J1206" s="2" t="str">
        <f>HYPERLINK("https://www.nba.com/stats/events?CFID=&amp;CFPARAMS=&amp;GameEventID=265&amp;GameID=0021400152&amp;Season=2014-15&amp;flag=1&amp;title=Leonard%202'%20Reverse%20Layup%20(4%20PTS)%20(Bonner%203%20AST)", "Leonard 2' Reverse Layup (4 PTS) (Bonner 3 AST)")</f>
        <v>Leonard 2' Reverse Layup (4 PTS) (Bonner 3 AST)</v>
      </c>
      <c r="K1206" s="2" t="str">
        <f>HYPERLINK("https://www.nba.com/game/...-vs-...-0021400152/play-by-play?watchFullGame=true", "SAS vs PHI - Q3 09:23.00")</f>
        <v>SAS vs PHI - Q3 09:23.00</v>
      </c>
      <c r="L1206">
        <v>2</v>
      </c>
      <c r="M1206">
        <v>-15</v>
      </c>
      <c r="N1206">
        <v>0</v>
      </c>
      <c r="O1206">
        <v>-15</v>
      </c>
      <c r="P1206">
        <v>0</v>
      </c>
    </row>
    <row r="1207" spans="1:16" x14ac:dyDescent="0.25">
      <c r="A1207">
        <v>21300349</v>
      </c>
      <c r="B1207">
        <v>2013</v>
      </c>
      <c r="C1207" t="s">
        <v>32</v>
      </c>
      <c r="D1207" t="s">
        <v>57</v>
      </c>
      <c r="E1207">
        <v>32</v>
      </c>
      <c r="F1207">
        <v>51</v>
      </c>
      <c r="G1207">
        <v>2</v>
      </c>
      <c r="H1207" s="1">
        <v>2.0486111111111113E-3</v>
      </c>
      <c r="I1207" t="s">
        <v>18</v>
      </c>
      <c r="J1207" s="2" t="str">
        <f>HYPERLINK("https://www.nba.com/stats/events?CFID=&amp;CFPARAMS=&amp;GameEventID=198&amp;GameID=0021300349&amp;Season=2013-14&amp;flag=1&amp;title=Leonard%202'%20Layup%20(6%20PTS)%20(Duncan%202%20AST)", "Leonard 2' Layup (6 PTS) (Duncan 2 AST)")</f>
        <v>Leonard 2' Layup (6 PTS) (Duncan 2 AST)</v>
      </c>
      <c r="K1207" s="2" t="str">
        <f>HYPERLINK("https://www.nba.com/game/...-vs-...-0021300349/play-by-play?watchFullGame=true", "SAS vs UTA - Q2 02:57.00")</f>
        <v>SAS vs UTA - Q2 02:57.00</v>
      </c>
      <c r="L1207">
        <v>2</v>
      </c>
      <c r="M1207">
        <v>-15</v>
      </c>
      <c r="N1207">
        <v>1</v>
      </c>
      <c r="O1207">
        <v>-15</v>
      </c>
      <c r="P1207">
        <v>1</v>
      </c>
    </row>
    <row r="1208" spans="1:16" x14ac:dyDescent="0.25">
      <c r="A1208">
        <v>21400595</v>
      </c>
      <c r="B1208">
        <v>2014</v>
      </c>
      <c r="C1208" t="s">
        <v>32</v>
      </c>
      <c r="D1208" t="s">
        <v>52</v>
      </c>
      <c r="E1208">
        <v>110</v>
      </c>
      <c r="F1208">
        <v>87</v>
      </c>
      <c r="G1208">
        <v>4</v>
      </c>
      <c r="H1208" s="1">
        <v>3.7962962962962963E-3</v>
      </c>
      <c r="I1208" t="s">
        <v>18</v>
      </c>
      <c r="J1208" s="2" t="str">
        <f>HYPERLINK("https://www.nba.com/stats/events?CFID=&amp;CFPARAMS=&amp;GameEventID=451&amp;GameID=0021400595&amp;Season=2014-15&amp;flag=1&amp;title=Leonard%202'%20Alley%20Oop%20Layup%20(20%20PTS)%20(Duncan%206%20AST)", "Leonard 2' Alley Oop Layup (20 PTS) (Duncan 6 AST)")</f>
        <v>Leonard 2' Alley Oop Layup (20 PTS) (Duncan 6 AST)</v>
      </c>
      <c r="K1208" s="2" t="str">
        <f>HYPERLINK("https://www.nba.com/game/...-vs-...-0021400595/play-by-play?watchFullGame=true", "SAS vs POR - Q4 05:28.00")</f>
        <v>SAS vs POR - Q4 05:28.00</v>
      </c>
      <c r="L1208">
        <v>2</v>
      </c>
      <c r="M1208">
        <v>-15</v>
      </c>
      <c r="N1208">
        <v>3</v>
      </c>
      <c r="O1208">
        <v>-15</v>
      </c>
      <c r="P1208">
        <v>3</v>
      </c>
    </row>
    <row r="1209" spans="1:16" x14ac:dyDescent="0.25">
      <c r="A1209">
        <v>41200232</v>
      </c>
      <c r="B1209" t="s">
        <v>27</v>
      </c>
      <c r="C1209" t="s">
        <v>32</v>
      </c>
      <c r="D1209" t="s">
        <v>57</v>
      </c>
      <c r="E1209">
        <v>45</v>
      </c>
      <c r="F1209">
        <v>62</v>
      </c>
      <c r="G1209">
        <v>3</v>
      </c>
      <c r="H1209" s="1">
        <v>7.9629629629629634E-3</v>
      </c>
      <c r="I1209" t="s">
        <v>18</v>
      </c>
      <c r="J1209" s="2" t="str">
        <f>HYPERLINK("https://www.nba.com/stats/events?CFID=&amp;CFPARAMS=&amp;GameEventID=263&amp;GameID=0041200232&amp;Season=2012-13&amp;flag=1&amp;title=Leonard%202'%20Layup%20(7%20PTS)%20(Duncan%202%20AST)", "Leonard 2' Layup (7 PTS) (Duncan 2 AST)")</f>
        <v>Leonard 2' Layup (7 PTS) (Duncan 2 AST)</v>
      </c>
      <c r="K1209" s="2" t="str">
        <f>HYPERLINK("https://www.nba.com/game/...-vs-...-0041200232/play-by-play?watchFullGame=true", "SAS vs GSW - Q3 11:28.00")</f>
        <v>SAS vs GSW - Q3 11:28.00</v>
      </c>
      <c r="L1209">
        <v>2</v>
      </c>
      <c r="M1209">
        <v>-15</v>
      </c>
      <c r="N1209">
        <v>3</v>
      </c>
      <c r="O1209">
        <v>-15</v>
      </c>
      <c r="P1209">
        <v>3</v>
      </c>
    </row>
    <row r="1210" spans="1:16" x14ac:dyDescent="0.25">
      <c r="A1210">
        <v>41300224</v>
      </c>
      <c r="B1210" t="s">
        <v>26</v>
      </c>
      <c r="C1210" t="s">
        <v>32</v>
      </c>
      <c r="D1210" t="s">
        <v>59</v>
      </c>
      <c r="E1210">
        <v>2</v>
      </c>
      <c r="F1210">
        <v>2</v>
      </c>
      <c r="G1210">
        <v>1</v>
      </c>
      <c r="H1210" s="1">
        <v>7.7546296296296295E-3</v>
      </c>
      <c r="I1210" t="s">
        <v>18</v>
      </c>
      <c r="J1210" s="2" t="str">
        <f>HYPERLINK("https://www.nba.com/stats/events?CFID=&amp;CFPARAMS=&amp;GameEventID=7&amp;GameID=0041300224&amp;Season=2013-14&amp;flag=1&amp;title=Leonard%202'%20Putback%20Layup%20(2%20PTS)", "Leonard 2' Putback Layup (2 PTS)")</f>
        <v>Leonard 2' Putback Layup (2 PTS)</v>
      </c>
      <c r="K1210" s="2" t="str">
        <f>HYPERLINK("https://www.nba.com/game/...-vs-...-0041300224/play-by-play?watchFullGame=true", "SAS vs POR - Q1 11:10.00")</f>
        <v>SAS vs POR - Q1 11:10.00</v>
      </c>
      <c r="L1210">
        <v>2</v>
      </c>
      <c r="M1210">
        <v>-15</v>
      </c>
      <c r="N1210">
        <v>6</v>
      </c>
      <c r="O1210">
        <v>-15</v>
      </c>
      <c r="P1210">
        <v>6</v>
      </c>
    </row>
    <row r="1211" spans="1:16" x14ac:dyDescent="0.25">
      <c r="A1211">
        <v>21300573</v>
      </c>
      <c r="B1211">
        <v>2013</v>
      </c>
      <c r="C1211" t="s">
        <v>32</v>
      </c>
      <c r="D1211" t="s">
        <v>62</v>
      </c>
      <c r="E1211">
        <v>88</v>
      </c>
      <c r="F1211">
        <v>77</v>
      </c>
      <c r="G1211">
        <v>4</v>
      </c>
      <c r="H1211" s="1">
        <v>5.6828703703703702E-3</v>
      </c>
      <c r="I1211" t="s">
        <v>18</v>
      </c>
      <c r="J1211" s="2" t="str">
        <f>HYPERLINK("https://www.nba.com/stats/events?CFID=&amp;CFPARAMS=&amp;GameEventID=384&amp;GameID=0021300573&amp;Season=2013-14&amp;flag=1&amp;title=Leonard%202'%20Dunk%20(12%20PTS)", "Leonard 2' Dunk (12 PTS)")</f>
        <v>Leonard 2' Dunk (12 PTS)</v>
      </c>
      <c r="K1211" s="2" t="str">
        <f>HYPERLINK("https://www.nba.com/game/...-vs-...-0021300573/play-by-play?watchFullGame=true", "SAS vs UTA - Q4 08:11.00")</f>
        <v>SAS vs UTA - Q4 08:11.00</v>
      </c>
      <c r="L1211">
        <v>2</v>
      </c>
      <c r="M1211">
        <v>-15</v>
      </c>
      <c r="N1211">
        <v>17</v>
      </c>
      <c r="O1211">
        <v>-15</v>
      </c>
      <c r="P1211">
        <v>17</v>
      </c>
    </row>
    <row r="1212" spans="1:16" x14ac:dyDescent="0.25">
      <c r="A1212">
        <v>22300897</v>
      </c>
      <c r="B1212">
        <v>2023</v>
      </c>
      <c r="C1212" t="s">
        <v>32</v>
      </c>
      <c r="D1212" t="s">
        <v>47</v>
      </c>
      <c r="E1212">
        <v>46</v>
      </c>
      <c r="F1212">
        <v>30</v>
      </c>
      <c r="G1212">
        <v>2</v>
      </c>
      <c r="H1212" s="1">
        <v>4.0972222222222226E-3</v>
      </c>
      <c r="I1212" t="s">
        <v>23</v>
      </c>
      <c r="J1212" s="2" t="str">
        <f>HYPERLINK("https://www.nba.com/stats/events?CFID=&amp;CFPARAMS=&amp;GameEventID=230&amp;GameID=0022300897&amp;Season=2023-24&amp;flag=1&amp;title=Leonard%20driving%20Layup%20(6%20PTS)", "Driving Layup (6 PTS)")</f>
        <v>Driving Layup (6 PTS)</v>
      </c>
      <c r="K1212" s="2" t="str">
        <f>HYPERLINK("https://www.nba.com/game/...-vs-...-0022300897/play-by-play?watchFullGame=true", "LAC vs HOU - Q2 05:54.00")</f>
        <v>LAC vs HOU - Q2 05:54.00</v>
      </c>
      <c r="L1212">
        <v>2.65</v>
      </c>
      <c r="M1212">
        <v>92.07</v>
      </c>
      <c r="N1212">
        <v>47.06</v>
      </c>
      <c r="O1212">
        <v>-15</v>
      </c>
      <c r="P1212">
        <v>22</v>
      </c>
    </row>
    <row r="1213" spans="1:16" x14ac:dyDescent="0.25">
      <c r="A1213">
        <v>22300309</v>
      </c>
      <c r="B1213">
        <v>2023</v>
      </c>
      <c r="C1213" t="s">
        <v>32</v>
      </c>
      <c r="D1213" t="s">
        <v>47</v>
      </c>
      <c r="E1213">
        <v>17</v>
      </c>
      <c r="F1213">
        <v>13</v>
      </c>
      <c r="G1213">
        <v>1</v>
      </c>
      <c r="H1213" s="1">
        <v>4.2013888888888891E-3</v>
      </c>
      <c r="I1213" t="s">
        <v>23</v>
      </c>
      <c r="J1213" s="2" t="str">
        <f>HYPERLINK("https://www.nba.com/stats/events?CFID=&amp;CFPARAMS=&amp;GameEventID=66&amp;GameID=0022300309&amp;Season=2023-24&amp;flag=1&amp;title=Leonard%20running%20Layup%20(2%20PTS)%20(J.%20Harden%203%20AST)", "Running Layup (2 PTS) (J. Harden 3 AST)")</f>
        <v>Running Layup (2 PTS) (J. Harden 3 AST)</v>
      </c>
      <c r="K1213" s="2" t="str">
        <f>HYPERLINK("https://www.nba.com/game/...-vs-...-0022300309/play-by-play?watchFullGame=true", "LAC vs SAC - Q1 06:03.00")</f>
        <v>LAC vs SAC - Q1 06:03.00</v>
      </c>
      <c r="L1213">
        <v>2.68</v>
      </c>
      <c r="M1213">
        <v>92.03</v>
      </c>
      <c r="N1213">
        <v>47.06</v>
      </c>
      <c r="O1213">
        <v>-15</v>
      </c>
      <c r="P1213">
        <v>22</v>
      </c>
    </row>
    <row r="1214" spans="1:16" x14ac:dyDescent="0.25">
      <c r="A1214">
        <v>22001034</v>
      </c>
      <c r="B1214">
        <v>2020</v>
      </c>
      <c r="C1214" t="s">
        <v>32</v>
      </c>
      <c r="D1214" t="s">
        <v>47</v>
      </c>
      <c r="E1214">
        <v>4</v>
      </c>
      <c r="F1214">
        <v>11</v>
      </c>
      <c r="G1214">
        <v>1</v>
      </c>
      <c r="H1214" s="1">
        <v>5.0462962962962961E-3</v>
      </c>
      <c r="I1214" t="s">
        <v>23</v>
      </c>
      <c r="J1214" s="2" t="str">
        <f>HYPERLINK("https://www.nba.com/stats/events?CFID=&amp;CFPARAMS=&amp;GameEventID=50&amp;GameID=0022001034&amp;Season=2020-21&amp;flag=1&amp;title=Leonard%20driving%20Layup%20(2%20PTS)", "Driving Layup (2 PTS)")</f>
        <v>Driving Layup (2 PTS)</v>
      </c>
      <c r="K1214" s="2" t="str">
        <f>HYPERLINK("https://www.nba.com/game/...-vs-...-0022001034/play-by-play?watchFullGame=true", "LAC vs TOR - Q1 07:16.00")</f>
        <v>LAC vs TOR - Q1 07:16.00</v>
      </c>
      <c r="L1214">
        <v>3.34</v>
      </c>
      <c r="M1214">
        <v>8.75</v>
      </c>
      <c r="N1214">
        <v>53.01</v>
      </c>
      <c r="O1214">
        <v>-15</v>
      </c>
      <c r="P1214">
        <v>30</v>
      </c>
    </row>
    <row r="1215" spans="1:16" x14ac:dyDescent="0.25">
      <c r="A1215">
        <v>22400889</v>
      </c>
      <c r="B1215">
        <v>2024</v>
      </c>
      <c r="C1215" t="s">
        <v>32</v>
      </c>
      <c r="D1215" t="s">
        <v>48</v>
      </c>
      <c r="E1215">
        <v>58</v>
      </c>
      <c r="F1215">
        <v>76</v>
      </c>
      <c r="G1215">
        <v>3</v>
      </c>
      <c r="H1215" s="1">
        <v>5.185185185185185E-3</v>
      </c>
      <c r="I1215" t="s">
        <v>23</v>
      </c>
      <c r="J1215" s="2" t="str">
        <f>HYPERLINK("https://www.nba.com/stats/events?CFID=&amp;CFPARAMS=&amp;GameEventID=344&amp;GameID=0022400889&amp;Season=2024-25&amp;flag=1&amp;title=Leonard%20running%20DUNK%20(13%20PTS)%20(B.%20Bogdanovic%202%20AST)", "Running DUNK (13 PTS) (B. Bogdanovic 2 AST)")</f>
        <v>Running DUNK (13 PTS) (B. Bogdanovic 2 AST)</v>
      </c>
      <c r="K1215" s="2" t="str">
        <f>HYPERLINK("https://www.nba.com/game/...-vs-...-0022400889/play-by-play?watchFullGame=true", "LAC vs PHX - Q3 07:28.00")</f>
        <v>LAC vs PHX - Q3 07:28.00</v>
      </c>
      <c r="L1215">
        <v>4.41</v>
      </c>
      <c r="M1215">
        <v>9.99</v>
      </c>
      <c r="N1215">
        <v>53.04</v>
      </c>
      <c r="O1215">
        <v>-15</v>
      </c>
      <c r="P1215">
        <v>41</v>
      </c>
    </row>
    <row r="1216" spans="1:16" x14ac:dyDescent="0.25">
      <c r="A1216">
        <v>22400889</v>
      </c>
      <c r="B1216">
        <v>2024</v>
      </c>
      <c r="C1216" t="s">
        <v>32</v>
      </c>
      <c r="D1216" t="s">
        <v>47</v>
      </c>
      <c r="E1216">
        <v>11</v>
      </c>
      <c r="F1216">
        <v>17</v>
      </c>
      <c r="G1216">
        <v>1</v>
      </c>
      <c r="H1216" s="1">
        <v>3.0439814814814813E-3</v>
      </c>
      <c r="I1216" t="s">
        <v>23</v>
      </c>
      <c r="J1216" s="2" t="str">
        <f>HYPERLINK("https://www.nba.com/stats/events?CFID=&amp;CFPARAMS=&amp;GameEventID=84&amp;GameID=0022400889&amp;Season=2024-25&amp;flag=1&amp;title=Leonard%20driving%20Layup%20(4%20PTS)%20(J.%20Harden%202%20AST)", "Driving Layup (4 PTS) (J. Harden 2 AST)")</f>
        <v>Driving Layup (4 PTS) (J. Harden 2 AST)</v>
      </c>
      <c r="K1216" s="2" t="str">
        <f>HYPERLINK("https://www.nba.com/game/...-vs-...-0022400889/play-by-play?watchFullGame=true", "LAC vs PHX - Q1 04:23.00")</f>
        <v>LAC vs PHX - Q1 04:23.00</v>
      </c>
      <c r="L1216">
        <v>5.0999999999999996</v>
      </c>
      <c r="M1216">
        <v>89.22</v>
      </c>
      <c r="N1216">
        <v>47.05</v>
      </c>
      <c r="O1216">
        <v>-15</v>
      </c>
      <c r="P1216">
        <v>49</v>
      </c>
    </row>
    <row r="1217" spans="1:16" x14ac:dyDescent="0.25">
      <c r="A1217">
        <v>21400964</v>
      </c>
      <c r="B1217">
        <v>2014</v>
      </c>
      <c r="C1217" t="s">
        <v>32</v>
      </c>
      <c r="D1217" t="s">
        <v>19</v>
      </c>
      <c r="E1217">
        <v>48</v>
      </c>
      <c r="F1217">
        <v>43</v>
      </c>
      <c r="G1217">
        <v>2</v>
      </c>
      <c r="H1217" s="1">
        <v>4.5138888888888885E-3</v>
      </c>
      <c r="I1217" t="s">
        <v>18</v>
      </c>
      <c r="J1217" s="2" t="str">
        <f>HYPERLINK("https://www.nba.com/stats/events?CFID=&amp;CFPARAMS=&amp;GameEventID=180&amp;GameID=0021400964&amp;Season=2014-15&amp;flag=1&amp;title=Leonard%208'%20Jump%20Shot%20(12%20PTS)%20(Parker%202%20AST)", "Leonard 8' Jump Shot (12 PTS) (Parker 2 AST)")</f>
        <v>Leonard 8' Jump Shot (12 PTS) (Parker 2 AST)</v>
      </c>
      <c r="K1217" s="2" t="str">
        <f>HYPERLINK("https://www.nba.com/game/...-vs-...-0021400964/play-by-play?watchFullGame=true", "SAS vs CLE - Q2 06:30.00")</f>
        <v>SAS vs CLE - Q2 06:30.00</v>
      </c>
      <c r="L1217">
        <v>8</v>
      </c>
      <c r="M1217">
        <v>-15</v>
      </c>
      <c r="N1217">
        <v>77</v>
      </c>
      <c r="O1217">
        <v>-15</v>
      </c>
      <c r="P1217">
        <v>77</v>
      </c>
    </row>
    <row r="1218" spans="1:16" x14ac:dyDescent="0.25">
      <c r="A1218">
        <v>21301038</v>
      </c>
      <c r="B1218">
        <v>2013</v>
      </c>
      <c r="C1218" t="s">
        <v>32</v>
      </c>
      <c r="D1218" t="s">
        <v>45</v>
      </c>
      <c r="E1218">
        <v>74</v>
      </c>
      <c r="F1218">
        <v>83</v>
      </c>
      <c r="G1218">
        <v>4</v>
      </c>
      <c r="H1218" s="1">
        <v>5.9375000000000001E-3</v>
      </c>
      <c r="I1218" t="s">
        <v>18</v>
      </c>
      <c r="J1218" s="2" t="str">
        <f>HYPERLINK("https://www.nba.com/stats/events?CFID=&amp;CFPARAMS=&amp;GameEventID=446&amp;GameID=0021301038&amp;Season=2013-14&amp;flag=1&amp;title=Leonard%209'%20Jump%20Hook%20Shot%20(11%20PTS)%20(Splitter%201%20AST)", "Leonard 9' Jump Hook Shot (11 PTS) (Splitter 1 AST)")</f>
        <v>Leonard 9' Jump Hook Shot (11 PTS) (Splitter 1 AST)</v>
      </c>
      <c r="K1218" s="2" t="str">
        <f>HYPERLINK("https://www.nba.com/game/...-vs-...-0021301038/play-by-play?watchFullGame=true", "SAS vs GSW - Q4 08:33.00")</f>
        <v>SAS vs GSW - Q4 08:33.00</v>
      </c>
      <c r="L1218">
        <v>9</v>
      </c>
      <c r="M1218">
        <v>-15</v>
      </c>
      <c r="N1218">
        <v>85</v>
      </c>
      <c r="O1218">
        <v>-15</v>
      </c>
      <c r="P1218">
        <v>85</v>
      </c>
    </row>
    <row r="1219" spans="1:16" x14ac:dyDescent="0.25">
      <c r="A1219">
        <v>22301215</v>
      </c>
      <c r="B1219">
        <v>2023</v>
      </c>
      <c r="C1219" t="s">
        <v>32</v>
      </c>
      <c r="D1219" t="s">
        <v>19</v>
      </c>
      <c r="E1219">
        <v>103</v>
      </c>
      <c r="F1219">
        <v>97</v>
      </c>
      <c r="G1219">
        <v>4</v>
      </c>
      <c r="H1219" s="1">
        <v>1.25E-3</v>
      </c>
      <c r="I1219" t="s">
        <v>23</v>
      </c>
      <c r="J1219" s="2" t="str">
        <f>HYPERLINK("https://www.nba.com/stats/events?CFID=&amp;CFPARAMS=&amp;GameEventID=593&amp;GameID=0022301215&amp;Season=2023-24&amp;flag=1&amp;title=Leonard%2012'%20fadeaway%20Jump%20Shot%20(17%20PTS)", "12' fadeaway Jump Shot (17 PTS)")</f>
        <v>12' fadeaway Jump Shot (17 PTS)</v>
      </c>
      <c r="K1219" s="2" t="str">
        <f>HYPERLINK("https://www.nba.com/game/...-vs-...-0022301215/play-by-play?watchFullGame=true", "LAC vs DEN - Q4 01:48.00")</f>
        <v>LAC vs DEN - Q4 01:48.00</v>
      </c>
      <c r="L1219">
        <v>12.18</v>
      </c>
      <c r="M1219">
        <v>18.45</v>
      </c>
      <c r="N1219">
        <v>52.94</v>
      </c>
      <c r="O1219">
        <v>-15</v>
      </c>
      <c r="P1219">
        <v>121</v>
      </c>
    </row>
    <row r="1220" spans="1:16" x14ac:dyDescent="0.25">
      <c r="A1220">
        <v>22200784</v>
      </c>
      <c r="B1220">
        <v>2022</v>
      </c>
      <c r="C1220" t="s">
        <v>32</v>
      </c>
      <c r="D1220" t="s">
        <v>19</v>
      </c>
      <c r="E1220">
        <v>55</v>
      </c>
      <c r="F1220">
        <v>73</v>
      </c>
      <c r="G1220">
        <v>3</v>
      </c>
      <c r="H1220" s="1">
        <v>6.122685185185185E-3</v>
      </c>
      <c r="I1220" t="s">
        <v>23</v>
      </c>
      <c r="J1220" s="2" t="str">
        <f>HYPERLINK("https://www.nba.com/stats/events?CFID=&amp;CFPARAMS=&amp;GameEventID=347&amp;GameID=0022200784&amp;Season=2022-23&amp;flag=1&amp;title=Leonard%2016'%20pullup%20Jump%20Shot%20(13%20PTS)%20(T.%20Mann%203%20AST)", "16' pullup Jump Shot (13 PTS) (T. Mann 3 AST)")</f>
        <v>16' pullup Jump Shot (13 PTS) (T. Mann 3 AST)</v>
      </c>
      <c r="K1220" s="2" t="str">
        <f>HYPERLINK("https://www.nba.com/game/...-vs-...-0022200784/play-by-play?watchFullGame=true", "LAC vs MIL - Q3 08:49.00")</f>
        <v>LAC vs MIL - Q3 08:49.00</v>
      </c>
      <c r="L1220">
        <v>16.48</v>
      </c>
      <c r="M1220">
        <v>76.95</v>
      </c>
      <c r="N1220">
        <v>47.06</v>
      </c>
      <c r="O1220">
        <v>-15</v>
      </c>
      <c r="P1220">
        <v>164</v>
      </c>
    </row>
    <row r="1221" spans="1:16" x14ac:dyDescent="0.25">
      <c r="A1221">
        <v>21900618</v>
      </c>
      <c r="B1221">
        <v>2019</v>
      </c>
      <c r="C1221" t="s">
        <v>16</v>
      </c>
      <c r="D1221" t="s">
        <v>22</v>
      </c>
      <c r="E1221">
        <v>57</v>
      </c>
      <c r="F1221">
        <v>36</v>
      </c>
      <c r="G1221">
        <v>2</v>
      </c>
      <c r="H1221" s="1">
        <v>3.3449074074074076E-3</v>
      </c>
      <c r="I1221" t="s">
        <v>23</v>
      </c>
      <c r="J1221" s="2" t="str">
        <f>HYPERLINK("https://www.nba.com/stats/events?CFID=&amp;CFPARAMS=&amp;GameEventID=239&amp;GameID=0021900618&amp;Season=2019-20&amp;flag=1&amp;title=Leonard%2026'%203PT%20%20(17%20PTS)%20(M.%20Harrell%201%20AST)", "26' 3PT  (17 PTS) (M. Harrell 1 AST)")</f>
        <v>26' 3PT  (17 PTS) (M. Harrell 1 AST)</v>
      </c>
      <c r="K1221" s="2" t="str">
        <f>HYPERLINK("https://www.nba.com/game/...-vs-...-0021900618/play-by-play?watchFullGame=true", "LAC vs ORL - Q2 04:49.00")</f>
        <v>LAC vs ORL - Q2 04:49.00</v>
      </c>
      <c r="L1221">
        <v>25.8</v>
      </c>
      <c r="M1221">
        <v>67.59</v>
      </c>
      <c r="N1221">
        <v>46.99</v>
      </c>
      <c r="O1221">
        <v>-15</v>
      </c>
      <c r="P1221">
        <v>252</v>
      </c>
    </row>
    <row r="1222" spans="1:16" x14ac:dyDescent="0.25">
      <c r="A1222">
        <v>21500742</v>
      </c>
      <c r="B1222">
        <v>2015</v>
      </c>
      <c r="C1222" t="s">
        <v>32</v>
      </c>
      <c r="D1222" t="s">
        <v>51</v>
      </c>
      <c r="E1222">
        <v>16</v>
      </c>
      <c r="F1222">
        <v>21</v>
      </c>
      <c r="G1222">
        <v>1</v>
      </c>
      <c r="H1222" s="1">
        <v>2.650462962962963E-3</v>
      </c>
      <c r="I1222" t="s">
        <v>18</v>
      </c>
      <c r="J1222" s="2" t="str">
        <f>HYPERLINK("https://www.nba.com/stats/events?CFID=&amp;CFPARAMS=&amp;GameEventID=69&amp;GameID=0021500742&amp;Season=2015-16&amp;flag=1&amp;title=Leonard%201'%20Reverse%20Layup%20(4%20PTS)", "Leonard 1' Reverse Layup (4 PTS)")</f>
        <v>Leonard 1' Reverse Layup (4 PTS)</v>
      </c>
      <c r="K1222" s="2" t="str">
        <f>HYPERLINK("https://www.nba.com/game/...-vs-...-0021500742/play-by-play?watchFullGame=true", "SAS vs NOP - Q1 03:49.00")</f>
        <v>SAS vs NOP - Q1 03:49.00</v>
      </c>
      <c r="L1222">
        <v>1</v>
      </c>
      <c r="M1222">
        <v>-14</v>
      </c>
      <c r="N1222">
        <v>3</v>
      </c>
      <c r="O1222">
        <v>-14</v>
      </c>
      <c r="P1222">
        <v>3</v>
      </c>
    </row>
    <row r="1223" spans="1:16" x14ac:dyDescent="0.25">
      <c r="A1223">
        <v>22000061</v>
      </c>
      <c r="B1223">
        <v>2020</v>
      </c>
      <c r="C1223" t="s">
        <v>32</v>
      </c>
      <c r="D1223" t="s">
        <v>47</v>
      </c>
      <c r="E1223">
        <v>66</v>
      </c>
      <c r="F1223">
        <v>46</v>
      </c>
      <c r="G1223">
        <v>2</v>
      </c>
      <c r="H1223" s="1">
        <v>2.1875000000000002E-3</v>
      </c>
      <c r="I1223" t="s">
        <v>23</v>
      </c>
      <c r="J1223" s="2" t="str">
        <f>HYPERLINK("https://www.nba.com/stats/events?CFID=&amp;CFPARAMS=&amp;GameEventID=268&amp;GameID=0022000061&amp;Season=2020-21&amp;flag=1&amp;title=Leonard%20driving%20reverse%20Layup%20(11%20PTS)%20(N.%20Batum%201%20AST)", "Driving reverse Layup (11 PTS) (N. Batum 1 AST)")</f>
        <v>Driving reverse Layup (11 PTS) (N. Batum 1 AST)</v>
      </c>
      <c r="K1223" s="2" t="str">
        <f>HYPERLINK("https://www.nba.com/game/...-vs-...-0022000061/play-by-play?watchFullGame=true", "LAC vs POR - Q2 03:09.00")</f>
        <v>LAC vs POR - Q2 03:09.00</v>
      </c>
      <c r="L1223">
        <v>1.43</v>
      </c>
      <c r="M1223">
        <v>6</v>
      </c>
      <c r="N1223">
        <v>52.77</v>
      </c>
      <c r="O1223">
        <v>-14</v>
      </c>
      <c r="P1223">
        <v>4</v>
      </c>
    </row>
    <row r="1224" spans="1:16" x14ac:dyDescent="0.25">
      <c r="A1224">
        <v>21500532</v>
      </c>
      <c r="B1224">
        <v>2015</v>
      </c>
      <c r="C1224" t="s">
        <v>32</v>
      </c>
      <c r="D1224" t="s">
        <v>57</v>
      </c>
      <c r="E1224">
        <v>15</v>
      </c>
      <c r="F1224">
        <v>8</v>
      </c>
      <c r="G1224">
        <v>1</v>
      </c>
      <c r="H1224" s="1">
        <v>5.4050925925925924E-3</v>
      </c>
      <c r="I1224" t="s">
        <v>18</v>
      </c>
      <c r="J1224" s="2" t="str">
        <f>HYPERLINK("https://www.nba.com/stats/events?CFID=&amp;CFPARAMS=&amp;GameEventID=28&amp;GameID=0021500532&amp;Season=2015-16&amp;flag=1&amp;title=Leonard%202'%20Layup%20(6%20PTS)%20(Duncan%202%20AST)", "Leonard 2' Layup (6 PTS) (Duncan 2 AST)")</f>
        <v>Leonard 2' Layup (6 PTS) (Duncan 2 AST)</v>
      </c>
      <c r="K1224" s="2" t="str">
        <f>HYPERLINK("https://www.nba.com/game/...-vs-...-0021500532/play-by-play?watchFullGame=true", "SAS vs UTA - Q1 07:47.00")</f>
        <v>SAS vs UTA - Q1 07:47.00</v>
      </c>
      <c r="L1224">
        <v>2</v>
      </c>
      <c r="M1224">
        <v>-14</v>
      </c>
      <c r="N1224">
        <v>7</v>
      </c>
      <c r="O1224">
        <v>-14</v>
      </c>
      <c r="P1224">
        <v>7</v>
      </c>
    </row>
    <row r="1225" spans="1:16" x14ac:dyDescent="0.25">
      <c r="A1225">
        <v>21500713</v>
      </c>
      <c r="B1225">
        <v>2015</v>
      </c>
      <c r="C1225" t="s">
        <v>32</v>
      </c>
      <c r="D1225" t="s">
        <v>49</v>
      </c>
      <c r="E1225">
        <v>66</v>
      </c>
      <c r="F1225">
        <v>55</v>
      </c>
      <c r="G1225">
        <v>3</v>
      </c>
      <c r="H1225" s="1">
        <v>7.2453703703703708E-3</v>
      </c>
      <c r="I1225" t="s">
        <v>18</v>
      </c>
      <c r="J1225" s="2" t="str">
        <f>HYPERLINK("https://www.nba.com/stats/events?CFID=&amp;CFPARAMS=&amp;GameEventID=279&amp;GameID=0021500713&amp;Season=2015-16&amp;flag=1&amp;title=Leonard%202'%20Driving%20Layup%20(13%20PTS)%20(Parker%205%20AST)", "Leonard 2' Driving Layup (13 PTS) (Parker 5 AST)")</f>
        <v>Leonard 2' Driving Layup (13 PTS) (Parker 5 AST)</v>
      </c>
      <c r="K1225" s="2" t="str">
        <f>HYPERLINK("https://www.nba.com/game/...-vs-...-0021500713/play-by-play?watchFullGame=true", "SAS vs CLE - Q3 10:26.00")</f>
        <v>SAS vs CLE - Q3 10:26.00</v>
      </c>
      <c r="L1225">
        <v>2</v>
      </c>
      <c r="M1225">
        <v>-14</v>
      </c>
      <c r="N1225">
        <v>7</v>
      </c>
      <c r="O1225">
        <v>-14</v>
      </c>
      <c r="P1225">
        <v>7</v>
      </c>
    </row>
    <row r="1226" spans="1:16" x14ac:dyDescent="0.25">
      <c r="A1226">
        <v>21600353</v>
      </c>
      <c r="B1226">
        <v>2016</v>
      </c>
      <c r="C1226" t="s">
        <v>32</v>
      </c>
      <c r="D1226" t="s">
        <v>61</v>
      </c>
      <c r="E1226">
        <v>20</v>
      </c>
      <c r="F1226">
        <v>12</v>
      </c>
      <c r="G1226">
        <v>1</v>
      </c>
      <c r="H1226" s="1">
        <v>4.1319444444444442E-3</v>
      </c>
      <c r="I1226" t="s">
        <v>18</v>
      </c>
      <c r="J1226" s="2" t="str">
        <f>HYPERLINK("https://www.nba.com/stats/events?CFID=&amp;CFPARAMS=&amp;GameEventID=42&amp;GameID=0021600353&amp;Season=2016-17&amp;flag=1&amp;title=Leonard%202'%20Driving%20Finger%20Roll%20Layup%20(4%20PTS)%20(Gasol%202%20AST)", "Leonard 2' Driving Finger Roll Layup (4 PTS) (Gasol 2 AST)")</f>
        <v>Leonard 2' Driving Finger Roll Layup (4 PTS) (Gasol 2 AST)</v>
      </c>
      <c r="K1226" s="2" t="str">
        <f>HYPERLINK("https://www.nba.com/game/...-vs-...-0021600353/play-by-play?watchFullGame=true", "SAS vs BKN - Q1 05:57.00")</f>
        <v>SAS vs BKN - Q1 05:57.00</v>
      </c>
      <c r="L1226">
        <v>2</v>
      </c>
      <c r="M1226">
        <v>-14</v>
      </c>
      <c r="N1226">
        <v>8</v>
      </c>
      <c r="O1226">
        <v>-14</v>
      </c>
      <c r="P1226">
        <v>8</v>
      </c>
    </row>
    <row r="1227" spans="1:16" x14ac:dyDescent="0.25">
      <c r="A1227">
        <v>21500431</v>
      </c>
      <c r="B1227">
        <v>2015</v>
      </c>
      <c r="C1227" t="s">
        <v>32</v>
      </c>
      <c r="D1227" t="s">
        <v>61</v>
      </c>
      <c r="E1227">
        <v>75</v>
      </c>
      <c r="F1227">
        <v>96</v>
      </c>
      <c r="G1227">
        <v>4</v>
      </c>
      <c r="H1227" s="1">
        <v>3.0902777777777777E-3</v>
      </c>
      <c r="I1227" t="s">
        <v>18</v>
      </c>
      <c r="J1227" s="2" t="str">
        <f>HYPERLINK("https://www.nba.com/stats/events?CFID=&amp;CFPARAMS=&amp;GameEventID=432&amp;GameID=0021500431&amp;Season=2015-16&amp;flag=1&amp;title=Leonard%202'%20Driving%20Finger%20Roll%20Layup%20(19%20PTS)", "Leonard 2' Driving Finger Roll Layup (19 PTS)")</f>
        <v>Leonard 2' Driving Finger Roll Layup (19 PTS)</v>
      </c>
      <c r="K1227" s="2" t="str">
        <f>HYPERLINK("https://www.nba.com/game/...-vs-...-0021500431/play-by-play?watchFullGame=true", "SAS vs MIN - Q4 04:27.00")</f>
        <v>SAS vs MIN - Q4 04:27.00</v>
      </c>
      <c r="L1227">
        <v>2</v>
      </c>
      <c r="M1227">
        <v>-14</v>
      </c>
      <c r="N1227">
        <v>11</v>
      </c>
      <c r="O1227">
        <v>-14</v>
      </c>
      <c r="P1227">
        <v>11</v>
      </c>
    </row>
    <row r="1228" spans="1:16" x14ac:dyDescent="0.25">
      <c r="A1228">
        <v>22000202</v>
      </c>
      <c r="B1228">
        <v>2020</v>
      </c>
      <c r="C1228" t="s">
        <v>32</v>
      </c>
      <c r="D1228" t="s">
        <v>47</v>
      </c>
      <c r="E1228">
        <v>77</v>
      </c>
      <c r="F1228">
        <v>68</v>
      </c>
      <c r="G1228">
        <v>3</v>
      </c>
      <c r="H1228" s="1">
        <v>4.6296296296296294E-3</v>
      </c>
      <c r="I1228" t="s">
        <v>23</v>
      </c>
      <c r="J1228" s="2" t="str">
        <f>HYPERLINK("https://www.nba.com/stats/events?CFID=&amp;CFPARAMS=&amp;GameEventID=364&amp;GameID=0022000202&amp;Season=2020-21&amp;flag=1&amp;title=Leonard%20running%20reverse%20Layup%20(12%20PTS)", "Running reverse Layup (12 PTS)")</f>
        <v>Running reverse Layup (12 PTS)</v>
      </c>
      <c r="K1228" s="2" t="str">
        <f>HYPERLINK("https://www.nba.com/game/...-vs-...-0022000202/play-by-play?watchFullGame=true", "LAC vs IND - Q3 06:40.00")</f>
        <v>LAC vs IND - Q3 06:40.00</v>
      </c>
      <c r="L1228">
        <v>1.86</v>
      </c>
      <c r="M1228">
        <v>6.92</v>
      </c>
      <c r="N1228">
        <v>52.77</v>
      </c>
      <c r="O1228">
        <v>-14</v>
      </c>
      <c r="P1228">
        <v>13</v>
      </c>
    </row>
    <row r="1229" spans="1:16" x14ac:dyDescent="0.25">
      <c r="A1229">
        <v>22000644</v>
      </c>
      <c r="B1229">
        <v>2020</v>
      </c>
      <c r="C1229" t="s">
        <v>32</v>
      </c>
      <c r="D1229" t="s">
        <v>48</v>
      </c>
      <c r="E1229">
        <v>85</v>
      </c>
      <c r="F1229">
        <v>57</v>
      </c>
      <c r="G1229">
        <v>3</v>
      </c>
      <c r="H1229" s="1">
        <v>3.6342592592592594E-3</v>
      </c>
      <c r="I1229" t="s">
        <v>23</v>
      </c>
      <c r="J1229" s="2" t="str">
        <f>HYPERLINK("https://www.nba.com/stats/events?CFID=&amp;CFPARAMS=&amp;GameEventID=423&amp;GameID=0022000644&amp;Season=2020-21&amp;flag=1&amp;title=Leonard%20cutting%20DUNK%20(14%20PTS)%20(I.%20Zubac%203%20AST)", "Cutting DUNK (14 PTS) (I. Zubac 3 AST)")</f>
        <v>Cutting DUNK (14 PTS) (I. Zubac 3 AST)</v>
      </c>
      <c r="K1229" s="2" t="str">
        <f>HYPERLINK("https://www.nba.com/game/...-vs-...-0022000644/play-by-play?watchFullGame=true", "LAC vs CHA - Q3 05:14.00")</f>
        <v>LAC vs CHA - Q3 05:14.00</v>
      </c>
      <c r="L1229">
        <v>1.86</v>
      </c>
      <c r="M1229">
        <v>6.92</v>
      </c>
      <c r="N1229">
        <v>52.77</v>
      </c>
      <c r="O1229">
        <v>-14</v>
      </c>
      <c r="P1229">
        <v>13</v>
      </c>
    </row>
    <row r="1230" spans="1:16" x14ac:dyDescent="0.25">
      <c r="A1230">
        <v>22000366</v>
      </c>
      <c r="B1230">
        <v>2020</v>
      </c>
      <c r="C1230" t="s">
        <v>32</v>
      </c>
      <c r="D1230" t="s">
        <v>47</v>
      </c>
      <c r="E1230">
        <v>5</v>
      </c>
      <c r="F1230">
        <v>4</v>
      </c>
      <c r="G1230">
        <v>1</v>
      </c>
      <c r="H1230" s="1">
        <v>6.4351851851851853E-3</v>
      </c>
      <c r="I1230" t="s">
        <v>23</v>
      </c>
      <c r="J1230" s="2" t="str">
        <f>HYPERLINK("https://www.nba.com/stats/events?CFID=&amp;CFPARAMS=&amp;GameEventID=32&amp;GameID=0022000366&amp;Season=2020-21&amp;flag=1&amp;title=Leonard%20alley-oop%20Layup%20(2%20PTS)%20(R.%20Jackson%201%20AST)", "Alley-oop Layup (2 PTS) (R. Jackson 1 AST)")</f>
        <v>Alley-oop Layup (2 PTS) (R. Jackson 1 AST)</v>
      </c>
      <c r="K1230" s="2" t="str">
        <f>HYPERLINK("https://www.nba.com/game/...-vs-...-0022000366/play-by-play?watchFullGame=true", "LAC vs SAC - Q1 09:16.00")</f>
        <v>LAC vs SAC - Q1 09:16.00</v>
      </c>
      <c r="L1230">
        <v>2.06</v>
      </c>
      <c r="M1230">
        <v>92.85</v>
      </c>
      <c r="N1230">
        <v>47.13</v>
      </c>
      <c r="O1230">
        <v>-14</v>
      </c>
      <c r="P1230">
        <v>15</v>
      </c>
    </row>
    <row r="1231" spans="1:16" x14ac:dyDescent="0.25">
      <c r="A1231">
        <v>22000366</v>
      </c>
      <c r="B1231">
        <v>2020</v>
      </c>
      <c r="C1231" t="s">
        <v>32</v>
      </c>
      <c r="D1231" t="s">
        <v>47</v>
      </c>
      <c r="E1231">
        <v>68</v>
      </c>
      <c r="F1231">
        <v>73</v>
      </c>
      <c r="G1231">
        <v>3</v>
      </c>
      <c r="H1231" s="1">
        <v>2.3263888888888887E-3</v>
      </c>
      <c r="I1231" t="s">
        <v>23</v>
      </c>
      <c r="J1231" s="2" t="str">
        <f>HYPERLINK("https://www.nba.com/stats/events?CFID=&amp;CFPARAMS=&amp;GameEventID=422&amp;GameID=0022000366&amp;Season=2020-21&amp;flag=1&amp;title=Leonard%20running%20Layup%20(13%20PTS)%20(T.%20Mann%202%20AST)", "Running Layup (13 PTS) (T. Mann 2 AST)")</f>
        <v>Running Layup (13 PTS) (T. Mann 2 AST)</v>
      </c>
      <c r="K1231" s="2" t="str">
        <f>HYPERLINK("https://www.nba.com/game/...-vs-...-0022000366/play-by-play?watchFullGame=true", "LAC vs SAC - Q3 03:21.00")</f>
        <v>LAC vs SAC - Q3 03:21.00</v>
      </c>
      <c r="L1231">
        <v>2.04</v>
      </c>
      <c r="M1231">
        <v>7.18</v>
      </c>
      <c r="N1231">
        <v>52.77</v>
      </c>
      <c r="O1231">
        <v>-14</v>
      </c>
      <c r="P1231">
        <v>15</v>
      </c>
    </row>
    <row r="1232" spans="1:16" x14ac:dyDescent="0.25">
      <c r="A1232">
        <v>21600213</v>
      </c>
      <c r="B1232">
        <v>2016</v>
      </c>
      <c r="C1232" t="s">
        <v>32</v>
      </c>
      <c r="D1232" t="s">
        <v>51</v>
      </c>
      <c r="E1232">
        <v>6</v>
      </c>
      <c r="F1232">
        <v>6</v>
      </c>
      <c r="G1232">
        <v>1</v>
      </c>
      <c r="H1232" s="1">
        <v>5.9953703703703705E-3</v>
      </c>
      <c r="I1232" t="s">
        <v>18</v>
      </c>
      <c r="J1232" s="2" t="str">
        <f>HYPERLINK("https://www.nba.com/stats/events?CFID=&amp;CFPARAMS=&amp;GameEventID=24&amp;GameID=0021600213&amp;Season=2016-17&amp;flag=1&amp;title=Leonard%202'%20Reverse%20Layup%20(2%20PTS)", "Leonard 2' Reverse Layup (2 PTS)")</f>
        <v>Leonard 2' Reverse Layup (2 PTS)</v>
      </c>
      <c r="K1232" s="2" t="str">
        <f>HYPERLINK("https://www.nba.com/game/...-vs-...-0021600213/play-by-play?watchFullGame=true", "SAS vs CHA - Q1 08:38.00")</f>
        <v>SAS vs CHA - Q1 08:38.00</v>
      </c>
      <c r="L1232">
        <v>2</v>
      </c>
      <c r="M1232">
        <v>-14</v>
      </c>
      <c r="N1232">
        <v>18</v>
      </c>
      <c r="O1232">
        <v>-14</v>
      </c>
      <c r="P1232">
        <v>18</v>
      </c>
    </row>
    <row r="1233" spans="1:16" x14ac:dyDescent="0.25">
      <c r="A1233">
        <v>21900576</v>
      </c>
      <c r="B1233">
        <v>2019</v>
      </c>
      <c r="C1233" t="s">
        <v>32</v>
      </c>
      <c r="D1233" t="s">
        <v>50</v>
      </c>
      <c r="E1233">
        <v>54</v>
      </c>
      <c r="F1233">
        <v>53</v>
      </c>
      <c r="G1233">
        <v>3</v>
      </c>
      <c r="H1233" s="1">
        <v>7.5347222222222222E-3</v>
      </c>
      <c r="I1233" t="s">
        <v>23</v>
      </c>
      <c r="J1233" s="2" t="str">
        <f>HYPERLINK("https://www.nba.com/stats/events?CFID=&amp;CFPARAMS=&amp;GameEventID=364&amp;GameID=0021900576&amp;Season=2019-20&amp;flag=1&amp;title=Leonard%20layup%20(21%20PTS)", "Layup (21 PTS)")</f>
        <v>Layup (21 PTS)</v>
      </c>
      <c r="K1233" s="2" t="str">
        <f>HYPERLINK("https://www.nba.com/game/...-vs-...-0021900576/play-by-play?watchFullGame=true", "LAC vs GSW - Q3 10:51.00")</f>
        <v>LAC vs GSW - Q3 10:51.00</v>
      </c>
      <c r="L1233">
        <v>3</v>
      </c>
      <c r="M1233">
        <v>7.8</v>
      </c>
      <c r="N1233">
        <v>52.87</v>
      </c>
      <c r="O1233">
        <v>-14</v>
      </c>
      <c r="P1233">
        <v>21</v>
      </c>
    </row>
    <row r="1234" spans="1:16" x14ac:dyDescent="0.25">
      <c r="A1234">
        <v>21600657</v>
      </c>
      <c r="B1234">
        <v>2016</v>
      </c>
      <c r="C1234" t="s">
        <v>32</v>
      </c>
      <c r="D1234" t="s">
        <v>19</v>
      </c>
      <c r="E1234">
        <v>37</v>
      </c>
      <c r="F1234">
        <v>43</v>
      </c>
      <c r="G1234">
        <v>2</v>
      </c>
      <c r="H1234" s="1">
        <v>4.6874999999999998E-3</v>
      </c>
      <c r="I1234" t="s">
        <v>18</v>
      </c>
      <c r="J1234" s="2" t="str">
        <f>HYPERLINK("https://www.nba.com/stats/events?CFID=&amp;CFPARAMS=&amp;GameEventID=191&amp;GameID=0021600657&amp;Season=2016-17&amp;flag=1&amp;title=Leonard%204'%20Jump%20Shot%20(12%20PTS)%20(Murray%202%20AST)", "Leonard 4' Jump Shot (12 PTS) (Murray 2 AST)")</f>
        <v>Leonard 4' Jump Shot (12 PTS) (Murray 2 AST)</v>
      </c>
      <c r="K1234" s="2" t="str">
        <f>HYPERLINK("https://www.nba.com/game/...-vs-...-0021600657/play-by-play?watchFullGame=true", "SAS vs CLE - Q2 06:45.00")</f>
        <v>SAS vs CLE - Q2 06:45.00</v>
      </c>
      <c r="L1234">
        <v>4</v>
      </c>
      <c r="M1234">
        <v>-14</v>
      </c>
      <c r="N1234">
        <v>41</v>
      </c>
      <c r="O1234">
        <v>-14</v>
      </c>
      <c r="P1234">
        <v>41</v>
      </c>
    </row>
    <row r="1235" spans="1:16" x14ac:dyDescent="0.25">
      <c r="A1235">
        <v>21600727</v>
      </c>
      <c r="B1235">
        <v>2016</v>
      </c>
      <c r="C1235" t="s">
        <v>32</v>
      </c>
      <c r="D1235" t="s">
        <v>37</v>
      </c>
      <c r="E1235">
        <v>66</v>
      </c>
      <c r="F1235">
        <v>49</v>
      </c>
      <c r="G1235">
        <v>3</v>
      </c>
      <c r="H1235" s="1">
        <v>6.053240740740741E-3</v>
      </c>
      <c r="I1235" t="s">
        <v>18</v>
      </c>
      <c r="J1235" s="2" t="str">
        <f>HYPERLINK("https://www.nba.com/stats/events?CFID=&amp;CFPARAMS=&amp;GameEventID=379&amp;GameID=0021600727&amp;Season=2016-17&amp;flag=1&amp;title=Leonard%205'%20Floating%20Jump%20Shot%20(19%20PTS)", "Leonard 5' Floating Jump Shot (19 PTS)")</f>
        <v>Leonard 5' Floating Jump Shot (19 PTS)</v>
      </c>
      <c r="K1235" s="2" t="str">
        <f>HYPERLINK("https://www.nba.com/game/...-vs-...-0021600727/play-by-play?watchFullGame=true", "SAS vs OKC - Q3 08:43.00")</f>
        <v>SAS vs OKC - Q3 08:43.00</v>
      </c>
      <c r="L1235">
        <v>5</v>
      </c>
      <c r="M1235">
        <v>-14</v>
      </c>
      <c r="N1235">
        <v>43</v>
      </c>
      <c r="O1235">
        <v>-14</v>
      </c>
      <c r="P1235">
        <v>43</v>
      </c>
    </row>
    <row r="1236" spans="1:16" x14ac:dyDescent="0.25">
      <c r="A1236">
        <v>21600727</v>
      </c>
      <c r="B1236">
        <v>2016</v>
      </c>
      <c r="C1236" t="s">
        <v>32</v>
      </c>
      <c r="D1236" t="s">
        <v>19</v>
      </c>
      <c r="E1236">
        <v>10</v>
      </c>
      <c r="F1236">
        <v>8</v>
      </c>
      <c r="G1236">
        <v>1</v>
      </c>
      <c r="H1236" s="1">
        <v>4.7106481481481478E-3</v>
      </c>
      <c r="I1236" t="s">
        <v>18</v>
      </c>
      <c r="J1236" s="2" t="str">
        <f>HYPERLINK("https://www.nba.com/stats/events?CFID=&amp;CFPARAMS=&amp;GameEventID=58&amp;GameID=0021600727&amp;Season=2016-17&amp;flag=1&amp;title=Leonard%208'%20Jump%20Shot%20(2%20PTS)", "Leonard 8' Jump Shot (2 PTS)")</f>
        <v>Leonard 8' Jump Shot (2 PTS)</v>
      </c>
      <c r="K1236" s="2" t="str">
        <f>HYPERLINK("https://www.nba.com/game/...-vs-...-0021600727/play-by-play?watchFullGame=true", "SAS vs OKC - Q1 06:47.00")</f>
        <v>SAS vs OKC - Q1 06:47.00</v>
      </c>
      <c r="L1236">
        <v>8</v>
      </c>
      <c r="M1236">
        <v>-14</v>
      </c>
      <c r="N1236">
        <v>77</v>
      </c>
      <c r="O1236">
        <v>-14</v>
      </c>
      <c r="P1236">
        <v>77</v>
      </c>
    </row>
    <row r="1237" spans="1:16" x14ac:dyDescent="0.25">
      <c r="A1237">
        <v>22000105</v>
      </c>
      <c r="B1237">
        <v>2020</v>
      </c>
      <c r="C1237" t="s">
        <v>32</v>
      </c>
      <c r="D1237" t="s">
        <v>19</v>
      </c>
      <c r="E1237">
        <v>104</v>
      </c>
      <c r="F1237">
        <v>113</v>
      </c>
      <c r="G1237">
        <v>4</v>
      </c>
      <c r="H1237" s="1">
        <v>2.4421296296296296E-3</v>
      </c>
      <c r="I1237" t="s">
        <v>23</v>
      </c>
      <c r="J1237" s="2" t="str">
        <f>HYPERLINK("https://www.nba.com/stats/events?CFID=&amp;CFPARAMS=&amp;GameEventID=558&amp;GameID=0022000105&amp;Season=2020-21&amp;flag=1&amp;title=Leonard%209'%20pullup%20Jump%20Shot%20(30%20PTS)", "9' pullup Jump Shot (30 PTS)")</f>
        <v>9' pullup Jump Shot (30 PTS)</v>
      </c>
      <c r="K1237" s="2" t="str">
        <f>HYPERLINK("https://www.nba.com/game/...-vs-...-0022000105/play-by-play?watchFullGame=true", "LAC vs SAS - Q4 03:31.00")</f>
        <v>LAC vs SAS - Q4 03:31.00</v>
      </c>
      <c r="L1237">
        <v>9.23</v>
      </c>
      <c r="M1237">
        <v>84.71</v>
      </c>
      <c r="N1237">
        <v>47.13</v>
      </c>
      <c r="O1237">
        <v>-14</v>
      </c>
      <c r="P1237">
        <v>91</v>
      </c>
    </row>
    <row r="1238" spans="1:16" x14ac:dyDescent="0.25">
      <c r="A1238">
        <v>21501043</v>
      </c>
      <c r="B1238">
        <v>2015</v>
      </c>
      <c r="C1238" t="s">
        <v>32</v>
      </c>
      <c r="D1238" t="s">
        <v>24</v>
      </c>
      <c r="E1238">
        <v>20</v>
      </c>
      <c r="F1238">
        <v>34</v>
      </c>
      <c r="G1238">
        <v>2</v>
      </c>
      <c r="H1238" s="1">
        <v>4.5138888888888885E-3</v>
      </c>
      <c r="I1238" t="s">
        <v>18</v>
      </c>
      <c r="J1238" s="2" t="str">
        <f>HYPERLINK("https://www.nba.com/stats/events?CFID=&amp;CFPARAMS=&amp;GameEventID=194&amp;GameID=0021501043&amp;Season=2015-16&amp;flag=1&amp;title=Leonard%2010'%20Turnaround%20Jump%20Shot%20(5%20PTS)", "Leonard 10' Turnaround Jump Shot (5 PTS)")</f>
        <v>Leonard 10' Turnaround Jump Shot (5 PTS)</v>
      </c>
      <c r="K1238" s="2" t="str">
        <f>HYPERLINK("https://www.nba.com/game/...-vs-...-0021501043/play-by-play?watchFullGame=true", "SAS vs CHA - Q2 06:30.00")</f>
        <v>SAS vs CHA - Q2 06:30.00</v>
      </c>
      <c r="L1238">
        <v>10</v>
      </c>
      <c r="M1238">
        <v>-14</v>
      </c>
      <c r="N1238">
        <v>95</v>
      </c>
      <c r="O1238">
        <v>-14</v>
      </c>
      <c r="P1238">
        <v>95</v>
      </c>
    </row>
    <row r="1239" spans="1:16" x14ac:dyDescent="0.25">
      <c r="A1239">
        <v>41800212</v>
      </c>
      <c r="B1239" t="s">
        <v>20</v>
      </c>
      <c r="C1239" t="s">
        <v>32</v>
      </c>
      <c r="D1239" t="s">
        <v>29</v>
      </c>
      <c r="E1239">
        <v>28</v>
      </c>
      <c r="F1239">
        <v>45</v>
      </c>
      <c r="G1239">
        <v>2</v>
      </c>
      <c r="H1239" s="1">
        <v>2.3495370370370371E-3</v>
      </c>
      <c r="I1239" t="s">
        <v>21</v>
      </c>
      <c r="J1239" s="2" t="str">
        <f>HYPERLINK("https://www.nba.com/stats/events?CFID=&amp;CFPARAMS=&amp;GameEventID=270&amp;GameID=0041800212&amp;Season=2018-19&amp;flag=1&amp;title=Leonard%2012'%20Pullup%20Jump%20Shot%20(13%20PTS)", "Leonard 12' Pullup Jump Shot (13 PTS)")</f>
        <v>Leonard 12' Pullup Jump Shot (13 PTS)</v>
      </c>
      <c r="K1239" s="2" t="str">
        <f>HYPERLINK("https://www.nba.com/game/...-vs-...-0041800212/play-by-play?watchFullGame=true", "TOR vs PHI - Q2 03:23.00")</f>
        <v>TOR vs PHI - Q2 03:23.00</v>
      </c>
      <c r="L1239">
        <v>12</v>
      </c>
      <c r="M1239">
        <v>-14</v>
      </c>
      <c r="N1239">
        <v>116</v>
      </c>
      <c r="O1239">
        <v>-14</v>
      </c>
      <c r="P1239">
        <v>116</v>
      </c>
    </row>
    <row r="1240" spans="1:16" x14ac:dyDescent="0.25">
      <c r="A1240">
        <v>22000350</v>
      </c>
      <c r="B1240">
        <v>2020</v>
      </c>
      <c r="C1240" t="s">
        <v>32</v>
      </c>
      <c r="D1240" t="s">
        <v>19</v>
      </c>
      <c r="E1240">
        <v>99</v>
      </c>
      <c r="F1240">
        <v>102</v>
      </c>
      <c r="G1240">
        <v>4</v>
      </c>
      <c r="H1240" s="1">
        <v>4.5833333333333334E-3</v>
      </c>
      <c r="I1240" t="s">
        <v>23</v>
      </c>
      <c r="J1240" s="2" t="str">
        <f>HYPERLINK("https://www.nba.com/stats/events?CFID=&amp;CFPARAMS=&amp;GameEventID=522&amp;GameID=0022000350&amp;Season=2020-21&amp;flag=1&amp;title=Leonard%2013'%20pullup%20Jump%20Shot%20(24%20PTS)%20(L.%20Williams%206%20AST)", "13' pullup Jump Shot (24 PTS) (L. Williams 6 AST)")</f>
        <v>13' pullup Jump Shot (24 PTS) (L. Williams 6 AST)</v>
      </c>
      <c r="K1240" s="2" t="str">
        <f>HYPERLINK("https://www.nba.com/game/...-vs-...-0022000350/play-by-play?watchFullGame=true", "LAC vs BOS - Q4 06:36.00")</f>
        <v>LAC vs BOS - Q4 06:36.00</v>
      </c>
      <c r="L1240">
        <v>13.53</v>
      </c>
      <c r="M1240">
        <v>80.11</v>
      </c>
      <c r="N1240">
        <v>47.13</v>
      </c>
      <c r="O1240">
        <v>-14</v>
      </c>
      <c r="P1240">
        <v>134</v>
      </c>
    </row>
    <row r="1241" spans="1:16" x14ac:dyDescent="0.25">
      <c r="A1241">
        <v>41800406</v>
      </c>
      <c r="B1241" t="s">
        <v>20</v>
      </c>
      <c r="C1241" t="s">
        <v>32</v>
      </c>
      <c r="D1241" t="s">
        <v>29</v>
      </c>
      <c r="E1241">
        <v>46</v>
      </c>
      <c r="F1241">
        <v>45</v>
      </c>
      <c r="G1241">
        <v>2</v>
      </c>
      <c r="H1241" s="1">
        <v>3.2407407407407406E-3</v>
      </c>
      <c r="I1241" t="s">
        <v>21</v>
      </c>
      <c r="J1241" s="2" t="str">
        <f>HYPERLINK("https://www.nba.com/stats/events?CFID=&amp;CFPARAMS=&amp;GameEventID=260&amp;GameID=0041800406&amp;Season=2018-19&amp;flag=1&amp;title=Leonard%2022'%20Pullup%20Jump%20Shot%20(6%20PTS)%20(Siakam%201%20AST)", "Leonard 22' Pullup Jump Shot (6 PTS) (Siakam 1 AST)")</f>
        <v>Leonard 22' Pullup Jump Shot (6 PTS) (Siakam 1 AST)</v>
      </c>
      <c r="K1241" s="2" t="str">
        <f>HYPERLINK("https://www.nba.com/game/...-vs-...-0041800406/play-by-play?watchFullGame=true", "TOR vs GSW - Q2 04:40.00")</f>
        <v>TOR vs GSW - Q2 04:40.00</v>
      </c>
      <c r="L1241">
        <v>22</v>
      </c>
      <c r="M1241">
        <v>-14</v>
      </c>
      <c r="N1241">
        <v>216</v>
      </c>
      <c r="O1241">
        <v>-14</v>
      </c>
      <c r="P1241">
        <v>216</v>
      </c>
    </row>
    <row r="1242" spans="1:16" x14ac:dyDescent="0.25">
      <c r="A1242">
        <v>21600639</v>
      </c>
      <c r="B1242">
        <v>2016</v>
      </c>
      <c r="C1242" t="s">
        <v>16</v>
      </c>
      <c r="D1242" t="s">
        <v>19</v>
      </c>
      <c r="E1242">
        <v>9</v>
      </c>
      <c r="F1242">
        <v>10</v>
      </c>
      <c r="G1242">
        <v>1</v>
      </c>
      <c r="H1242" s="1">
        <v>4.5833333333333334E-3</v>
      </c>
      <c r="I1242" t="s">
        <v>18</v>
      </c>
      <c r="J1242" s="2" t="str">
        <f>HYPERLINK("https://www.nba.com/stats/events?CFID=&amp;CFPARAMS=&amp;GameEventID=48&amp;GameID=0021600639&amp;Season=2016-17&amp;flag=1&amp;title=Leonard%2025'%203PT%20Jump%20Shot%20(3%20PTS)%20(Aldridge%201%20AST)", "Leonard 25' 3PT Jump Shot (3 PTS) (Aldridge 1 AST)")</f>
        <v>Leonard 25' 3PT Jump Shot (3 PTS) (Aldridge 1 AST)</v>
      </c>
      <c r="K1242" s="2" t="str">
        <f>HYPERLINK("https://www.nba.com/game/...-vs-...-0021600639/play-by-play?watchFullGame=true", "SAS vs DEN - Q1 06:36.00")</f>
        <v>SAS vs DEN - Q1 06:36.00</v>
      </c>
      <c r="L1242">
        <v>25</v>
      </c>
      <c r="M1242">
        <v>-14</v>
      </c>
      <c r="N1242">
        <v>247</v>
      </c>
      <c r="O1242">
        <v>-14</v>
      </c>
      <c r="P1242">
        <v>247</v>
      </c>
    </row>
    <row r="1243" spans="1:16" x14ac:dyDescent="0.25">
      <c r="A1243">
        <v>21300057</v>
      </c>
      <c r="B1243">
        <v>2013</v>
      </c>
      <c r="C1243" t="s">
        <v>32</v>
      </c>
      <c r="D1243" t="s">
        <v>51</v>
      </c>
      <c r="E1243">
        <v>46</v>
      </c>
      <c r="F1243">
        <v>38</v>
      </c>
      <c r="G1243">
        <v>2</v>
      </c>
      <c r="H1243" s="1">
        <v>2.650462962962963E-3</v>
      </c>
      <c r="I1243" t="s">
        <v>18</v>
      </c>
      <c r="J1243" s="2" t="str">
        <f>HYPERLINK("https://www.nba.com/stats/events?CFID=&amp;CFPARAMS=&amp;GameEventID=219&amp;GameID=0021300057&amp;Season=2013-14&amp;flag=1&amp;title=Leonard%201'%20Reverse%20Layup%20(4%20PTS)%20(Duncan%203%20AST)", "Leonard 1' Reverse Layup (4 PTS) (Duncan 3 AST)")</f>
        <v>Leonard 1' Reverse Layup (4 PTS) (Duncan 3 AST)</v>
      </c>
      <c r="K1243" s="2" t="str">
        <f>HYPERLINK("https://www.nba.com/game/...-vs-...-0021300057/play-by-play?watchFullGame=true", "SAS vs DEN - Q2 03:49.00")</f>
        <v>SAS vs DEN - Q2 03:49.00</v>
      </c>
      <c r="L1243">
        <v>1</v>
      </c>
      <c r="M1243">
        <v>-13</v>
      </c>
      <c r="N1243">
        <v>-6</v>
      </c>
      <c r="O1243">
        <v>-13</v>
      </c>
      <c r="P1243">
        <v>-6</v>
      </c>
    </row>
    <row r="1244" spans="1:16" x14ac:dyDescent="0.25">
      <c r="A1244">
        <v>21300321</v>
      </c>
      <c r="B1244">
        <v>2013</v>
      </c>
      <c r="C1244" t="s">
        <v>32</v>
      </c>
      <c r="D1244" t="s">
        <v>57</v>
      </c>
      <c r="E1244">
        <v>0</v>
      </c>
      <c r="F1244">
        <v>9</v>
      </c>
      <c r="G1244">
        <v>1</v>
      </c>
      <c r="H1244" s="1">
        <v>6.9675925925925929E-3</v>
      </c>
      <c r="I1244" t="s">
        <v>18</v>
      </c>
      <c r="J1244" s="2" t="str">
        <f>HYPERLINK("https://www.nba.com/stats/events?CFID=&amp;CFPARAMS=&amp;GameEventID=12&amp;GameID=0021300321&amp;Season=2013-14&amp;flag=1&amp;title=Leonard%201'%20Layup%20(2%20PTS)", "Leonard 1' Layup (2 PTS)")</f>
        <v>Leonard 1' Layup (2 PTS)</v>
      </c>
      <c r="K1244" s="2" t="str">
        <f>HYPERLINK("https://www.nba.com/game/...-vs-...-0021300321/play-by-play?watchFullGame=true", "SAS vs MIL - Q1 10:02.00")</f>
        <v>SAS vs MIL - Q1 10:02.00</v>
      </c>
      <c r="L1244">
        <v>1</v>
      </c>
      <c r="M1244">
        <v>-13</v>
      </c>
      <c r="N1244">
        <v>-2</v>
      </c>
      <c r="O1244">
        <v>-13</v>
      </c>
      <c r="P1244">
        <v>-2</v>
      </c>
    </row>
    <row r="1245" spans="1:16" x14ac:dyDescent="0.25">
      <c r="A1245">
        <v>22201229</v>
      </c>
      <c r="B1245">
        <v>2022</v>
      </c>
      <c r="C1245" t="s">
        <v>32</v>
      </c>
      <c r="D1245" t="s">
        <v>47</v>
      </c>
      <c r="E1245">
        <v>114</v>
      </c>
      <c r="F1245">
        <v>119</v>
      </c>
      <c r="G1245">
        <v>4</v>
      </c>
      <c r="H1245" s="1">
        <v>2.2453703703703703E-4</v>
      </c>
      <c r="I1245" t="s">
        <v>23</v>
      </c>
      <c r="J1245" s="2" t="str">
        <f>HYPERLINK("https://www.nba.com/stats/events?CFID=&amp;CFPARAMS=&amp;GameEventID=649&amp;GameID=0022201229&amp;Season=2022-23&amp;flag=1&amp;title=Leonard%20driving%20Layup%20(25%20PTS)", "Driving Layup (25 PTS)")</f>
        <v>Driving Layup (25 PTS)</v>
      </c>
      <c r="K1245" s="2" t="str">
        <f>HYPERLINK("https://www.nba.com/game/...-vs-...-0022201229/play-by-play?watchFullGame=true", "LAC vs PHX - Q4 00:19.40")</f>
        <v>LAC vs PHX - Q4 00:19.40</v>
      </c>
      <c r="L1245">
        <v>1.41</v>
      </c>
      <c r="M1245">
        <v>6</v>
      </c>
      <c r="N1245">
        <v>52.7</v>
      </c>
      <c r="O1245">
        <v>-13</v>
      </c>
      <c r="P1245">
        <v>4</v>
      </c>
    </row>
    <row r="1246" spans="1:16" x14ac:dyDescent="0.25">
      <c r="A1246">
        <v>41800303</v>
      </c>
      <c r="B1246" t="s">
        <v>20</v>
      </c>
      <c r="C1246" t="s">
        <v>32</v>
      </c>
      <c r="D1246" t="s">
        <v>63</v>
      </c>
      <c r="E1246">
        <v>20</v>
      </c>
      <c r="F1246">
        <v>13</v>
      </c>
      <c r="G1246">
        <v>1</v>
      </c>
      <c r="H1246" s="1">
        <v>3.2638888888888891E-3</v>
      </c>
      <c r="I1246" t="s">
        <v>21</v>
      </c>
      <c r="J1246" s="2" t="str">
        <f>HYPERLINK("https://www.nba.com/stats/events?CFID=&amp;CFPARAMS=&amp;GameEventID=101&amp;GameID=0041800303&amp;Season=2018-19&amp;flag=1&amp;title=Leonard%201'%20Running%20Dunk%20(4%20PTS)%20(Powell%201%20AST)", "Leonard 1' Running Dunk (4 PTS) (Powell 1 AST)")</f>
        <v>Leonard 1' Running Dunk (4 PTS) (Powell 1 AST)</v>
      </c>
      <c r="K1246" s="2" t="str">
        <f>HYPERLINK("https://www.nba.com/game/...-vs-...-0041800303/play-by-play?watchFullGame=true", "TOR vs MIL - Q1 04:42.00")</f>
        <v>TOR vs MIL - Q1 04:42.00</v>
      </c>
      <c r="L1246">
        <v>1</v>
      </c>
      <c r="M1246">
        <v>-13</v>
      </c>
      <c r="N1246">
        <v>5</v>
      </c>
      <c r="O1246">
        <v>-13</v>
      </c>
      <c r="P1246">
        <v>5</v>
      </c>
    </row>
    <row r="1247" spans="1:16" x14ac:dyDescent="0.25">
      <c r="A1247">
        <v>41300404</v>
      </c>
      <c r="B1247" t="s">
        <v>26</v>
      </c>
      <c r="C1247" t="s">
        <v>32</v>
      </c>
      <c r="D1247" t="s">
        <v>64</v>
      </c>
      <c r="E1247">
        <v>33</v>
      </c>
      <c r="F1247">
        <v>55</v>
      </c>
      <c r="G1247">
        <v>2</v>
      </c>
      <c r="H1247" s="1">
        <v>7.8703703703703705E-4</v>
      </c>
      <c r="I1247" t="s">
        <v>18</v>
      </c>
      <c r="J1247" s="2" t="str">
        <f>HYPERLINK("https://www.nba.com/stats/events?CFID=&amp;CFPARAMS=&amp;GameEventID=230&amp;GameID=0041300404&amp;Season=2013-14&amp;flag=1&amp;title=Leonard%201'%20Putback%20Dunk%20(8%20PTS)", "Leonard 1' Putback Dunk (8 PTS)")</f>
        <v>Leonard 1' Putback Dunk (8 PTS)</v>
      </c>
      <c r="K1247" s="2" t="str">
        <f>HYPERLINK("https://www.nba.com/game/...-vs-...-0041300404/play-by-play?watchFullGame=true", "SAS vs MIA - Q2 01:08.00")</f>
        <v>SAS vs MIA - Q2 01:08.00</v>
      </c>
      <c r="L1247">
        <v>1</v>
      </c>
      <c r="M1247">
        <v>-13</v>
      </c>
      <c r="N1247">
        <v>7</v>
      </c>
      <c r="O1247">
        <v>-13</v>
      </c>
      <c r="P1247">
        <v>7</v>
      </c>
    </row>
    <row r="1248" spans="1:16" x14ac:dyDescent="0.25">
      <c r="A1248">
        <v>22301028</v>
      </c>
      <c r="B1248">
        <v>2023</v>
      </c>
      <c r="C1248" t="s">
        <v>32</v>
      </c>
      <c r="D1248" t="s">
        <v>47</v>
      </c>
      <c r="E1248">
        <v>77</v>
      </c>
      <c r="F1248">
        <v>81</v>
      </c>
      <c r="G1248">
        <v>3</v>
      </c>
      <c r="H1248" s="1">
        <v>1.7939814814814815E-3</v>
      </c>
      <c r="I1248" t="s">
        <v>23</v>
      </c>
      <c r="J1248" s="2" t="str">
        <f>HYPERLINK("https://www.nba.com/stats/events?CFID=&amp;CFPARAMS=&amp;GameEventID=405&amp;GameID=0022301028&amp;Season=2023-24&amp;flag=1&amp;title=Leonard%20driving%20finger%20roll%20Layup%20(18%20PTS)", "Driving finger roll Layup (18 PTS)")</f>
        <v>Driving finger roll Layup (18 PTS)</v>
      </c>
      <c r="K1248" s="2" t="str">
        <f>HYPERLINK("https://www.nba.com/game/...-vs-...-0022301028/play-by-play?watchFullGame=true", "LAC vs PHI - Q3 02:35.00")</f>
        <v>LAC vs PHI - Q3 02:35.00</v>
      </c>
      <c r="L1248">
        <v>1.6</v>
      </c>
      <c r="M1248">
        <v>6.49</v>
      </c>
      <c r="N1248">
        <v>52.7</v>
      </c>
      <c r="O1248">
        <v>-13</v>
      </c>
      <c r="P1248">
        <v>8</v>
      </c>
    </row>
    <row r="1249" spans="1:16" x14ac:dyDescent="0.25">
      <c r="A1249">
        <v>21300181</v>
      </c>
      <c r="B1249">
        <v>2013</v>
      </c>
      <c r="C1249" t="s">
        <v>32</v>
      </c>
      <c r="D1249" t="s">
        <v>57</v>
      </c>
      <c r="E1249">
        <v>45</v>
      </c>
      <c r="F1249">
        <v>57</v>
      </c>
      <c r="G1249">
        <v>3</v>
      </c>
      <c r="H1249" s="1">
        <v>5.2546296296296299E-3</v>
      </c>
      <c r="I1249" t="s">
        <v>18</v>
      </c>
      <c r="J1249" s="2" t="str">
        <f>HYPERLINK("https://www.nba.com/stats/events?CFID=&amp;CFPARAMS=&amp;GameEventID=253&amp;GameID=0021300181&amp;Season=2013-14&amp;flag=1&amp;title=Leonard%202'%20Layup%20(10%20PTS)", "Leonard 2' Layup (10 PTS)")</f>
        <v>Leonard 2' Layup (10 PTS)</v>
      </c>
      <c r="K1249" s="2" t="str">
        <f>HYPERLINK("https://www.nba.com/game/...-vs-...-0021300181/play-by-play?watchFullGame=true", "SAS vs MEM - Q3 07:34.00")</f>
        <v>SAS vs MEM - Q3 07:34.00</v>
      </c>
      <c r="L1249">
        <v>2</v>
      </c>
      <c r="M1249">
        <v>-13</v>
      </c>
      <c r="N1249">
        <v>11</v>
      </c>
      <c r="O1249">
        <v>-13</v>
      </c>
      <c r="P1249">
        <v>11</v>
      </c>
    </row>
    <row r="1250" spans="1:16" x14ac:dyDescent="0.25">
      <c r="A1250">
        <v>22200408</v>
      </c>
      <c r="B1250">
        <v>2022</v>
      </c>
      <c r="C1250" t="s">
        <v>32</v>
      </c>
      <c r="D1250" t="s">
        <v>47</v>
      </c>
      <c r="E1250">
        <v>54</v>
      </c>
      <c r="F1250">
        <v>45</v>
      </c>
      <c r="G1250">
        <v>2</v>
      </c>
      <c r="H1250" s="1">
        <v>8.3333333333333339E-4</v>
      </c>
      <c r="I1250" t="s">
        <v>23</v>
      </c>
      <c r="J1250" s="2" t="str">
        <f>HYPERLINK("https://www.nba.com/stats/events?CFID=&amp;CFPARAMS=&amp;GameEventID=322&amp;GameID=0022200408&amp;Season=2022-23&amp;flag=1&amp;title=Leonard%20driving%20Layup%20(10%20PTS)", "Driving Layup (10 PTS)")</f>
        <v>Driving Layup (10 PTS)</v>
      </c>
      <c r="K1250" s="2" t="str">
        <f>HYPERLINK("https://www.nba.com/game/...-vs-...-0022200408/play-by-play?watchFullGame=true", "LAC vs BOS - Q2 01:12.00")</f>
        <v>LAC vs BOS - Q2 01:12.00</v>
      </c>
      <c r="L1250">
        <v>1.76</v>
      </c>
      <c r="M1250">
        <v>93.22</v>
      </c>
      <c r="N1250">
        <v>47.3</v>
      </c>
      <c r="O1250">
        <v>-13</v>
      </c>
      <c r="P1250">
        <v>11</v>
      </c>
    </row>
    <row r="1251" spans="1:16" x14ac:dyDescent="0.25">
      <c r="A1251">
        <v>22300618</v>
      </c>
      <c r="B1251">
        <v>2023</v>
      </c>
      <c r="C1251" t="s">
        <v>32</v>
      </c>
      <c r="D1251" t="s">
        <v>47</v>
      </c>
      <c r="E1251">
        <v>94</v>
      </c>
      <c r="F1251">
        <v>88</v>
      </c>
      <c r="G1251">
        <v>3</v>
      </c>
      <c r="H1251" s="1">
        <v>3.2291666666666666E-3</v>
      </c>
      <c r="I1251" t="s">
        <v>23</v>
      </c>
      <c r="J1251" s="2" t="str">
        <f>HYPERLINK("https://www.nba.com/stats/events?CFID=&amp;CFPARAMS=&amp;GameEventID=389&amp;GameID=0022300618&amp;Season=2023-24&amp;flag=1&amp;title=Leonard%20Layup%20(20%20PTS)%20(J.%20Harden%209%20AST)", "Layup (20 PTS) (J. Harden 9 AST)")</f>
        <v>Layup (20 PTS) (J. Harden 9 AST)</v>
      </c>
      <c r="K1251" s="2" t="str">
        <f>HYPERLINK("https://www.nba.com/game/...-vs-...-0022300618/play-by-play?watchFullGame=true", "LAC vs LAL - Q3 04:39.00")</f>
        <v>LAC vs LAL - Q3 04:39.00</v>
      </c>
      <c r="L1251">
        <v>3.7</v>
      </c>
      <c r="M1251">
        <v>9.25</v>
      </c>
      <c r="N1251">
        <v>52.7</v>
      </c>
      <c r="O1251">
        <v>-13</v>
      </c>
      <c r="P1251">
        <v>34</v>
      </c>
    </row>
    <row r="1252" spans="1:16" x14ac:dyDescent="0.25">
      <c r="A1252">
        <v>41300311</v>
      </c>
      <c r="B1252" t="s">
        <v>26</v>
      </c>
      <c r="C1252" t="s">
        <v>32</v>
      </c>
      <c r="D1252" t="s">
        <v>17</v>
      </c>
      <c r="E1252">
        <v>8</v>
      </c>
      <c r="F1252">
        <v>5</v>
      </c>
      <c r="G1252">
        <v>1</v>
      </c>
      <c r="H1252" s="1">
        <v>6.1574074074074074E-3</v>
      </c>
      <c r="I1252" t="s">
        <v>18</v>
      </c>
      <c r="J1252" s="2" t="str">
        <f>HYPERLINK("https://www.nba.com/stats/events?CFID=&amp;CFPARAMS=&amp;GameEventID=28&amp;GameID=0041300311&amp;Season=2013-14&amp;flag=1&amp;title=Leonard%204'%20Running%20Jump%20Shot%20(4%20PTS)", "Leonard 4' Running Jump Shot (4 PTS)")</f>
        <v>Leonard 4' Running Jump Shot (4 PTS)</v>
      </c>
      <c r="K1252" s="2" t="str">
        <f>HYPERLINK("https://www.nba.com/game/...-vs-...-0041300311/play-by-play?watchFullGame=true", "SAS vs OKC - Q1 08:52.00")</f>
        <v>SAS vs OKC - Q1 08:52.00</v>
      </c>
      <c r="L1252">
        <v>4</v>
      </c>
      <c r="M1252">
        <v>-13</v>
      </c>
      <c r="N1252">
        <v>39</v>
      </c>
      <c r="O1252">
        <v>-13</v>
      </c>
      <c r="P1252">
        <v>39</v>
      </c>
    </row>
    <row r="1253" spans="1:16" x14ac:dyDescent="0.25">
      <c r="A1253">
        <v>21400790</v>
      </c>
      <c r="B1253">
        <v>2014</v>
      </c>
      <c r="C1253" t="s">
        <v>32</v>
      </c>
      <c r="D1253" t="s">
        <v>19</v>
      </c>
      <c r="E1253">
        <v>74</v>
      </c>
      <c r="F1253">
        <v>91</v>
      </c>
      <c r="G1253">
        <v>4</v>
      </c>
      <c r="H1253" s="1">
        <v>5.4513888888888893E-3</v>
      </c>
      <c r="I1253" t="s">
        <v>18</v>
      </c>
      <c r="J1253" s="2" t="str">
        <f>HYPERLINK("https://www.nba.com/stats/events?CFID=&amp;CFPARAMS=&amp;GameEventID=381&amp;GameID=0021400790&amp;Season=2014-15&amp;flag=1&amp;title=Leonard%204'%20Jump%20Shot%20(8%20PTS)", "Leonard 4' Jump Shot (8 PTS)")</f>
        <v>Leonard 4' Jump Shot (8 PTS)</v>
      </c>
      <c r="K1253" s="2" t="str">
        <f>HYPERLINK("https://www.nba.com/game/...-vs-...-0021400790/play-by-play?watchFullGame=true", "SAS vs DET - Q4 07:51.00")</f>
        <v>SAS vs DET - Q4 07:51.00</v>
      </c>
      <c r="L1253">
        <v>4</v>
      </c>
      <c r="M1253">
        <v>-13</v>
      </c>
      <c r="N1253">
        <v>39</v>
      </c>
      <c r="O1253">
        <v>-13</v>
      </c>
      <c r="P1253">
        <v>39</v>
      </c>
    </row>
    <row r="1254" spans="1:16" x14ac:dyDescent="0.25">
      <c r="A1254">
        <v>41800406</v>
      </c>
      <c r="B1254" t="s">
        <v>20</v>
      </c>
      <c r="C1254" t="s">
        <v>32</v>
      </c>
      <c r="D1254" t="s">
        <v>56</v>
      </c>
      <c r="E1254">
        <v>54</v>
      </c>
      <c r="F1254">
        <v>57</v>
      </c>
      <c r="G1254">
        <v>2</v>
      </c>
      <c r="H1254" s="1">
        <v>5.3819444444444444E-4</v>
      </c>
      <c r="I1254" t="s">
        <v>21</v>
      </c>
      <c r="J1254" s="2" t="str">
        <f>HYPERLINK("https://www.nba.com/stats/events?CFID=&amp;CFPARAMS=&amp;GameEventID=302&amp;GameID=0041800406&amp;Season=2018-19&amp;flag=1&amp;title=Leonard%204'%20Running%20Layup%20(8%20PTS)%20(Siakam%203%20AST)", "Leonard 4' Running Layup (8 PTS) (Siakam 3 AST)")</f>
        <v>Leonard 4' Running Layup (8 PTS) (Siakam 3 AST)</v>
      </c>
      <c r="K1254" s="2" t="str">
        <f>HYPERLINK("https://www.nba.com/game/...-vs-...-0041800406/play-by-play?watchFullGame=true", "TOR vs GSW - Q2 00:46.50")</f>
        <v>TOR vs GSW - Q2 00:46.50</v>
      </c>
      <c r="L1254">
        <v>4</v>
      </c>
      <c r="M1254">
        <v>-13</v>
      </c>
      <c r="N1254">
        <v>43</v>
      </c>
      <c r="O1254">
        <v>-13</v>
      </c>
      <c r="P1254">
        <v>43</v>
      </c>
    </row>
    <row r="1255" spans="1:16" x14ac:dyDescent="0.25">
      <c r="A1255">
        <v>21401057</v>
      </c>
      <c r="B1255">
        <v>2014</v>
      </c>
      <c r="C1255" t="s">
        <v>32</v>
      </c>
      <c r="D1255" t="s">
        <v>42</v>
      </c>
      <c r="E1255">
        <v>95</v>
      </c>
      <c r="F1255">
        <v>86</v>
      </c>
      <c r="G1255">
        <v>4</v>
      </c>
      <c r="H1255" s="1">
        <v>1.9444444444444444E-3</v>
      </c>
      <c r="I1255" t="s">
        <v>18</v>
      </c>
      <c r="J1255" s="2" t="str">
        <f>HYPERLINK("https://www.nba.com/stats/events?CFID=&amp;CFPARAMS=&amp;GameEventID=490&amp;GameID=0021401057&amp;Season=2014-15&amp;flag=1&amp;title=Leonard%208'%20Driving%20Jump%20Shot%20(18%20PTS)", "Leonard 8' Driving Jump Shot (18 PTS)")</f>
        <v>Leonard 8' Driving Jump Shot (18 PTS)</v>
      </c>
      <c r="K1255" s="2" t="str">
        <f>HYPERLINK("https://www.nba.com/game/...-vs-...-0021401057/play-by-play?watchFullGame=true", "SAS vs DAL - Q4 02:48.00")</f>
        <v>SAS vs DAL - Q4 02:48.00</v>
      </c>
      <c r="L1255">
        <v>8</v>
      </c>
      <c r="M1255">
        <v>-13</v>
      </c>
      <c r="N1255">
        <v>83</v>
      </c>
      <c r="O1255">
        <v>-13</v>
      </c>
      <c r="P1255">
        <v>83</v>
      </c>
    </row>
    <row r="1256" spans="1:16" x14ac:dyDescent="0.25">
      <c r="A1256">
        <v>22200719</v>
      </c>
      <c r="B1256">
        <v>2022</v>
      </c>
      <c r="C1256" t="s">
        <v>32</v>
      </c>
      <c r="D1256" t="s">
        <v>19</v>
      </c>
      <c r="E1256">
        <v>76</v>
      </c>
      <c r="F1256">
        <v>92</v>
      </c>
      <c r="G1256">
        <v>3</v>
      </c>
      <c r="H1256" s="1">
        <v>2.5925925925925925E-3</v>
      </c>
      <c r="I1256" t="s">
        <v>23</v>
      </c>
      <c r="J1256" s="2" t="str">
        <f>HYPERLINK("https://www.nba.com/stats/events?CFID=&amp;CFPARAMS=&amp;GameEventID=439&amp;GameID=0022200719&amp;Season=2022-23&amp;flag=1&amp;title=Leonard%2010'%20driving%20floating%20Jump%20Shot%20(18%20PTS)", "10' driving floating Jump Shot (18 PTS)")</f>
        <v>10' driving floating Jump Shot (18 PTS)</v>
      </c>
      <c r="K1256" s="2" t="str">
        <f>HYPERLINK("https://www.nba.com/game/...-vs-...-0022200719/play-by-play?watchFullGame=true", "LAC vs LAL - Q3 03:44.00")</f>
        <v>LAC vs LAL - Q3 03:44.00</v>
      </c>
      <c r="L1256">
        <v>10.93</v>
      </c>
      <c r="M1256">
        <v>17.13</v>
      </c>
      <c r="N1256">
        <v>52.7</v>
      </c>
      <c r="O1256">
        <v>-13</v>
      </c>
      <c r="P1256">
        <v>109</v>
      </c>
    </row>
    <row r="1257" spans="1:16" x14ac:dyDescent="0.25">
      <c r="A1257">
        <v>41800301</v>
      </c>
      <c r="B1257" t="s">
        <v>20</v>
      </c>
      <c r="C1257" t="s">
        <v>32</v>
      </c>
      <c r="D1257" t="s">
        <v>19</v>
      </c>
      <c r="E1257">
        <v>74</v>
      </c>
      <c r="F1257">
        <v>80</v>
      </c>
      <c r="G1257">
        <v>3</v>
      </c>
      <c r="H1257" s="1">
        <v>7.7546296296296293E-4</v>
      </c>
      <c r="I1257" t="s">
        <v>21</v>
      </c>
      <c r="J1257" s="2" t="str">
        <f>HYPERLINK("https://www.nba.com/stats/events?CFID=&amp;CFPARAMS=&amp;GameEventID=486&amp;GameID=0041800301&amp;Season=2018-19&amp;flag=1&amp;title=Leonard%2011'%20Jump%20Shot%20(29%20PTS)", "Leonard 11' Jump Shot (29 PTS)")</f>
        <v>Leonard 11' Jump Shot (29 PTS)</v>
      </c>
      <c r="K1257" s="2" t="str">
        <f>HYPERLINK("https://www.nba.com/game/...-vs-...-0041800301/play-by-play?watchFullGame=true", "TOR vs MIL - Q3 01:07.00")</f>
        <v>TOR vs MIL - Q3 01:07.00</v>
      </c>
      <c r="L1257">
        <v>11</v>
      </c>
      <c r="M1257">
        <v>-13</v>
      </c>
      <c r="N1257">
        <v>111</v>
      </c>
      <c r="O1257">
        <v>-13</v>
      </c>
      <c r="P1257">
        <v>111</v>
      </c>
    </row>
    <row r="1258" spans="1:16" x14ac:dyDescent="0.25">
      <c r="A1258">
        <v>22400859</v>
      </c>
      <c r="B1258">
        <v>2024</v>
      </c>
      <c r="C1258" t="s">
        <v>32</v>
      </c>
      <c r="D1258" t="s">
        <v>19</v>
      </c>
      <c r="E1258">
        <v>64</v>
      </c>
      <c r="F1258">
        <v>61</v>
      </c>
      <c r="G1258">
        <v>3</v>
      </c>
      <c r="H1258" s="1">
        <v>5.9722222222222225E-3</v>
      </c>
      <c r="I1258" t="s">
        <v>23</v>
      </c>
      <c r="J1258" s="2" t="str">
        <f>HYPERLINK("https://www.nba.com/stats/events?CFID=&amp;CFPARAMS=&amp;GameEventID=324&amp;GameID=0022400859&amp;Season=2024-25&amp;flag=1&amp;title=Leonard%2011'%20pullup%20Jump%20Shot%20(11%20PTS)", "11' pullup Jump Shot (11 PTS)")</f>
        <v>11' pullup Jump Shot (11 PTS)</v>
      </c>
      <c r="K1258" s="2" t="str">
        <f>HYPERLINK("https://www.nba.com/game/...-vs-...-0022400859/play-by-play?watchFullGame=true", "LAC vs LAL - Q3 08:36.00")</f>
        <v>LAC vs LAL - Q3 08:36.00</v>
      </c>
      <c r="L1258">
        <v>11.25</v>
      </c>
      <c r="M1258">
        <v>17.48</v>
      </c>
      <c r="N1258">
        <v>52.53</v>
      </c>
      <c r="O1258">
        <v>-13</v>
      </c>
      <c r="P1258">
        <v>112</v>
      </c>
    </row>
    <row r="1259" spans="1:16" x14ac:dyDescent="0.25">
      <c r="A1259">
        <v>41800112</v>
      </c>
      <c r="B1259" t="s">
        <v>20</v>
      </c>
      <c r="C1259" t="s">
        <v>32</v>
      </c>
      <c r="D1259" t="s">
        <v>29</v>
      </c>
      <c r="E1259">
        <v>18</v>
      </c>
      <c r="F1259">
        <v>5</v>
      </c>
      <c r="G1259">
        <v>1</v>
      </c>
      <c r="H1259" s="1">
        <v>4.0625000000000001E-3</v>
      </c>
      <c r="I1259" t="s">
        <v>21</v>
      </c>
      <c r="J1259" s="2" t="str">
        <f>HYPERLINK("https://www.nba.com/stats/events?CFID=&amp;CFPARAMS=&amp;GameEventID=89&amp;GameID=0041800112&amp;Season=2018-19&amp;flag=1&amp;title=Leonard%2012'%20Pullup%20Jump%20Shot%20(10%20PTS)", "Leonard 12' Pullup Jump Shot (10 PTS)")</f>
        <v>Leonard 12' Pullup Jump Shot (10 PTS)</v>
      </c>
      <c r="K1259" s="2" t="str">
        <f>HYPERLINK("https://www.nba.com/game/...-vs-...-0041800112/play-by-play?watchFullGame=true", "TOR vs ORL - Q1 05:51.00")</f>
        <v>TOR vs ORL - Q1 05:51.00</v>
      </c>
      <c r="L1259">
        <v>12</v>
      </c>
      <c r="M1259">
        <v>-13</v>
      </c>
      <c r="N1259">
        <v>120</v>
      </c>
      <c r="O1259">
        <v>-13</v>
      </c>
      <c r="P1259">
        <v>120</v>
      </c>
    </row>
    <row r="1260" spans="1:16" x14ac:dyDescent="0.25">
      <c r="A1260">
        <v>22300637</v>
      </c>
      <c r="B1260">
        <v>2023</v>
      </c>
      <c r="C1260" t="s">
        <v>32</v>
      </c>
      <c r="D1260" t="s">
        <v>19</v>
      </c>
      <c r="E1260">
        <v>6</v>
      </c>
      <c r="F1260">
        <v>6</v>
      </c>
      <c r="G1260">
        <v>1</v>
      </c>
      <c r="H1260" s="1">
        <v>6.2847222222222219E-3</v>
      </c>
      <c r="I1260" t="s">
        <v>23</v>
      </c>
      <c r="J1260" s="2" t="str">
        <f>HYPERLINK("https://www.nba.com/stats/events?CFID=&amp;CFPARAMS=&amp;GameEventID=27&amp;GameID=0022300637&amp;Season=2023-24&amp;flag=1&amp;title=Leonard%2013'%20driving%20floating%20Jump%20Shot%20(2%20PTS)%20(J.%20Harden%201%20AST)", "13' driving floating Jump Shot (2 PTS) (J. Harden 1 AST)")</f>
        <v>13' driving floating Jump Shot (2 PTS) (J. Harden 1 AST)</v>
      </c>
      <c r="K1260" s="2" t="str">
        <f>HYPERLINK("https://www.nba.com/game/...-vs-...-0022300637/play-by-play?watchFullGame=true", "LAC vs TOR - Q1 09:03.00")</f>
        <v>LAC vs TOR - Q1 09:03.00</v>
      </c>
      <c r="L1260">
        <v>13.02</v>
      </c>
      <c r="M1260">
        <v>80.63</v>
      </c>
      <c r="N1260">
        <v>47.3</v>
      </c>
      <c r="O1260">
        <v>-13</v>
      </c>
      <c r="P1260">
        <v>130</v>
      </c>
    </row>
    <row r="1261" spans="1:16" x14ac:dyDescent="0.25">
      <c r="A1261">
        <v>22000660</v>
      </c>
      <c r="B1261">
        <v>2020</v>
      </c>
      <c r="C1261" t="s">
        <v>16</v>
      </c>
      <c r="D1261" t="s">
        <v>19</v>
      </c>
      <c r="E1261">
        <v>119</v>
      </c>
      <c r="F1261">
        <v>110</v>
      </c>
      <c r="G1261">
        <v>4</v>
      </c>
      <c r="H1261" s="1">
        <v>6.6666666666666664E-4</v>
      </c>
      <c r="I1261" t="s">
        <v>23</v>
      </c>
      <c r="J1261" s="2" t="str">
        <f>HYPERLINK("https://www.nba.com/stats/events?CFID=&amp;CFPARAMS=&amp;GameEventID=594&amp;GameID=0022000660&amp;Season=2020-21&amp;flag=1&amp;title=Leonard%2026'%203PT%20step%20back%20(25%20PTS)", "26' 3PT step back (25 PTS)")</f>
        <v>26' 3PT step back (25 PTS)</v>
      </c>
      <c r="K1261" s="2" t="str">
        <f>HYPERLINK("https://www.nba.com/game/...-vs-...-0022000660/play-by-play?watchFullGame=true", "LAC vs ATL - Q4 00:57.60")</f>
        <v>LAC vs ATL - Q4 00:57.60</v>
      </c>
      <c r="L1261">
        <v>26.6</v>
      </c>
      <c r="M1261">
        <v>66.150000000000006</v>
      </c>
      <c r="N1261">
        <v>47.48</v>
      </c>
      <c r="O1261">
        <v>-13</v>
      </c>
      <c r="P1261">
        <v>266</v>
      </c>
    </row>
    <row r="1262" spans="1:16" x14ac:dyDescent="0.25">
      <c r="A1262">
        <v>21500439</v>
      </c>
      <c r="B1262">
        <v>2015</v>
      </c>
      <c r="C1262" t="s">
        <v>32</v>
      </c>
      <c r="D1262" t="s">
        <v>63</v>
      </c>
      <c r="E1262">
        <v>70</v>
      </c>
      <c r="F1262">
        <v>67</v>
      </c>
      <c r="G1262">
        <v>4</v>
      </c>
      <c r="H1262" s="1">
        <v>5.2777777777777779E-3</v>
      </c>
      <c r="I1262" t="s">
        <v>18</v>
      </c>
      <c r="J1262" s="2" t="str">
        <f>HYPERLINK("https://www.nba.com/stats/events?CFID=&amp;CFPARAMS=&amp;GameEventID=418&amp;GameID=0021500439&amp;Season=2015-16&amp;flag=1&amp;title=Leonard%201'%20Running%20Dunk%20(17%20PTS)%20(Mills%203%20AST)", "Leonard 1' Running Dunk (17 PTS) (Mills 3 AST)")</f>
        <v>Leonard 1' Running Dunk (17 PTS) (Mills 3 AST)</v>
      </c>
      <c r="K1262" s="2" t="str">
        <f>HYPERLINK("https://www.nba.com/game/...-vs-...-0021500439/play-by-play?watchFullGame=true", "SAS vs HOU - Q4 07:36.00")</f>
        <v>SAS vs HOU - Q4 07:36.00</v>
      </c>
      <c r="L1262">
        <v>1</v>
      </c>
      <c r="M1262">
        <v>-12</v>
      </c>
      <c r="N1262">
        <v>-1</v>
      </c>
      <c r="O1262">
        <v>-12</v>
      </c>
      <c r="P1262">
        <v>-1</v>
      </c>
    </row>
    <row r="1263" spans="1:16" x14ac:dyDescent="0.25">
      <c r="A1263">
        <v>41600156</v>
      </c>
      <c r="B1263" t="s">
        <v>30</v>
      </c>
      <c r="C1263" t="s">
        <v>32</v>
      </c>
      <c r="D1263" t="s">
        <v>57</v>
      </c>
      <c r="E1263">
        <v>45</v>
      </c>
      <c r="F1263">
        <v>42</v>
      </c>
      <c r="G1263">
        <v>2</v>
      </c>
      <c r="H1263" s="1">
        <v>1.724537037037037E-3</v>
      </c>
      <c r="I1263" t="s">
        <v>18</v>
      </c>
      <c r="J1263" s="2" t="str">
        <f>HYPERLINK("https://www.nba.com/stats/events?CFID=&amp;CFPARAMS=&amp;GameEventID=185&amp;GameID=0041600156&amp;Season=2016-17&amp;flag=1&amp;title=Leonard%201'%20Layup%20(12%20PTS)%20(Aldridge%201%20AST)", "Leonard 1' Layup (12 PTS) (Aldridge 1 AST)")</f>
        <v>Leonard 1' Layup (12 PTS) (Aldridge 1 AST)</v>
      </c>
      <c r="K1263" s="2" t="str">
        <f>HYPERLINK("https://www.nba.com/game/...-vs-...-0041600156/play-by-play?watchFullGame=true", "SAS vs MEM - Q2 02:29.00")</f>
        <v>SAS vs MEM - Q2 02:29.00</v>
      </c>
      <c r="L1263">
        <v>1</v>
      </c>
      <c r="M1263">
        <v>-12</v>
      </c>
      <c r="N1263">
        <v>0</v>
      </c>
      <c r="O1263">
        <v>-12</v>
      </c>
      <c r="P1263">
        <v>0</v>
      </c>
    </row>
    <row r="1264" spans="1:16" x14ac:dyDescent="0.25">
      <c r="A1264">
        <v>21600605</v>
      </c>
      <c r="B1264">
        <v>2016</v>
      </c>
      <c r="C1264" t="s">
        <v>32</v>
      </c>
      <c r="D1264" t="s">
        <v>55</v>
      </c>
      <c r="E1264">
        <v>49</v>
      </c>
      <c r="F1264">
        <v>58</v>
      </c>
      <c r="G1264">
        <v>2</v>
      </c>
      <c r="H1264" s="1">
        <v>5.7986111111111118E-4</v>
      </c>
      <c r="I1264" t="s">
        <v>18</v>
      </c>
      <c r="J1264" s="2" t="str">
        <f>HYPERLINK("https://www.nba.com/stats/events?CFID=&amp;CFPARAMS=&amp;GameEventID=269&amp;GameID=0021600605&amp;Season=2016-17&amp;flag=1&amp;title=Leonard%201'%20Driving%20Reverse%20Layup%20(16%20PTS)", "Leonard 1' Driving Reverse Layup (16 PTS)")</f>
        <v>Leonard 1' Driving Reverse Layup (16 PTS)</v>
      </c>
      <c r="K1264" s="2" t="str">
        <f>HYPERLINK("https://www.nba.com/game/...-vs-...-0021600605/play-by-play?watchFullGame=true", "SAS vs PHX - Q2 00:50.10")</f>
        <v>SAS vs PHX - Q2 00:50.10</v>
      </c>
      <c r="L1264">
        <v>1</v>
      </c>
      <c r="M1264">
        <v>-12</v>
      </c>
      <c r="N1264">
        <v>3</v>
      </c>
      <c r="O1264">
        <v>-12</v>
      </c>
      <c r="P1264">
        <v>3</v>
      </c>
    </row>
    <row r="1265" spans="1:16" x14ac:dyDescent="0.25">
      <c r="A1265">
        <v>21600336</v>
      </c>
      <c r="B1265">
        <v>2016</v>
      </c>
      <c r="C1265" t="s">
        <v>32</v>
      </c>
      <c r="D1265" t="s">
        <v>49</v>
      </c>
      <c r="E1265">
        <v>52</v>
      </c>
      <c r="F1265">
        <v>43</v>
      </c>
      <c r="G1265">
        <v>3</v>
      </c>
      <c r="H1265" s="1">
        <v>6.5740740740740742E-3</v>
      </c>
      <c r="I1265" t="s">
        <v>18</v>
      </c>
      <c r="J1265" s="2" t="str">
        <f>HYPERLINK("https://www.nba.com/stats/events?CFID=&amp;CFPARAMS=&amp;GameEventID=280&amp;GameID=0021600336&amp;Season=2016-17&amp;flag=1&amp;title=Leonard%201'%20Driving%20Layup%20(9%20PTS)", "Leonard 1' Driving Layup (9 PTS)")</f>
        <v>Leonard 1' Driving Layup (9 PTS)</v>
      </c>
      <c r="K1265" s="2" t="str">
        <f>HYPERLINK("https://www.nba.com/game/...-vs-...-0021600336/play-by-play?watchFullGame=true", "SAS vs CHI - Q3 09:28.00")</f>
        <v>SAS vs CHI - Q3 09:28.00</v>
      </c>
      <c r="L1265">
        <v>1</v>
      </c>
      <c r="M1265">
        <v>-12</v>
      </c>
      <c r="N1265">
        <v>3</v>
      </c>
      <c r="O1265">
        <v>-12</v>
      </c>
      <c r="P1265">
        <v>3</v>
      </c>
    </row>
    <row r="1266" spans="1:16" x14ac:dyDescent="0.25">
      <c r="A1266">
        <v>21500172</v>
      </c>
      <c r="B1266">
        <v>2015</v>
      </c>
      <c r="C1266" t="s">
        <v>32</v>
      </c>
      <c r="D1266" t="s">
        <v>52</v>
      </c>
      <c r="E1266">
        <v>8</v>
      </c>
      <c r="F1266">
        <v>4</v>
      </c>
      <c r="G1266">
        <v>1</v>
      </c>
      <c r="H1266" s="1">
        <v>5.4976851851851853E-3</v>
      </c>
      <c r="I1266" t="s">
        <v>18</v>
      </c>
      <c r="J1266" s="2" t="str">
        <f>HYPERLINK("https://www.nba.com/stats/events?CFID=&amp;CFPARAMS=&amp;GameEventID=33&amp;GameID=0021500172&amp;Season=2015-16&amp;flag=1&amp;title=Leonard%201'%20Alley%20Oop%20Layup%20(2%20PTS)%20(Duncan%201%20AST)", "Leonard 1' Alley Oop Layup (2 PTS) (Duncan 1 AST)")</f>
        <v>Leonard 1' Alley Oop Layup (2 PTS) (Duncan 1 AST)</v>
      </c>
      <c r="K1266" s="2" t="str">
        <f>HYPERLINK("https://www.nba.com/game/...-vs-...-0021500172/play-by-play?watchFullGame=true", "SAS vs DEN - Q1 07:55.00")</f>
        <v>SAS vs DEN - Q1 07:55.00</v>
      </c>
      <c r="L1266">
        <v>1</v>
      </c>
      <c r="M1266">
        <v>-12</v>
      </c>
      <c r="N1266">
        <v>8</v>
      </c>
      <c r="O1266">
        <v>-12</v>
      </c>
      <c r="P1266">
        <v>8</v>
      </c>
    </row>
    <row r="1267" spans="1:16" x14ac:dyDescent="0.25">
      <c r="A1267">
        <v>21900589</v>
      </c>
      <c r="B1267">
        <v>2019</v>
      </c>
      <c r="C1267" t="s">
        <v>32</v>
      </c>
      <c r="D1267" t="s">
        <v>65</v>
      </c>
      <c r="E1267">
        <v>68</v>
      </c>
      <c r="F1267">
        <v>54</v>
      </c>
      <c r="G1267">
        <v>3</v>
      </c>
      <c r="H1267" s="1">
        <v>7.5347222222222222E-3</v>
      </c>
      <c r="I1267" t="s">
        <v>23</v>
      </c>
      <c r="J1267" s="2" t="str">
        <f>HYPERLINK("https://www.nba.com/stats/events?CFID=&amp;CFPARAMS=&amp;GameEventID=342&amp;GameID=0021900589&amp;Season=2019-20&amp;flag=1&amp;title=Leonard%20dunk%20(17%20PTS)", "Dunk (17 PTS)")</f>
        <v>Dunk (17 PTS)</v>
      </c>
      <c r="K1267" s="2" t="str">
        <f>HYPERLINK("https://www.nba.com/game/...-vs-...-0021900589/play-by-play?watchFullGame=true", "LAC vs DEN - Q3 10:51.00")</f>
        <v>LAC vs DEN - Q3 10:51.00</v>
      </c>
      <c r="L1267">
        <v>1.84</v>
      </c>
      <c r="M1267">
        <v>93.51</v>
      </c>
      <c r="N1267">
        <v>47.62</v>
      </c>
      <c r="O1267">
        <v>-12</v>
      </c>
      <c r="P1267">
        <v>8</v>
      </c>
    </row>
    <row r="1268" spans="1:16" x14ac:dyDescent="0.25">
      <c r="A1268">
        <v>22400733</v>
      </c>
      <c r="B1268">
        <v>2024</v>
      </c>
      <c r="C1268" t="s">
        <v>32</v>
      </c>
      <c r="D1268" t="s">
        <v>48</v>
      </c>
      <c r="E1268">
        <v>13</v>
      </c>
      <c r="F1268">
        <v>2</v>
      </c>
      <c r="G1268">
        <v>1</v>
      </c>
      <c r="H1268" s="1">
        <v>6.3425925925925924E-3</v>
      </c>
      <c r="I1268" t="s">
        <v>23</v>
      </c>
      <c r="J1268" s="2" t="str">
        <f>HYPERLINK("https://www.nba.com/stats/events?CFID=&amp;CFPARAMS=&amp;GameEventID=29&amp;GameID=0022400733&amp;Season=2024-25&amp;flag=1&amp;title=Leonard%20running%20DUNK%20(5%20PTS)%20(N.%20Powell%202%20AST)", "Running DUNK (5 PTS) (N. Powell 2 AST)")</f>
        <v>Running DUNK (5 PTS) (N. Powell 2 AST)</v>
      </c>
      <c r="K1268" s="2" t="str">
        <f>HYPERLINK("https://www.nba.com/game/...-vs-...-0022400733/play-by-play?watchFullGame=true", "LAC vs IND - Q1 09:08.00")</f>
        <v>LAC vs IND - Q1 09:08.00</v>
      </c>
      <c r="L1268">
        <v>1.73</v>
      </c>
      <c r="M1268">
        <v>93.12</v>
      </c>
      <c r="N1268">
        <v>47.55</v>
      </c>
      <c r="O1268">
        <v>-12</v>
      </c>
      <c r="P1268">
        <v>12</v>
      </c>
    </row>
    <row r="1269" spans="1:16" x14ac:dyDescent="0.25">
      <c r="A1269">
        <v>21900224</v>
      </c>
      <c r="B1269">
        <v>2019</v>
      </c>
      <c r="C1269" t="s">
        <v>32</v>
      </c>
      <c r="D1269" t="s">
        <v>50</v>
      </c>
      <c r="E1269">
        <v>86</v>
      </c>
      <c r="F1269">
        <v>86</v>
      </c>
      <c r="G1269">
        <v>4</v>
      </c>
      <c r="H1269" s="1">
        <v>7.3611111111111108E-3</v>
      </c>
      <c r="I1269" t="s">
        <v>23</v>
      </c>
      <c r="J1269" s="2" t="str">
        <f>HYPERLINK("https://www.nba.com/stats/events?CFID=&amp;CFPARAMS=&amp;GameEventID=552&amp;GameID=0021900224&amp;Season=2019-20&amp;flag=1&amp;title=Leonard%20layup%20(19%20PTS)", "Layup (19 PTS)")</f>
        <v>Layup (19 PTS)</v>
      </c>
      <c r="K1269" s="2" t="str">
        <f>HYPERLINK("https://www.nba.com/game/...-vs-...-0021900224/play-by-play?watchFullGame=true", "LAC vs HOU - Q4 10:36.00")</f>
        <v>LAC vs HOU - Q4 10:36.00</v>
      </c>
      <c r="L1269">
        <v>2.13</v>
      </c>
      <c r="M1269">
        <v>6.88</v>
      </c>
      <c r="N1269">
        <v>52.38</v>
      </c>
      <c r="O1269">
        <v>-12</v>
      </c>
      <c r="P1269">
        <v>12</v>
      </c>
    </row>
    <row r="1270" spans="1:16" x14ac:dyDescent="0.25">
      <c r="A1270">
        <v>22000775</v>
      </c>
      <c r="B1270">
        <v>2020</v>
      </c>
      <c r="C1270" t="s">
        <v>32</v>
      </c>
      <c r="D1270" t="s">
        <v>47</v>
      </c>
      <c r="E1270">
        <v>9</v>
      </c>
      <c r="F1270">
        <v>3</v>
      </c>
      <c r="G1270">
        <v>1</v>
      </c>
      <c r="H1270" s="1">
        <v>6.8402777777777776E-3</v>
      </c>
      <c r="I1270" t="s">
        <v>23</v>
      </c>
      <c r="J1270" s="2" t="str">
        <f>HYPERLINK("https://www.nba.com/stats/events?CFID=&amp;CFPARAMS=&amp;GameEventID=21&amp;GameID=0022000775&amp;Season=2020-21&amp;flag=1&amp;title=Leonard%20driving%20reverse%20Layup%20(2%20PTS)", "Driving reverse Layup (2 PTS)")</f>
        <v>Driving reverse Layup (2 PTS)</v>
      </c>
      <c r="K1270" s="2" t="str">
        <f>HYPERLINK("https://www.nba.com/game/...-vs-...-0022000775/play-by-play?watchFullGame=true", "LAC vs POR - Q1 09:51.00")</f>
        <v>LAC vs POR - Q1 09:51.00</v>
      </c>
      <c r="L1270">
        <v>2.08</v>
      </c>
      <c r="M1270">
        <v>92.59</v>
      </c>
      <c r="N1270">
        <v>47.62</v>
      </c>
      <c r="O1270">
        <v>-12</v>
      </c>
      <c r="P1270">
        <v>17</v>
      </c>
    </row>
    <row r="1271" spans="1:16" x14ac:dyDescent="0.25">
      <c r="A1271">
        <v>22300458</v>
      </c>
      <c r="B1271">
        <v>2023</v>
      </c>
      <c r="C1271" t="s">
        <v>32</v>
      </c>
      <c r="D1271" t="s">
        <v>48</v>
      </c>
      <c r="E1271">
        <v>99</v>
      </c>
      <c r="F1271">
        <v>87</v>
      </c>
      <c r="G1271">
        <v>4</v>
      </c>
      <c r="H1271" s="1">
        <v>7.3726851851851852E-3</v>
      </c>
      <c r="I1271" t="s">
        <v>23</v>
      </c>
      <c r="J1271" s="2" t="str">
        <f>HYPERLINK("https://www.nba.com/stats/events?CFID=&amp;CFPARAMS=&amp;GameEventID=478&amp;GameID=0022300458&amp;Season=2023-24&amp;flag=1&amp;title=Leonard%20driving%20reverse%20DUNK%20(21%20PTS)%20(R.%20Westbrook%203%20AST)", "Driving reverse DUNK (21 PTS) (R. Westbrook 3 AST)")</f>
        <v>Driving reverse DUNK (21 PTS) (R. Westbrook 3 AST)</v>
      </c>
      <c r="K1271" s="2" t="str">
        <f>HYPERLINK("https://www.nba.com/game/...-vs-...-0022300458/play-by-play?watchFullGame=true", "LAC vs MIA - Q4 10:37.00")</f>
        <v>LAC vs MIA - Q4 10:37.00</v>
      </c>
      <c r="L1271">
        <v>2.21</v>
      </c>
      <c r="M1271">
        <v>7.54</v>
      </c>
      <c r="N1271">
        <v>52.45</v>
      </c>
      <c r="O1271">
        <v>-12</v>
      </c>
      <c r="P1271">
        <v>18</v>
      </c>
    </row>
    <row r="1272" spans="1:16" x14ac:dyDescent="0.25">
      <c r="A1272">
        <v>21600134</v>
      </c>
      <c r="B1272">
        <v>2016</v>
      </c>
      <c r="C1272" t="s">
        <v>32</v>
      </c>
      <c r="D1272" t="s">
        <v>17</v>
      </c>
      <c r="E1272">
        <v>11</v>
      </c>
      <c r="F1272">
        <v>11</v>
      </c>
      <c r="G1272">
        <v>1</v>
      </c>
      <c r="H1272" s="1">
        <v>3.7962962962962963E-3</v>
      </c>
      <c r="I1272" t="s">
        <v>18</v>
      </c>
      <c r="J1272" s="2" t="str">
        <f>HYPERLINK("https://www.nba.com/stats/events?CFID=&amp;CFPARAMS=&amp;GameEventID=71&amp;GameID=0021600134&amp;Season=2016-17&amp;flag=1&amp;title=Leonard%205'%20Running%20Jump%20Shot%20(4%20PTS)", "Leonard 5' Running Jump Shot (4 PTS)")</f>
        <v>Leonard 5' Running Jump Shot (4 PTS)</v>
      </c>
      <c r="K1272" s="2" t="str">
        <f>HYPERLINK("https://www.nba.com/game/...-vs-...-0021600134/play-by-play?watchFullGame=true", "SAS vs HOU - Q1 05:28.00")</f>
        <v>SAS vs HOU - Q1 05:28.00</v>
      </c>
      <c r="L1272">
        <v>5</v>
      </c>
      <c r="M1272">
        <v>-12</v>
      </c>
      <c r="N1272">
        <v>51</v>
      </c>
      <c r="O1272">
        <v>-12</v>
      </c>
      <c r="P1272">
        <v>51</v>
      </c>
    </row>
    <row r="1273" spans="1:16" x14ac:dyDescent="0.25">
      <c r="A1273">
        <v>21501201</v>
      </c>
      <c r="B1273">
        <v>2015</v>
      </c>
      <c r="C1273" t="s">
        <v>32</v>
      </c>
      <c r="D1273" t="s">
        <v>29</v>
      </c>
      <c r="E1273">
        <v>4</v>
      </c>
      <c r="F1273">
        <v>0</v>
      </c>
      <c r="G1273">
        <v>1</v>
      </c>
      <c r="H1273" s="1">
        <v>7.4305555555555557E-3</v>
      </c>
      <c r="I1273" t="s">
        <v>18</v>
      </c>
      <c r="J1273" s="2" t="str">
        <f>HYPERLINK("https://www.nba.com/stats/events?CFID=&amp;CFPARAMS=&amp;GameEventID=9&amp;GameID=0021501201&amp;Season=2015-16&amp;flag=1&amp;title=Leonard%208'%20Pullup%20Jump%20Shot%20(4%20PTS)", "Leonard 8' Pullup Jump Shot (4 PTS)")</f>
        <v>Leonard 8' Pullup Jump Shot (4 PTS)</v>
      </c>
      <c r="K1273" s="2" t="str">
        <f>HYPERLINK("https://www.nba.com/game/...-vs-...-0021501201/play-by-play?watchFullGame=true", "SAS vs GSW - Q1 10:42.00")</f>
        <v>SAS vs GSW - Q1 10:42.00</v>
      </c>
      <c r="L1273">
        <v>8</v>
      </c>
      <c r="M1273">
        <v>-12</v>
      </c>
      <c r="N1273">
        <v>77</v>
      </c>
      <c r="O1273">
        <v>-12</v>
      </c>
      <c r="P1273">
        <v>77</v>
      </c>
    </row>
    <row r="1274" spans="1:16" x14ac:dyDescent="0.25">
      <c r="A1274">
        <v>22400859</v>
      </c>
      <c r="B1274">
        <v>2024</v>
      </c>
      <c r="C1274" t="s">
        <v>32</v>
      </c>
      <c r="D1274" t="s">
        <v>44</v>
      </c>
      <c r="E1274">
        <v>87</v>
      </c>
      <c r="F1274">
        <v>83</v>
      </c>
      <c r="G1274">
        <v>4</v>
      </c>
      <c r="H1274" s="1">
        <v>6.4236111111111108E-3</v>
      </c>
      <c r="I1274" t="s">
        <v>23</v>
      </c>
      <c r="J1274" s="2" t="str">
        <f>HYPERLINK("https://www.nba.com/stats/events?CFID=&amp;CFPARAMS=&amp;GameEventID=498&amp;GameID=0022400859&amp;Season=2024-25&amp;flag=1&amp;title=Leonard%209'%20driving%20Hook%20(18%20PTS)", "9' driving Hook (18 PTS)")</f>
        <v>9' driving Hook (18 PTS)</v>
      </c>
      <c r="K1274" s="2" t="str">
        <f>HYPERLINK("https://www.nba.com/game/...-vs-...-0022400859/play-by-play?watchFullGame=true", "LAC vs LAL - Q4 09:15.00")</f>
        <v>LAC vs LAL - Q4 09:15.00</v>
      </c>
      <c r="L1274">
        <v>9.41</v>
      </c>
      <c r="M1274">
        <v>15.51</v>
      </c>
      <c r="N1274">
        <v>52.49</v>
      </c>
      <c r="O1274">
        <v>-12</v>
      </c>
      <c r="P1274">
        <v>93</v>
      </c>
    </row>
    <row r="1275" spans="1:16" x14ac:dyDescent="0.25">
      <c r="A1275">
        <v>22000457</v>
      </c>
      <c r="B1275">
        <v>2020</v>
      </c>
      <c r="C1275" t="s">
        <v>32</v>
      </c>
      <c r="D1275" t="s">
        <v>19</v>
      </c>
      <c r="E1275">
        <v>67</v>
      </c>
      <c r="F1275">
        <v>67</v>
      </c>
      <c r="G1275">
        <v>3</v>
      </c>
      <c r="H1275" s="1">
        <v>3.3101851851851851E-3</v>
      </c>
      <c r="I1275" t="s">
        <v>23</v>
      </c>
      <c r="J1275" s="2" t="str">
        <f>HYPERLINK("https://www.nba.com/stats/events?CFID=&amp;CFPARAMS=&amp;GameEventID=387&amp;GameID=0022000457&amp;Season=2020-21&amp;flag=1&amp;title=Leonard%2010'%20pullup%20Jump%20Shot%20(16%20PTS)", "10' pullup Jump Shot (16 PTS)")</f>
        <v>10' pullup Jump Shot (16 PTS)</v>
      </c>
      <c r="K1275" s="2" t="str">
        <f>HYPERLINK("https://www.nba.com/game/...-vs-...-0022000457/play-by-play?watchFullGame=true", "LAC vs UTA - Q3 04:46.00")</f>
        <v>LAC vs UTA - Q3 04:46.00</v>
      </c>
      <c r="L1275">
        <v>10.55</v>
      </c>
      <c r="M1275">
        <v>83.26</v>
      </c>
      <c r="N1275">
        <v>47.62</v>
      </c>
      <c r="O1275">
        <v>-12</v>
      </c>
      <c r="P1275">
        <v>105</v>
      </c>
    </row>
    <row r="1276" spans="1:16" x14ac:dyDescent="0.25">
      <c r="A1276">
        <v>41600311</v>
      </c>
      <c r="B1276" t="s">
        <v>30</v>
      </c>
      <c r="C1276" t="s">
        <v>32</v>
      </c>
      <c r="D1276" t="s">
        <v>33</v>
      </c>
      <c r="E1276">
        <v>32</v>
      </c>
      <c r="F1276">
        <v>50</v>
      </c>
      <c r="G1276">
        <v>2</v>
      </c>
      <c r="H1276" s="1">
        <v>2.4537037037037036E-3</v>
      </c>
      <c r="I1276" t="s">
        <v>18</v>
      </c>
      <c r="J1276" s="2" t="str">
        <f>HYPERLINK("https://www.nba.com/stats/events?CFID=&amp;CFPARAMS=&amp;GameEventID=237&amp;GameID=0041600311&amp;Season=2016-17&amp;flag=1&amp;title=Leonard%2012'%20Fadeaway%20Jumper%20(15%20PTS)", "Leonard 12' Fadeaway Jumper (15 PTS)")</f>
        <v>Leonard 12' Fadeaway Jumper (15 PTS)</v>
      </c>
      <c r="K1276" s="2" t="str">
        <f>HYPERLINK("https://www.nba.com/game/...-vs-...-0041600311/play-by-play?watchFullGame=true", "SAS vs GSW - Q2 03:32.00")</f>
        <v>SAS vs GSW - Q2 03:32.00</v>
      </c>
      <c r="L1276">
        <v>12</v>
      </c>
      <c r="M1276">
        <v>-12</v>
      </c>
      <c r="N1276">
        <v>120</v>
      </c>
      <c r="O1276">
        <v>-12</v>
      </c>
      <c r="P1276">
        <v>120</v>
      </c>
    </row>
    <row r="1277" spans="1:16" x14ac:dyDescent="0.25">
      <c r="A1277">
        <v>22300770</v>
      </c>
      <c r="B1277">
        <v>2023</v>
      </c>
      <c r="C1277" t="s">
        <v>32</v>
      </c>
      <c r="D1277" t="s">
        <v>19</v>
      </c>
      <c r="E1277">
        <v>9</v>
      </c>
      <c r="F1277">
        <v>10</v>
      </c>
      <c r="G1277">
        <v>1</v>
      </c>
      <c r="H1277" s="1">
        <v>4.409722222222222E-3</v>
      </c>
      <c r="I1277" t="s">
        <v>23</v>
      </c>
      <c r="J1277" s="2" t="str">
        <f>HYPERLINK("https://www.nba.com/stats/events?CFID=&amp;CFPARAMS=&amp;GameEventID=61&amp;GameID=0022300770&amp;Season=2023-24&amp;flag=1&amp;title=Leonard%2013'%20Jump%20Shot%20(2%20PTS)%20(P.%20George%201%20AST)", "13' Jump Shot (2 PTS) (P. George 1 AST)")</f>
        <v>13' Jump Shot (2 PTS) (P. George 1 AST)</v>
      </c>
      <c r="K1277" s="2" t="str">
        <f>HYPERLINK("https://www.nba.com/game/...-vs-...-0022300770/play-by-play?watchFullGame=true", "LAC vs MIN - Q1 06:21.00")</f>
        <v>LAC vs MIN - Q1 06:21.00</v>
      </c>
      <c r="L1277">
        <v>13.58</v>
      </c>
      <c r="M1277">
        <v>19.97</v>
      </c>
      <c r="N1277">
        <v>52.32</v>
      </c>
      <c r="O1277">
        <v>-12</v>
      </c>
      <c r="P1277">
        <v>135</v>
      </c>
    </row>
    <row r="1278" spans="1:16" x14ac:dyDescent="0.25">
      <c r="A1278">
        <v>22300127</v>
      </c>
      <c r="B1278">
        <v>2023</v>
      </c>
      <c r="C1278" t="s">
        <v>32</v>
      </c>
      <c r="D1278" t="s">
        <v>19</v>
      </c>
      <c r="E1278">
        <v>117</v>
      </c>
      <c r="F1278">
        <v>119</v>
      </c>
      <c r="G1278">
        <v>5</v>
      </c>
      <c r="H1278" s="1">
        <v>3.2638888888888891E-3</v>
      </c>
      <c r="I1278" t="s">
        <v>23</v>
      </c>
      <c r="J1278" s="2" t="str">
        <f>HYPERLINK("https://www.nba.com/stats/events?CFID=&amp;CFPARAMS=&amp;GameEventID=693&amp;GameID=0022300127&amp;Season=2023-24&amp;flag=1&amp;title=Leonard%2015'%20Jump%20Shot%20(32%20PTS)%20(R.%20Westbrook%206%20AST)", "15' Jump Shot (32 PTS) (R. Westbrook 6 AST)")</f>
        <v>15' Jump Shot (32 PTS) (R. Westbrook 6 AST)</v>
      </c>
      <c r="K1278" s="2" t="str">
        <f>HYPERLINK("https://www.nba.com/game/...-vs-...-0022300127/play-by-play?watchFullGame=true", "LAC vs LAL - Q5 04:42.00")</f>
        <v>LAC vs LAL - Q5 04:42.00</v>
      </c>
      <c r="L1278">
        <v>15.1</v>
      </c>
      <c r="M1278">
        <v>21.6</v>
      </c>
      <c r="N1278">
        <v>52.45</v>
      </c>
      <c r="O1278">
        <v>-12</v>
      </c>
      <c r="P1278">
        <v>151</v>
      </c>
    </row>
    <row r="1279" spans="1:16" x14ac:dyDescent="0.25">
      <c r="A1279">
        <v>21500416</v>
      </c>
      <c r="B1279">
        <v>2015</v>
      </c>
      <c r="C1279" t="s">
        <v>32</v>
      </c>
      <c r="D1279" t="s">
        <v>24</v>
      </c>
      <c r="E1279">
        <v>4</v>
      </c>
      <c r="F1279">
        <v>4</v>
      </c>
      <c r="G1279">
        <v>1</v>
      </c>
      <c r="H1279" s="1">
        <v>6.2037037037037035E-3</v>
      </c>
      <c r="I1279" t="s">
        <v>18</v>
      </c>
      <c r="J1279" s="2" t="str">
        <f>HYPERLINK("https://www.nba.com/stats/events?CFID=&amp;CFPARAMS=&amp;GameEventID=26&amp;GameID=0021500416&amp;Season=2015-16&amp;flag=1&amp;title=Leonard%2015'%20Turnaround%20Jump%20Shot%20(4%20PTS)", "Leonard 15' Turnaround Jump Shot (4 PTS)")</f>
        <v>Leonard 15' Turnaround Jump Shot (4 PTS)</v>
      </c>
      <c r="K1279" s="2" t="str">
        <f>HYPERLINK("https://www.nba.com/game/...-vs-...-0021500416/play-by-play?watchFullGame=true", "SAS vs IND - Q1 08:56.00")</f>
        <v>SAS vs IND - Q1 08:56.00</v>
      </c>
      <c r="L1279">
        <v>15</v>
      </c>
      <c r="M1279">
        <v>-12</v>
      </c>
      <c r="N1279">
        <v>154</v>
      </c>
      <c r="O1279">
        <v>-12</v>
      </c>
      <c r="P1279">
        <v>154</v>
      </c>
    </row>
    <row r="1280" spans="1:16" x14ac:dyDescent="0.25">
      <c r="A1280">
        <v>41600151</v>
      </c>
      <c r="B1280" t="s">
        <v>30</v>
      </c>
      <c r="C1280" t="s">
        <v>32</v>
      </c>
      <c r="D1280" t="s">
        <v>29</v>
      </c>
      <c r="E1280">
        <v>84</v>
      </c>
      <c r="F1280">
        <v>64</v>
      </c>
      <c r="G1280">
        <v>3</v>
      </c>
      <c r="H1280" s="1">
        <v>9.3750000000000002E-5</v>
      </c>
      <c r="I1280" t="s">
        <v>18</v>
      </c>
      <c r="J1280" s="2" t="str">
        <f>HYPERLINK("https://www.nba.com/stats/events?CFID=&amp;CFPARAMS=&amp;GameEventID=351&amp;GameID=0041600151&amp;Season=2016-17&amp;flag=1&amp;title=Leonard%2017'%20Pullup%20Jump%20Shot%20(32%20PTS)", "Leonard 17' Pullup Jump Shot (32 PTS)")</f>
        <v>Leonard 17' Pullup Jump Shot (32 PTS)</v>
      </c>
      <c r="K1280" s="2" t="str">
        <f>HYPERLINK("https://www.nba.com/game/...-vs-...-0041600151/play-by-play?watchFullGame=true", "SAS vs MEM - Q3 00:08.10")</f>
        <v>SAS vs MEM - Q3 00:08.10</v>
      </c>
      <c r="L1280">
        <v>17</v>
      </c>
      <c r="M1280">
        <v>-12</v>
      </c>
      <c r="N1280">
        <v>174</v>
      </c>
      <c r="O1280">
        <v>-12</v>
      </c>
      <c r="P1280">
        <v>174</v>
      </c>
    </row>
    <row r="1281" spans="1:16" x14ac:dyDescent="0.25">
      <c r="A1281">
        <v>41800306</v>
      </c>
      <c r="B1281" t="s">
        <v>20</v>
      </c>
      <c r="C1281" t="s">
        <v>32</v>
      </c>
      <c r="D1281" t="s">
        <v>29</v>
      </c>
      <c r="E1281">
        <v>66</v>
      </c>
      <c r="F1281">
        <v>76</v>
      </c>
      <c r="G1281">
        <v>3</v>
      </c>
      <c r="H1281" s="1">
        <v>1.0300925925925926E-3</v>
      </c>
      <c r="I1281" t="s">
        <v>21</v>
      </c>
      <c r="J1281" s="2" t="str">
        <f>HYPERLINK("https://www.nba.com/stats/events?CFID=&amp;CFPARAMS=&amp;GameEventID=468&amp;GameID=0041800306&amp;Season=2018-19&amp;flag=1&amp;title=Leonard%2021'%20Pullup%20Jump%20Shot%20(17%20PTS)", "Leonard 21' Pullup Jump Shot (17 PTS)")</f>
        <v>Leonard 21' Pullup Jump Shot (17 PTS)</v>
      </c>
      <c r="K1281" s="2" t="str">
        <f>HYPERLINK("https://www.nba.com/game/...-vs-...-0041800306/play-by-play?watchFullGame=true", "TOR vs MIL - Q3 01:29.00")</f>
        <v>TOR vs MIL - Q3 01:29.00</v>
      </c>
      <c r="L1281">
        <v>21</v>
      </c>
      <c r="M1281">
        <v>-12</v>
      </c>
      <c r="N1281">
        <v>214</v>
      </c>
      <c r="O1281">
        <v>-12</v>
      </c>
      <c r="P1281">
        <v>214</v>
      </c>
    </row>
    <row r="1282" spans="1:16" x14ac:dyDescent="0.25">
      <c r="A1282">
        <v>21601011</v>
      </c>
      <c r="B1282">
        <v>2016</v>
      </c>
      <c r="C1282" t="s">
        <v>16</v>
      </c>
      <c r="D1282" t="s">
        <v>29</v>
      </c>
      <c r="E1282">
        <v>55</v>
      </c>
      <c r="F1282">
        <v>50</v>
      </c>
      <c r="G1282">
        <v>2</v>
      </c>
      <c r="H1282" s="1">
        <v>6.3194444444444442E-4</v>
      </c>
      <c r="I1282" t="s">
        <v>18</v>
      </c>
      <c r="J1282" s="2" t="str">
        <f>HYPERLINK("https://www.nba.com/stats/events?CFID=&amp;CFPARAMS=&amp;GameEventID=210&amp;GameID=0021601011&amp;Season=2016-17&amp;flag=1&amp;title=Leonard%2024'%203PT%20Pullup%20Jump%20Shot%20(17%20PTS)", "Leonard 24' 3PT Pullup Jump Shot (17 PTS)")</f>
        <v>Leonard 24' 3PT Pullup Jump Shot (17 PTS)</v>
      </c>
      <c r="K1282" s="2" t="str">
        <f>HYPERLINK("https://www.nba.com/game/...-vs-...-0021601011/play-by-play?watchFullGame=true", "SAS vs POR - Q2 00:54.60")</f>
        <v>SAS vs POR - Q2 00:54.60</v>
      </c>
      <c r="L1282">
        <v>24</v>
      </c>
      <c r="M1282">
        <v>-12</v>
      </c>
      <c r="N1282">
        <v>242</v>
      </c>
      <c r="O1282">
        <v>-12</v>
      </c>
      <c r="P1282">
        <v>242</v>
      </c>
    </row>
    <row r="1283" spans="1:16" x14ac:dyDescent="0.25">
      <c r="A1283">
        <v>21600575</v>
      </c>
      <c r="B1283">
        <v>2016</v>
      </c>
      <c r="C1283" t="s">
        <v>16</v>
      </c>
      <c r="D1283" t="s">
        <v>19</v>
      </c>
      <c r="E1283">
        <v>29</v>
      </c>
      <c r="F1283">
        <v>25</v>
      </c>
      <c r="G1283">
        <v>2</v>
      </c>
      <c r="H1283" s="1">
        <v>7.6851851851851855E-3</v>
      </c>
      <c r="I1283" t="s">
        <v>18</v>
      </c>
      <c r="J1283" s="2" t="str">
        <f>HYPERLINK("https://www.nba.com/stats/events?CFID=&amp;CFPARAMS=&amp;GameEventID=136&amp;GameID=0021600575&amp;Season=2016-17&amp;flag=1&amp;title=Leonard%2024'%203PT%20Jump%20Shot%20(10%20PTS)", "Leonard 24' 3PT Jump Shot (10 PTS)")</f>
        <v>Leonard 24' 3PT Jump Shot (10 PTS)</v>
      </c>
      <c r="K1283" s="2" t="str">
        <f>HYPERLINK("https://www.nba.com/game/...-vs-...-0021600575/play-by-play?watchFullGame=true", "SAS vs MIL - Q2 11:04.00")</f>
        <v>SAS vs MIL - Q2 11:04.00</v>
      </c>
      <c r="L1283">
        <v>24</v>
      </c>
      <c r="M1283">
        <v>-12</v>
      </c>
      <c r="N1283">
        <v>244</v>
      </c>
      <c r="O1283">
        <v>-12</v>
      </c>
      <c r="P1283">
        <v>244</v>
      </c>
    </row>
    <row r="1284" spans="1:16" x14ac:dyDescent="0.25">
      <c r="A1284">
        <v>22400733</v>
      </c>
      <c r="B1284">
        <v>2024</v>
      </c>
      <c r="C1284" t="s">
        <v>16</v>
      </c>
      <c r="D1284" t="s">
        <v>19</v>
      </c>
      <c r="E1284">
        <v>16</v>
      </c>
      <c r="F1284">
        <v>7</v>
      </c>
      <c r="G1284">
        <v>1</v>
      </c>
      <c r="H1284" s="1">
        <v>5.2199074074074075E-3</v>
      </c>
      <c r="I1284" t="s">
        <v>23</v>
      </c>
      <c r="J1284" s="2" t="str">
        <f>HYPERLINK("https://www.nba.com/stats/events?CFID=&amp;CFPARAMS=&amp;GameEventID=50&amp;GameID=0022400733&amp;Season=2024-25&amp;flag=1&amp;title=Leonard%2025'%203PT%20%20(8%20PTS)%20(J.%20Harden%201%20AST)", "25' 3PT  (8 PTS) (J. Harden 1 AST)")</f>
        <v>25' 3PT  (8 PTS) (J. Harden 1 AST)</v>
      </c>
      <c r="K1284" s="2" t="str">
        <f>HYPERLINK("https://www.nba.com/game/...-vs-...-0022400733/play-by-play?watchFullGame=true", "LAC vs IND - Q1 07:31.00")</f>
        <v>LAC vs IND - Q1 07:31.00</v>
      </c>
      <c r="L1284">
        <v>25.58</v>
      </c>
      <c r="M1284">
        <v>67.23</v>
      </c>
      <c r="N1284">
        <v>47.55</v>
      </c>
      <c r="O1284">
        <v>-12</v>
      </c>
      <c r="P1284">
        <v>256</v>
      </c>
    </row>
    <row r="1285" spans="1:16" x14ac:dyDescent="0.25">
      <c r="A1285">
        <v>22300505</v>
      </c>
      <c r="B1285">
        <v>2023</v>
      </c>
      <c r="C1285" t="s">
        <v>16</v>
      </c>
      <c r="D1285" t="s">
        <v>19</v>
      </c>
      <c r="E1285">
        <v>7</v>
      </c>
      <c r="F1285">
        <v>16</v>
      </c>
      <c r="G1285">
        <v>1</v>
      </c>
      <c r="H1285" s="1">
        <v>4.3518518518518515E-3</v>
      </c>
      <c r="I1285" t="s">
        <v>23</v>
      </c>
      <c r="J1285" s="2" t="str">
        <f>HYPERLINK("https://www.nba.com/stats/events?CFID=&amp;CFPARAMS=&amp;GameEventID=60&amp;GameID=0022300505&amp;Season=2023-24&amp;flag=1&amp;title=Leonard%2025'%203PT%20running%20pullup%20(4%20PTS)", "25' 3PT running pullup (4 PTS)")</f>
        <v>25' 3PT running pullup (4 PTS)</v>
      </c>
      <c r="K1285" s="2" t="str">
        <f>HYPERLINK("https://www.nba.com/game/...-vs-...-0022300505/play-by-play?watchFullGame=true", "LAC vs LAL - Q1 06:16.00")</f>
        <v>LAC vs LAL - Q1 06:16.00</v>
      </c>
      <c r="L1285">
        <v>25.74</v>
      </c>
      <c r="M1285">
        <v>67.069999999999993</v>
      </c>
      <c r="N1285">
        <v>47.55</v>
      </c>
      <c r="O1285">
        <v>-12</v>
      </c>
      <c r="P1285">
        <v>257</v>
      </c>
    </row>
    <row r="1286" spans="1:16" x14ac:dyDescent="0.25">
      <c r="A1286">
        <v>21500090</v>
      </c>
      <c r="B1286">
        <v>2015</v>
      </c>
      <c r="C1286" t="s">
        <v>32</v>
      </c>
      <c r="D1286" t="s">
        <v>51</v>
      </c>
      <c r="E1286">
        <v>60</v>
      </c>
      <c r="F1286">
        <v>60</v>
      </c>
      <c r="G1286">
        <v>3</v>
      </c>
      <c r="H1286" s="1">
        <v>5.9953703703703705E-3</v>
      </c>
      <c r="I1286" t="s">
        <v>18</v>
      </c>
      <c r="J1286" s="2" t="str">
        <f>HYPERLINK("https://www.nba.com/stats/events?CFID=&amp;CFPARAMS=&amp;GameEventID=294&amp;GameID=0021500090&amp;Season=2015-16&amp;flag=1&amp;title=Leonard%201'%20Reverse%20Layup%20(12%20PTS)%20(West%204%20AST)", "Leonard 1' Reverse Layup (12 PTS) (West 4 AST)")</f>
        <v>Leonard 1' Reverse Layup (12 PTS) (West 4 AST)</v>
      </c>
      <c r="K1286" s="2" t="str">
        <f>HYPERLINK("https://www.nba.com/game/...-vs-...-0021500090/play-by-play?watchFullGame=true", "SAS vs CHA - Q3 08:38.00")</f>
        <v>SAS vs CHA - Q3 08:38.00</v>
      </c>
      <c r="L1286">
        <v>1</v>
      </c>
      <c r="M1286">
        <v>-11</v>
      </c>
      <c r="N1286">
        <v>-6</v>
      </c>
      <c r="O1286">
        <v>-11</v>
      </c>
      <c r="P1286">
        <v>-6</v>
      </c>
    </row>
    <row r="1287" spans="1:16" x14ac:dyDescent="0.25">
      <c r="A1287">
        <v>41200231</v>
      </c>
      <c r="B1287" t="s">
        <v>27</v>
      </c>
      <c r="C1287" t="s">
        <v>32</v>
      </c>
      <c r="D1287" t="s">
        <v>57</v>
      </c>
      <c r="E1287">
        <v>87</v>
      </c>
      <c r="F1287">
        <v>98</v>
      </c>
      <c r="G1287">
        <v>4</v>
      </c>
      <c r="H1287" s="1">
        <v>4.386574074074074E-3</v>
      </c>
      <c r="I1287" t="s">
        <v>18</v>
      </c>
      <c r="J1287" s="2" t="str">
        <f>HYPERLINK("https://www.nba.com/stats/events?CFID=&amp;CFPARAMS=&amp;GameEventID=450&amp;GameID=0041200231&amp;Season=2012-13&amp;flag=1&amp;title=Leonard%201'%20Layup%20(10%20PTS)%20(Ginobili%207%20AST)", "Leonard 1' Layup (10 PTS) (Ginobili 7 AST)")</f>
        <v>Leonard 1' Layup (10 PTS) (Ginobili 7 AST)</v>
      </c>
      <c r="K1287" s="2" t="str">
        <f>HYPERLINK("https://www.nba.com/game/...-vs-...-0041200231/play-by-play?watchFullGame=true", "SAS vs GSW - Q4 06:19.00")</f>
        <v>SAS vs GSW - Q4 06:19.00</v>
      </c>
      <c r="L1287">
        <v>1</v>
      </c>
      <c r="M1287">
        <v>-11</v>
      </c>
      <c r="N1287">
        <v>-5</v>
      </c>
      <c r="O1287">
        <v>-11</v>
      </c>
      <c r="P1287">
        <v>-5</v>
      </c>
    </row>
    <row r="1288" spans="1:16" x14ac:dyDescent="0.25">
      <c r="A1288">
        <v>21500465</v>
      </c>
      <c r="B1288">
        <v>2015</v>
      </c>
      <c r="C1288" t="s">
        <v>32</v>
      </c>
      <c r="D1288" t="s">
        <v>56</v>
      </c>
      <c r="E1288">
        <v>17</v>
      </c>
      <c r="F1288">
        <v>22</v>
      </c>
      <c r="G1288">
        <v>1</v>
      </c>
      <c r="H1288" s="1">
        <v>2.8009259259259259E-3</v>
      </c>
      <c r="I1288" t="s">
        <v>18</v>
      </c>
      <c r="J1288" s="2" t="str">
        <f>HYPERLINK("https://www.nba.com/stats/events?CFID=&amp;CFPARAMS=&amp;GameEventID=68&amp;GameID=0021500465&amp;Season=2015-16&amp;flag=1&amp;title=Leonard%201'%20Running%20Layup%20(7%20PTS)", "Leonard 1' Running Layup (7 PTS)")</f>
        <v>Leonard 1' Running Layup (7 PTS)</v>
      </c>
      <c r="K1288" s="2" t="str">
        <f>HYPERLINK("https://www.nba.com/game/...-vs-...-0021500465/play-by-play?watchFullGame=true", "SAS vs MIN - Q1 04:02.00")</f>
        <v>SAS vs MIN - Q1 04:02.00</v>
      </c>
      <c r="L1288">
        <v>1</v>
      </c>
      <c r="M1288">
        <v>-11</v>
      </c>
      <c r="N1288">
        <v>-5</v>
      </c>
      <c r="O1288">
        <v>-11</v>
      </c>
      <c r="P1288">
        <v>-5</v>
      </c>
    </row>
    <row r="1289" spans="1:16" x14ac:dyDescent="0.25">
      <c r="A1289">
        <v>21500342</v>
      </c>
      <c r="B1289">
        <v>2015</v>
      </c>
      <c r="C1289" t="s">
        <v>32</v>
      </c>
      <c r="D1289" t="s">
        <v>66</v>
      </c>
      <c r="E1289">
        <v>43</v>
      </c>
      <c r="F1289">
        <v>39</v>
      </c>
      <c r="G1289">
        <v>2</v>
      </c>
      <c r="H1289" s="1">
        <v>3.1481481481481482E-3</v>
      </c>
      <c r="I1289" t="s">
        <v>18</v>
      </c>
      <c r="J1289" s="2" t="str">
        <f>HYPERLINK("https://www.nba.com/stats/events?CFID=&amp;CFPARAMS=&amp;GameEventID=169&amp;GameID=0021500342&amp;Season=2015-16&amp;flag=1&amp;title=Leonard%201'%20Running%20Reverse%20Layup%20(6%20PTS)%20(Mills%201%20AST)", "Leonard 1' Running Reverse Layup (6 PTS) (Mills 1 AST)")</f>
        <v>Leonard 1' Running Reverse Layup (6 PTS) (Mills 1 AST)</v>
      </c>
      <c r="K1289" s="2" t="str">
        <f>HYPERLINK("https://www.nba.com/game/...-vs-...-0021500342/play-by-play?watchFullGame=true", "SAS vs LAL - Q2 04:32.00")</f>
        <v>SAS vs LAL - Q2 04:32.00</v>
      </c>
      <c r="L1289">
        <v>1</v>
      </c>
      <c r="M1289">
        <v>-11</v>
      </c>
      <c r="N1289">
        <v>-1</v>
      </c>
      <c r="O1289">
        <v>-11</v>
      </c>
      <c r="P1289">
        <v>-1</v>
      </c>
    </row>
    <row r="1290" spans="1:16" x14ac:dyDescent="0.25">
      <c r="A1290">
        <v>21300604</v>
      </c>
      <c r="B1290">
        <v>2013</v>
      </c>
      <c r="C1290" t="s">
        <v>32</v>
      </c>
      <c r="D1290" t="s">
        <v>57</v>
      </c>
      <c r="E1290">
        <v>38</v>
      </c>
      <c r="F1290">
        <v>22</v>
      </c>
      <c r="G1290">
        <v>2</v>
      </c>
      <c r="H1290" s="1">
        <v>6.076388888888889E-3</v>
      </c>
      <c r="I1290" t="s">
        <v>18</v>
      </c>
      <c r="J1290" s="2" t="str">
        <f>HYPERLINK("https://www.nba.com/stats/events?CFID=&amp;CFPARAMS=&amp;GameEventID=147&amp;GameID=0021300604&amp;Season=2013-14&amp;flag=1&amp;title=Leonard%201'%20Layup%20(7%20PTS)", "Leonard 1' Layup (7 PTS)")</f>
        <v>Leonard 1' Layup (7 PTS)</v>
      </c>
      <c r="K1290" s="2" t="str">
        <f>HYPERLINK("https://www.nba.com/game/...-vs-...-0021300604/play-by-play?watchFullGame=true", "SAS vs MIL - Q2 08:45.00")</f>
        <v>SAS vs MIL - Q2 08:45.00</v>
      </c>
      <c r="L1290">
        <v>1</v>
      </c>
      <c r="M1290">
        <v>-11</v>
      </c>
      <c r="N1290">
        <v>0</v>
      </c>
      <c r="O1290">
        <v>-11</v>
      </c>
      <c r="P1290">
        <v>0</v>
      </c>
    </row>
    <row r="1291" spans="1:16" x14ac:dyDescent="0.25">
      <c r="A1291">
        <v>41300313</v>
      </c>
      <c r="B1291" t="s">
        <v>26</v>
      </c>
      <c r="C1291" t="s">
        <v>32</v>
      </c>
      <c r="D1291" t="s">
        <v>49</v>
      </c>
      <c r="E1291">
        <v>2</v>
      </c>
      <c r="F1291">
        <v>2</v>
      </c>
      <c r="G1291">
        <v>1</v>
      </c>
      <c r="H1291" s="1">
        <v>7.7083333333333335E-3</v>
      </c>
      <c r="I1291" t="s">
        <v>18</v>
      </c>
      <c r="J1291" s="2" t="str">
        <f>HYPERLINK("https://www.nba.com/stats/events?CFID=&amp;CFPARAMS=&amp;GameEventID=7&amp;GameID=0041300313&amp;Season=2013-14&amp;flag=1&amp;title=Leonard%201'%20Driving%20Layup%20(2%20PTS)", "Leonard 1' Driving Layup (2 PTS)")</f>
        <v>Leonard 1' Driving Layup (2 PTS)</v>
      </c>
      <c r="K1291" s="2" t="str">
        <f>HYPERLINK("https://www.nba.com/game/...-vs-...-0041300313/play-by-play?watchFullGame=true", "SAS vs OKC - Q1 11:06.00")</f>
        <v>SAS vs OKC - Q1 11:06.00</v>
      </c>
      <c r="L1291">
        <v>1</v>
      </c>
      <c r="M1291">
        <v>-11</v>
      </c>
      <c r="N1291">
        <v>0</v>
      </c>
      <c r="O1291">
        <v>-11</v>
      </c>
      <c r="P1291">
        <v>0</v>
      </c>
    </row>
    <row r="1292" spans="1:16" x14ac:dyDescent="0.25">
      <c r="A1292">
        <v>21400949</v>
      </c>
      <c r="B1292">
        <v>2014</v>
      </c>
      <c r="C1292" t="s">
        <v>32</v>
      </c>
      <c r="D1292" t="s">
        <v>67</v>
      </c>
      <c r="E1292">
        <v>17</v>
      </c>
      <c r="F1292">
        <v>13</v>
      </c>
      <c r="G1292">
        <v>1</v>
      </c>
      <c r="H1292" s="1">
        <v>2.2222222222222222E-3</v>
      </c>
      <c r="I1292" t="s">
        <v>18</v>
      </c>
      <c r="J1292" s="2" t="str">
        <f>HYPERLINK("https://www.nba.com/stats/events?CFID=&amp;CFPARAMS=&amp;GameEventID=87&amp;GameID=0021400949&amp;Season=2014-15&amp;flag=1&amp;title=Leonard%201'%20Driving%20Dunk%20(2%20PTS)%20(Parker%201%20AST)", "Leonard 1' Driving Dunk (2 PTS) (Parker 1 AST)")</f>
        <v>Leonard 1' Driving Dunk (2 PTS) (Parker 1 AST)</v>
      </c>
      <c r="K1292" s="2" t="str">
        <f>HYPERLINK("https://www.nba.com/game/...-vs-...-0021400949/play-by-play?watchFullGame=true", "SAS vs TOR - Q1 03:12.00")</f>
        <v>SAS vs TOR - Q1 03:12.00</v>
      </c>
      <c r="L1292">
        <v>1</v>
      </c>
      <c r="M1292">
        <v>-11</v>
      </c>
      <c r="N1292">
        <v>1</v>
      </c>
      <c r="O1292">
        <v>-11</v>
      </c>
      <c r="P1292">
        <v>1</v>
      </c>
    </row>
    <row r="1293" spans="1:16" x14ac:dyDescent="0.25">
      <c r="A1293">
        <v>21600525</v>
      </c>
      <c r="B1293">
        <v>2016</v>
      </c>
      <c r="C1293" t="s">
        <v>32</v>
      </c>
      <c r="D1293" t="s">
        <v>57</v>
      </c>
      <c r="E1293">
        <v>6</v>
      </c>
      <c r="F1293">
        <v>2</v>
      </c>
      <c r="G1293">
        <v>1</v>
      </c>
      <c r="H1293" s="1">
        <v>7.0023148148148145E-3</v>
      </c>
      <c r="I1293" t="s">
        <v>18</v>
      </c>
      <c r="J1293" s="2" t="str">
        <f>HYPERLINK("https://www.nba.com/stats/events?CFID=&amp;CFPARAMS=&amp;GameEventID=15&amp;GameID=0021600525&amp;Season=2016-17&amp;flag=1&amp;title=Leonard%201'%20Layup%20(4%20PTS)%20(Gasol%201%20AST)", "Leonard 1' Layup (4 PTS) (Gasol 1 AST)")</f>
        <v>Leonard 1' Layup (4 PTS) (Gasol 1 AST)</v>
      </c>
      <c r="K1293" s="2" t="str">
        <f>HYPERLINK("https://www.nba.com/game/...-vs-...-0021600525/play-by-play?watchFullGame=true", "SAS vs TOR - Q1 10:05.00")</f>
        <v>SAS vs TOR - Q1 10:05.00</v>
      </c>
      <c r="L1293">
        <v>1</v>
      </c>
      <c r="M1293">
        <v>-11</v>
      </c>
      <c r="N1293">
        <v>2</v>
      </c>
      <c r="O1293">
        <v>-11</v>
      </c>
      <c r="P1293">
        <v>2</v>
      </c>
    </row>
    <row r="1294" spans="1:16" x14ac:dyDescent="0.25">
      <c r="A1294">
        <v>41800112</v>
      </c>
      <c r="B1294" t="s">
        <v>20</v>
      </c>
      <c r="C1294" t="s">
        <v>32</v>
      </c>
      <c r="D1294" t="s">
        <v>52</v>
      </c>
      <c r="E1294">
        <v>61</v>
      </c>
      <c r="F1294">
        <v>45</v>
      </c>
      <c r="G1294">
        <v>3</v>
      </c>
      <c r="H1294" s="1">
        <v>6.3888888888888893E-3</v>
      </c>
      <c r="I1294" t="s">
        <v>21</v>
      </c>
      <c r="J1294" s="2" t="str">
        <f>HYPERLINK("https://www.nba.com/stats/events?CFID=&amp;CFPARAMS=&amp;GameEventID=364&amp;GameID=0041800112&amp;Season=2018-19&amp;flag=1&amp;title=Leonard%201'%20Alley%20Oop%20Layup%20(24%20PTS)%20(Gasol%203%20AST)", "Leonard 1' Alley Oop Layup (24 PTS) (Gasol 3 AST)")</f>
        <v>Leonard 1' Alley Oop Layup (24 PTS) (Gasol 3 AST)</v>
      </c>
      <c r="K1294" s="2" t="str">
        <f>HYPERLINK("https://www.nba.com/game/...-vs-...-0041800112/play-by-play?watchFullGame=true", "TOR vs ORL - Q3 09:12.00")</f>
        <v>TOR vs ORL - Q3 09:12.00</v>
      </c>
      <c r="L1294">
        <v>1</v>
      </c>
      <c r="M1294">
        <v>-11</v>
      </c>
      <c r="N1294">
        <v>3</v>
      </c>
      <c r="O1294">
        <v>-11</v>
      </c>
      <c r="P1294">
        <v>3</v>
      </c>
    </row>
    <row r="1295" spans="1:16" x14ac:dyDescent="0.25">
      <c r="A1295">
        <v>41800111</v>
      </c>
      <c r="B1295" t="s">
        <v>20</v>
      </c>
      <c r="C1295" t="s">
        <v>32</v>
      </c>
      <c r="D1295" t="s">
        <v>51</v>
      </c>
      <c r="E1295">
        <v>71</v>
      </c>
      <c r="F1295">
        <v>67</v>
      </c>
      <c r="G1295">
        <v>3</v>
      </c>
      <c r="H1295" s="1">
        <v>2.8935185185185184E-3</v>
      </c>
      <c r="I1295" t="s">
        <v>21</v>
      </c>
      <c r="J1295" s="2" t="str">
        <f>HYPERLINK("https://www.nba.com/stats/events?CFID=&amp;CFPARAMS=&amp;GameEventID=394&amp;GameID=0041800111&amp;Season=2018-19&amp;flag=1&amp;title=Leonard%201'%20Reverse%20Layup%20(18%20PTS)", "Leonard 1' Reverse Layup (18 PTS)")</f>
        <v>Leonard 1' Reverse Layup (18 PTS)</v>
      </c>
      <c r="K1295" s="2" t="str">
        <f>HYPERLINK("https://www.nba.com/game/...-vs-...-0041800111/play-by-play?watchFullGame=true", "TOR vs ORL - Q3 04:10.00")</f>
        <v>TOR vs ORL - Q3 04:10.00</v>
      </c>
      <c r="L1295">
        <v>1</v>
      </c>
      <c r="M1295">
        <v>-11</v>
      </c>
      <c r="N1295">
        <v>3</v>
      </c>
      <c r="O1295">
        <v>-11</v>
      </c>
      <c r="P1295">
        <v>3</v>
      </c>
    </row>
    <row r="1296" spans="1:16" x14ac:dyDescent="0.25">
      <c r="A1296">
        <v>21300514</v>
      </c>
      <c r="B1296">
        <v>2013</v>
      </c>
      <c r="C1296" t="s">
        <v>32</v>
      </c>
      <c r="D1296" t="s">
        <v>49</v>
      </c>
      <c r="E1296">
        <v>66</v>
      </c>
      <c r="F1296">
        <v>78</v>
      </c>
      <c r="G1296">
        <v>4</v>
      </c>
      <c r="H1296" s="1">
        <v>7.5115740740740742E-3</v>
      </c>
      <c r="I1296" t="s">
        <v>18</v>
      </c>
      <c r="J1296" s="2" t="str">
        <f>HYPERLINK("https://www.nba.com/stats/events?CFID=&amp;CFPARAMS=&amp;GameEventID=353&amp;GameID=0021300514&amp;Season=2013-14&amp;flag=1&amp;title=Leonard%201'%20Driving%20Layup%20(17%20PTS)%20(Ginobili%205%20AST)", "Leonard 1' Driving Layup (17 PTS) (Ginobili 5 AST)")</f>
        <v>Leonard 1' Driving Layup (17 PTS) (Ginobili 5 AST)</v>
      </c>
      <c r="K1296" s="2" t="str">
        <f>HYPERLINK("https://www.nba.com/game/...-vs-...-0021300514/play-by-play?watchFullGame=true", "SAS vs MEM - Q4 10:49.00")</f>
        <v>SAS vs MEM - Q4 10:49.00</v>
      </c>
      <c r="L1296">
        <v>1</v>
      </c>
      <c r="M1296">
        <v>-11</v>
      </c>
      <c r="N1296">
        <v>4</v>
      </c>
      <c r="O1296">
        <v>-11</v>
      </c>
      <c r="P1296">
        <v>4</v>
      </c>
    </row>
    <row r="1297" spans="1:16" x14ac:dyDescent="0.25">
      <c r="A1297">
        <v>21901258</v>
      </c>
      <c r="B1297">
        <v>2019</v>
      </c>
      <c r="C1297" t="s">
        <v>32</v>
      </c>
      <c r="D1297" t="s">
        <v>50</v>
      </c>
      <c r="E1297">
        <v>107</v>
      </c>
      <c r="F1297">
        <v>111</v>
      </c>
      <c r="G1297">
        <v>4</v>
      </c>
      <c r="H1297" s="1">
        <v>2.1180555555555558E-3</v>
      </c>
      <c r="I1297" t="s">
        <v>23</v>
      </c>
      <c r="J1297" s="2" t="str">
        <f>HYPERLINK("https://www.nba.com/stats/events?CFID=&amp;CFPARAMS=&amp;GameEventID=565&amp;GameID=0021901258&amp;Season=2019-20&amp;flag=1&amp;title=Leonard%20layup%20(21%20PTS)%20(P.%20George%205%20AST)", "Layup (21 PTS) (P. George 5 AST)")</f>
        <v>Layup (21 PTS) (P. George 5 AST)</v>
      </c>
      <c r="K1297" s="2" t="str">
        <f>HYPERLINK("https://www.nba.com/game/...-vs-...-0021901258/play-by-play?watchFullGame=true", "LAC vs PHX - Q4 03:03.00")</f>
        <v>LAC vs PHX - Q4 03:03.00</v>
      </c>
      <c r="L1297">
        <v>1.4</v>
      </c>
      <c r="M1297">
        <v>94.04</v>
      </c>
      <c r="N1297">
        <v>47.86</v>
      </c>
      <c r="O1297">
        <v>-11</v>
      </c>
      <c r="P1297">
        <v>4</v>
      </c>
    </row>
    <row r="1298" spans="1:16" x14ac:dyDescent="0.25">
      <c r="A1298">
        <v>41800211</v>
      </c>
      <c r="B1298" t="s">
        <v>20</v>
      </c>
      <c r="C1298" t="s">
        <v>32</v>
      </c>
      <c r="D1298" t="s">
        <v>68</v>
      </c>
      <c r="E1298">
        <v>25</v>
      </c>
      <c r="F1298">
        <v>13</v>
      </c>
      <c r="G1298">
        <v>1</v>
      </c>
      <c r="H1298" s="1">
        <v>3.0439814814814813E-3</v>
      </c>
      <c r="I1298" t="s">
        <v>21</v>
      </c>
      <c r="J1298" s="2" t="str">
        <f>HYPERLINK("https://www.nba.com/stats/events?CFID=&amp;CFPARAMS=&amp;GameEventID=78&amp;GameID=0041800211&amp;Season=2018-19&amp;flag=1&amp;title=Leonard%201'%20Cutting%20Dunk%20Shot%20(13%20PTS)%20(Lowry%203%20AST)", "Leonard 1' Cutting Dunk Shot (13 PTS) (Lowry 3 AST)")</f>
        <v>Leonard 1' Cutting Dunk Shot (13 PTS) (Lowry 3 AST)</v>
      </c>
      <c r="K1298" s="2" t="str">
        <f>HYPERLINK("https://www.nba.com/game/...-vs-...-0041800211/play-by-play?watchFullGame=true", "TOR vs PHI - Q1 04:23.00")</f>
        <v>TOR vs PHI - Q1 04:23.00</v>
      </c>
      <c r="L1298">
        <v>1</v>
      </c>
      <c r="M1298">
        <v>-11</v>
      </c>
      <c r="N1298">
        <v>6</v>
      </c>
      <c r="O1298">
        <v>-11</v>
      </c>
      <c r="P1298">
        <v>6</v>
      </c>
    </row>
    <row r="1299" spans="1:16" x14ac:dyDescent="0.25">
      <c r="A1299">
        <v>22000202</v>
      </c>
      <c r="B1299">
        <v>2020</v>
      </c>
      <c r="C1299" t="s">
        <v>32</v>
      </c>
      <c r="D1299" t="s">
        <v>48</v>
      </c>
      <c r="E1299">
        <v>75</v>
      </c>
      <c r="F1299">
        <v>65</v>
      </c>
      <c r="G1299">
        <v>3</v>
      </c>
      <c r="H1299" s="1">
        <v>5.4050925925925924E-3</v>
      </c>
      <c r="I1299" t="s">
        <v>23</v>
      </c>
      <c r="J1299" s="2" t="str">
        <f>HYPERLINK("https://www.nba.com/stats/events?CFID=&amp;CFPARAMS=&amp;GameEventID=356&amp;GameID=0022000202&amp;Season=2020-21&amp;flag=1&amp;title=Leonard%20driving%20DUNK%20(10%20PTS)", "Driving DUNK (10 PTS)")</f>
        <v>Driving DUNK (10 PTS)</v>
      </c>
      <c r="K1299" s="2" t="str">
        <f>HYPERLINK("https://www.nba.com/game/...-vs-...-0022000202/play-by-play?watchFullGame=true", "LAC vs IND - Q3 07:47.00")</f>
        <v>LAC vs IND - Q3 07:47.00</v>
      </c>
      <c r="L1299">
        <v>1.3</v>
      </c>
      <c r="M1299">
        <v>6.26</v>
      </c>
      <c r="N1299">
        <v>52.27</v>
      </c>
      <c r="O1299">
        <v>-11</v>
      </c>
      <c r="P1299">
        <v>6</v>
      </c>
    </row>
    <row r="1300" spans="1:16" x14ac:dyDescent="0.25">
      <c r="A1300">
        <v>21500742</v>
      </c>
      <c r="B1300">
        <v>2015</v>
      </c>
      <c r="C1300" t="s">
        <v>32</v>
      </c>
      <c r="D1300" t="s">
        <v>61</v>
      </c>
      <c r="E1300">
        <v>39</v>
      </c>
      <c r="F1300">
        <v>35</v>
      </c>
      <c r="G1300">
        <v>2</v>
      </c>
      <c r="H1300" s="1">
        <v>5.9606481481481481E-3</v>
      </c>
      <c r="I1300" t="s">
        <v>18</v>
      </c>
      <c r="J1300" s="2" t="str">
        <f>HYPERLINK("https://www.nba.com/stats/events?CFID=&amp;CFPARAMS=&amp;GameEventID=144&amp;GameID=0021500742&amp;Season=2015-16&amp;flag=1&amp;title=Leonard%201'%20Driving%20Finger%20Roll%20Layup%20(7%20PTS)%20(Anderson%202%20AST)", "Leonard 1' Driving Finger Roll Layup (7 PTS) (Anderson 2 AST)")</f>
        <v>Leonard 1' Driving Finger Roll Layup (7 PTS) (Anderson 2 AST)</v>
      </c>
      <c r="K1300" s="2" t="str">
        <f>HYPERLINK("https://www.nba.com/game/...-vs-...-0021500742/play-by-play?watchFullGame=true", "SAS vs NOP - Q2 08:35.00")</f>
        <v>SAS vs NOP - Q2 08:35.00</v>
      </c>
      <c r="L1300">
        <v>1</v>
      </c>
      <c r="M1300">
        <v>-11</v>
      </c>
      <c r="N1300">
        <v>7</v>
      </c>
      <c r="O1300">
        <v>-11</v>
      </c>
      <c r="P1300">
        <v>7</v>
      </c>
    </row>
    <row r="1301" spans="1:16" x14ac:dyDescent="0.25">
      <c r="A1301">
        <v>21500061</v>
      </c>
      <c r="B1301">
        <v>2015</v>
      </c>
      <c r="C1301" t="s">
        <v>32</v>
      </c>
      <c r="D1301" t="s">
        <v>51</v>
      </c>
      <c r="E1301">
        <v>19</v>
      </c>
      <c r="F1301">
        <v>4</v>
      </c>
      <c r="G1301">
        <v>1</v>
      </c>
      <c r="H1301" s="1">
        <v>4.7569444444444447E-3</v>
      </c>
      <c r="I1301" t="s">
        <v>18</v>
      </c>
      <c r="J1301" s="2" t="str">
        <f>HYPERLINK("https://www.nba.com/stats/events?CFID=&amp;CFPARAMS=&amp;GameEventID=49&amp;GameID=0021500061&amp;Season=2015-16&amp;flag=1&amp;title=Leonard%201'%20Reverse%20Layup%20(2%20PTS)%20(Duncan%201%20AST)", "Leonard 1' Reverse Layup (2 PTS) (Duncan 1 AST)")</f>
        <v>Leonard 1' Reverse Layup (2 PTS) (Duncan 1 AST)</v>
      </c>
      <c r="K1301" s="2" t="str">
        <f>HYPERLINK("https://www.nba.com/game/...-vs-...-0021500061/play-by-play?watchFullGame=true", "SAS vs WAS - Q1 06:51.00")</f>
        <v>SAS vs WAS - Q1 06:51.00</v>
      </c>
      <c r="L1301">
        <v>1</v>
      </c>
      <c r="M1301">
        <v>-11</v>
      </c>
      <c r="N1301">
        <v>7</v>
      </c>
      <c r="O1301">
        <v>-11</v>
      </c>
      <c r="P1301">
        <v>7</v>
      </c>
    </row>
    <row r="1302" spans="1:16" x14ac:dyDescent="0.25">
      <c r="A1302">
        <v>21500235</v>
      </c>
      <c r="B1302">
        <v>2015</v>
      </c>
      <c r="C1302" t="s">
        <v>32</v>
      </c>
      <c r="D1302" t="s">
        <v>49</v>
      </c>
      <c r="E1302">
        <v>34</v>
      </c>
      <c r="F1302">
        <v>29</v>
      </c>
      <c r="G1302">
        <v>2</v>
      </c>
      <c r="H1302" s="1">
        <v>4.2592592592592595E-3</v>
      </c>
      <c r="I1302" t="s">
        <v>18</v>
      </c>
      <c r="J1302" s="2" t="str">
        <f>HYPERLINK("https://www.nba.com/stats/events?CFID=&amp;CFPARAMS=&amp;GameEventID=176&amp;GameID=0021500235&amp;Season=2015-16&amp;flag=1&amp;title=Leonard%201'%20Driving%20Layup%20(4%20PTS)", "Leonard 1' Driving Layup (4 PTS)")</f>
        <v>Leonard 1' Driving Layup (4 PTS)</v>
      </c>
      <c r="K1302" s="2" t="str">
        <f>HYPERLINK("https://www.nba.com/game/...-vs-...-0021500235/play-by-play?watchFullGame=true", "SAS vs DEN - Q2 06:08.00")</f>
        <v>SAS vs DEN - Q2 06:08.00</v>
      </c>
      <c r="L1302">
        <v>1</v>
      </c>
      <c r="M1302">
        <v>-11</v>
      </c>
      <c r="N1302">
        <v>7</v>
      </c>
      <c r="O1302">
        <v>-11</v>
      </c>
      <c r="P1302">
        <v>7</v>
      </c>
    </row>
    <row r="1303" spans="1:16" x14ac:dyDescent="0.25">
      <c r="A1303">
        <v>21400875</v>
      </c>
      <c r="B1303">
        <v>2014</v>
      </c>
      <c r="C1303" t="s">
        <v>32</v>
      </c>
      <c r="D1303" t="s">
        <v>51</v>
      </c>
      <c r="E1303">
        <v>37</v>
      </c>
      <c r="F1303">
        <v>67</v>
      </c>
      <c r="G1303">
        <v>3</v>
      </c>
      <c r="H1303" s="1">
        <v>2.476851851851852E-3</v>
      </c>
      <c r="I1303" t="s">
        <v>18</v>
      </c>
      <c r="J1303" s="2" t="str">
        <f>HYPERLINK("https://www.nba.com/stats/events?CFID=&amp;CFPARAMS=&amp;GameEventID=383&amp;GameID=0021400875&amp;Season=2014-15&amp;flag=1&amp;title=Leonard%201'%20Reverse%20Layup%20(17%20PTS)%20(Ginobili%206%20AST)", "Leonard 1' Reverse Layup (17 PTS) (Ginobili 6 AST)")</f>
        <v>Leonard 1' Reverse Layup (17 PTS) (Ginobili 6 AST)</v>
      </c>
      <c r="K1303" s="2" t="str">
        <f>HYPERLINK("https://www.nba.com/game/...-vs-...-0021400875/play-by-play?watchFullGame=true", "SAS vs PHX - Q3 03:34.00")</f>
        <v>SAS vs PHX - Q3 03:34.00</v>
      </c>
      <c r="L1303">
        <v>1</v>
      </c>
      <c r="M1303">
        <v>-11</v>
      </c>
      <c r="N1303">
        <v>9</v>
      </c>
      <c r="O1303">
        <v>-11</v>
      </c>
      <c r="P1303">
        <v>9</v>
      </c>
    </row>
    <row r="1304" spans="1:16" x14ac:dyDescent="0.25">
      <c r="A1304">
        <v>22000660</v>
      </c>
      <c r="B1304">
        <v>2020</v>
      </c>
      <c r="C1304" t="s">
        <v>32</v>
      </c>
      <c r="D1304" t="s">
        <v>47</v>
      </c>
      <c r="E1304">
        <v>98</v>
      </c>
      <c r="F1304">
        <v>103</v>
      </c>
      <c r="G1304">
        <v>4</v>
      </c>
      <c r="H1304" s="1">
        <v>4.0740740740740737E-3</v>
      </c>
      <c r="I1304" t="s">
        <v>23</v>
      </c>
      <c r="J1304" s="2" t="str">
        <f>HYPERLINK("https://www.nba.com/stats/events?CFID=&amp;CFPARAMS=&amp;GameEventID=537&amp;GameID=0022000660&amp;Season=2020-21&amp;flag=1&amp;title=Leonard%20reverse%20Layup%20(16%20PTS)%20(P.%20George%205%20AST)", "Reverse Layup (16 PTS) (P. George 5 AST)")</f>
        <v>Reverse Layup (16 PTS) (P. George 5 AST)</v>
      </c>
      <c r="K1304" s="2" t="str">
        <f>HYPERLINK("https://www.nba.com/game/...-vs-...-0022000660/play-by-play?watchFullGame=true", "LAC vs ATL - Q4 05:52.00")</f>
        <v>LAC vs ATL - Q4 05:52.00</v>
      </c>
      <c r="L1304">
        <v>1.52</v>
      </c>
      <c r="M1304">
        <v>93.35</v>
      </c>
      <c r="N1304">
        <v>47.73</v>
      </c>
      <c r="O1304">
        <v>-11</v>
      </c>
      <c r="P1304">
        <v>10</v>
      </c>
    </row>
    <row r="1305" spans="1:16" x14ac:dyDescent="0.25">
      <c r="A1305">
        <v>22300372</v>
      </c>
      <c r="B1305">
        <v>2023</v>
      </c>
      <c r="C1305" t="s">
        <v>32</v>
      </c>
      <c r="D1305" t="s">
        <v>47</v>
      </c>
      <c r="E1305">
        <v>108</v>
      </c>
      <c r="F1305">
        <v>111</v>
      </c>
      <c r="G1305">
        <v>4</v>
      </c>
      <c r="H1305" s="1">
        <v>2.0717592592592593E-3</v>
      </c>
      <c r="I1305" t="s">
        <v>23</v>
      </c>
      <c r="J1305" s="2" t="str">
        <f>HYPERLINK("https://www.nba.com/stats/events?CFID=&amp;CFPARAMS=&amp;GameEventID=579&amp;GameID=0022300372&amp;Season=2023-24&amp;flag=1&amp;title=Leonard%20driving%20Layup%20(24%20PTS)", "Driving Layup (24 PTS)")</f>
        <v>Driving Layup (24 PTS)</v>
      </c>
      <c r="K1305" s="2" t="str">
        <f>HYPERLINK("https://www.nba.com/game/...-vs-...-0022300372/play-by-play?watchFullGame=true", "LAC vs DAL - Q4 02:59.00")</f>
        <v>LAC vs DAL - Q4 02:59.00</v>
      </c>
      <c r="L1305">
        <v>1.49</v>
      </c>
      <c r="M1305">
        <v>6.65</v>
      </c>
      <c r="N1305">
        <v>52.21</v>
      </c>
      <c r="O1305">
        <v>-11</v>
      </c>
      <c r="P1305">
        <v>10</v>
      </c>
    </row>
    <row r="1306" spans="1:16" x14ac:dyDescent="0.25">
      <c r="A1306">
        <v>22200991</v>
      </c>
      <c r="B1306">
        <v>2022</v>
      </c>
      <c r="C1306" t="s">
        <v>32</v>
      </c>
      <c r="D1306" t="s">
        <v>48</v>
      </c>
      <c r="E1306">
        <v>11</v>
      </c>
      <c r="F1306">
        <v>15</v>
      </c>
      <c r="G1306">
        <v>1</v>
      </c>
      <c r="H1306" s="1">
        <v>2.2569444444444442E-3</v>
      </c>
      <c r="I1306" t="s">
        <v>23</v>
      </c>
      <c r="J1306" s="2" t="str">
        <f>HYPERLINK("https://www.nba.com/stats/events?CFID=&amp;CFPARAMS=&amp;GameEventID=103&amp;GameID=0022200991&amp;Season=2022-23&amp;flag=1&amp;title=Leonard%20driving%20DUNK%20(6%20PTS)", "Driving DUNK (6 PTS)")</f>
        <v>Driving DUNK (6 PTS)</v>
      </c>
      <c r="K1306" s="2" t="str">
        <f>HYPERLINK("https://www.nba.com/game/...-vs-...-0022200991/play-by-play?watchFullGame=true", "LAC vs TOR - Q1 03:15.00")</f>
        <v>LAC vs TOR - Q1 03:15.00</v>
      </c>
      <c r="L1306">
        <v>1.58</v>
      </c>
      <c r="M1306">
        <v>93.22</v>
      </c>
      <c r="N1306">
        <v>47.79</v>
      </c>
      <c r="O1306">
        <v>-11</v>
      </c>
      <c r="P1306">
        <v>11</v>
      </c>
    </row>
    <row r="1307" spans="1:16" x14ac:dyDescent="0.25">
      <c r="A1307">
        <v>41800112</v>
      </c>
      <c r="B1307" t="s">
        <v>20</v>
      </c>
      <c r="C1307" t="s">
        <v>32</v>
      </c>
      <c r="D1307" t="s">
        <v>57</v>
      </c>
      <c r="E1307">
        <v>36</v>
      </c>
      <c r="F1307">
        <v>23</v>
      </c>
      <c r="G1307">
        <v>2</v>
      </c>
      <c r="H1307" s="1">
        <v>5.8796296296296296E-3</v>
      </c>
      <c r="I1307" t="s">
        <v>21</v>
      </c>
      <c r="J1307" s="2" t="str">
        <f>HYPERLINK("https://www.nba.com/stats/events?CFID=&amp;CFPARAMS=&amp;GameEventID=196&amp;GameID=0041800112&amp;Season=2018-19&amp;flag=1&amp;title=Leonard%202'%20Layup%20(14%20PTS)", "Leonard 2' Layup (14 PTS)")</f>
        <v>Leonard 2' Layup (14 PTS)</v>
      </c>
      <c r="K1307" s="2" t="str">
        <f>HYPERLINK("https://www.nba.com/game/...-vs-...-0041800112/play-by-play?watchFullGame=true", "TOR vs ORL - Q2 08:28.00")</f>
        <v>TOR vs ORL - Q2 08:28.00</v>
      </c>
      <c r="L1307">
        <v>2</v>
      </c>
      <c r="M1307">
        <v>-11</v>
      </c>
      <c r="N1307">
        <v>11</v>
      </c>
      <c r="O1307">
        <v>-11</v>
      </c>
      <c r="P1307">
        <v>11</v>
      </c>
    </row>
    <row r="1308" spans="1:16" x14ac:dyDescent="0.25">
      <c r="A1308">
        <v>21901307</v>
      </c>
      <c r="B1308">
        <v>2019</v>
      </c>
      <c r="C1308" t="s">
        <v>32</v>
      </c>
      <c r="D1308" t="s">
        <v>50</v>
      </c>
      <c r="E1308">
        <v>63</v>
      </c>
      <c r="F1308">
        <v>65</v>
      </c>
      <c r="G1308">
        <v>3</v>
      </c>
      <c r="H1308" s="1">
        <v>5.7060185185185183E-3</v>
      </c>
      <c r="I1308" t="s">
        <v>23</v>
      </c>
      <c r="J1308" s="2" t="str">
        <f>HYPERLINK("https://www.nba.com/stats/events?CFID=&amp;CFPARAMS=&amp;GameEventID=369&amp;GameID=0021901307&amp;Season=2019-20&amp;flag=1&amp;title=Leonard%20layup%20(20%20PTS)", "Layup (20 PTS)")</f>
        <v>Layup (20 PTS)</v>
      </c>
      <c r="K1308" s="2" t="str">
        <f>HYPERLINK("https://www.nba.com/game/...-vs-...-0021901307/play-by-play?watchFullGame=true", "LAC vs DEN - Q3 08:13.00")</f>
        <v>LAC vs DEN - Q3 08:13.00</v>
      </c>
      <c r="L1308">
        <v>2.73</v>
      </c>
      <c r="M1308">
        <v>92.33</v>
      </c>
      <c r="N1308">
        <v>47.86</v>
      </c>
      <c r="O1308">
        <v>-11</v>
      </c>
      <c r="P1308">
        <v>20</v>
      </c>
    </row>
    <row r="1309" spans="1:16" x14ac:dyDescent="0.25">
      <c r="A1309">
        <v>21500790</v>
      </c>
      <c r="B1309">
        <v>2015</v>
      </c>
      <c r="C1309" t="s">
        <v>32</v>
      </c>
      <c r="D1309" t="s">
        <v>57</v>
      </c>
      <c r="E1309">
        <v>37</v>
      </c>
      <c r="F1309">
        <v>41</v>
      </c>
      <c r="G1309">
        <v>2</v>
      </c>
      <c r="H1309" s="1">
        <v>3.6574074074074074E-3</v>
      </c>
      <c r="I1309" t="s">
        <v>18</v>
      </c>
      <c r="J1309" s="2" t="str">
        <f>HYPERLINK("https://www.nba.com/stats/events?CFID=&amp;CFPARAMS=&amp;GameEventID=184&amp;GameID=0021500790&amp;Season=2015-16&amp;flag=1&amp;title=Leonard%202'%20Layup%20(11%20PTS)%20(Duncan%202%20AST)", "Leonard 2' Layup (11 PTS) (Duncan 2 AST)")</f>
        <v>Leonard 2' Layup (11 PTS) (Duncan 2 AST)</v>
      </c>
      <c r="K1309" s="2" t="str">
        <f>HYPERLINK("https://www.nba.com/game/...-vs-...-0021500790/play-by-play?watchFullGame=true", "SAS vs ORL - Q2 05:16.00")</f>
        <v>SAS vs ORL - Q2 05:16.00</v>
      </c>
      <c r="L1309">
        <v>2</v>
      </c>
      <c r="M1309">
        <v>-11</v>
      </c>
      <c r="N1309">
        <v>21</v>
      </c>
      <c r="O1309">
        <v>-11</v>
      </c>
      <c r="P1309">
        <v>21</v>
      </c>
    </row>
    <row r="1310" spans="1:16" x14ac:dyDescent="0.25">
      <c r="A1310">
        <v>21900051</v>
      </c>
      <c r="B1310">
        <v>2019</v>
      </c>
      <c r="C1310" t="s">
        <v>32</v>
      </c>
      <c r="D1310" t="s">
        <v>65</v>
      </c>
      <c r="E1310">
        <v>98</v>
      </c>
      <c r="F1310">
        <v>83</v>
      </c>
      <c r="G1310">
        <v>4</v>
      </c>
      <c r="H1310" s="1">
        <v>3.9004629629629628E-3</v>
      </c>
      <c r="I1310" t="s">
        <v>23</v>
      </c>
      <c r="J1310" s="2" t="str">
        <f>HYPERLINK("https://www.nba.com/stats/events?CFID=&amp;CFPARAMS=&amp;GameEventID=596&amp;GameID=0021900051&amp;Season=2019-20&amp;flag=1&amp;title=[LAC]%20Leonard%20dunk:%20Made%20(27%20PTS)", "[LAC] Leonard dunk: Made (27 PTS)")</f>
        <v>[LAC] Leonard dunk: Made (27 PTS)</v>
      </c>
      <c r="K1310" s="2" t="str">
        <f>HYPERLINK("https://www.nba.com/game/...-vs-...-0021900051/play-by-play?watchFullGame=true", "LAC vs CHA - Q4 05:37.00")</f>
        <v>LAC vs CHA - Q4 05:37.00</v>
      </c>
      <c r="L1310">
        <v>2.96</v>
      </c>
      <c r="M1310">
        <v>7.93</v>
      </c>
      <c r="N1310">
        <v>52.14</v>
      </c>
      <c r="O1310">
        <v>-11</v>
      </c>
      <c r="P1310">
        <v>22</v>
      </c>
    </row>
    <row r="1311" spans="1:16" x14ac:dyDescent="0.25">
      <c r="A1311">
        <v>21401084</v>
      </c>
      <c r="B1311">
        <v>2014</v>
      </c>
      <c r="C1311" t="s">
        <v>32</v>
      </c>
      <c r="D1311" t="s">
        <v>42</v>
      </c>
      <c r="E1311">
        <v>48</v>
      </c>
      <c r="F1311">
        <v>31</v>
      </c>
      <c r="G1311">
        <v>2</v>
      </c>
      <c r="H1311" s="1">
        <v>3.5532407407407409E-3</v>
      </c>
      <c r="I1311" t="s">
        <v>18</v>
      </c>
      <c r="J1311" s="2" t="str">
        <f>HYPERLINK("https://www.nba.com/stats/events?CFID=&amp;CFPARAMS=&amp;GameEventID=188&amp;GameID=0021401084&amp;Season=2014-15&amp;flag=1&amp;title=Leonard%206'%20Driving%20Jump%20Shot%20(9%20PTS)%20(Parker%202%20AST)", "Leonard 6' Driving Jump Shot (9 PTS) (Parker 2 AST)")</f>
        <v>Leonard 6' Driving Jump Shot (9 PTS) (Parker 2 AST)</v>
      </c>
      <c r="K1311" s="2" t="str">
        <f>HYPERLINK("https://www.nba.com/game/...-vs-...-0021401084/play-by-play?watchFullGame=true", "SAS vs DAL - Q2 05:07.00")</f>
        <v>SAS vs DAL - Q2 05:07.00</v>
      </c>
      <c r="L1311">
        <v>6</v>
      </c>
      <c r="M1311">
        <v>-11</v>
      </c>
      <c r="N1311">
        <v>60</v>
      </c>
      <c r="O1311">
        <v>-11</v>
      </c>
      <c r="P1311">
        <v>60</v>
      </c>
    </row>
    <row r="1312" spans="1:16" x14ac:dyDescent="0.25">
      <c r="A1312">
        <v>21900618</v>
      </c>
      <c r="B1312">
        <v>2019</v>
      </c>
      <c r="C1312" t="s">
        <v>32</v>
      </c>
      <c r="D1312" t="s">
        <v>22</v>
      </c>
      <c r="E1312">
        <v>104</v>
      </c>
      <c r="F1312">
        <v>86</v>
      </c>
      <c r="G1312">
        <v>4</v>
      </c>
      <c r="H1312" s="1">
        <v>4.6064814814814814E-3</v>
      </c>
      <c r="I1312" t="s">
        <v>23</v>
      </c>
      <c r="J1312" s="2" t="str">
        <f>HYPERLINK("https://www.nba.com/stats/events?CFID=&amp;CFPARAMS=&amp;GameEventID=561&amp;GameID=0021900618&amp;Season=2019-20&amp;flag=1&amp;title=Leonard%208'%20jumpshot%20(32%20PTS)", "8' jumpshot (32 PTS)")</f>
        <v>8' jumpshot (32 PTS)</v>
      </c>
      <c r="K1312" s="2" t="str">
        <f>HYPERLINK("https://www.nba.com/game/...-vs-...-0021900618/play-by-play?watchFullGame=true", "LAC vs ORL - Q4 06:38.00")</f>
        <v>LAC vs ORL - Q4 06:38.00</v>
      </c>
      <c r="L1312">
        <v>8.26</v>
      </c>
      <c r="M1312">
        <v>13.72</v>
      </c>
      <c r="N1312">
        <v>52.14</v>
      </c>
      <c r="O1312">
        <v>-11</v>
      </c>
      <c r="P1312">
        <v>76</v>
      </c>
    </row>
    <row r="1313" spans="1:16" x14ac:dyDescent="0.25">
      <c r="A1313">
        <v>41800211</v>
      </c>
      <c r="B1313" t="s">
        <v>20</v>
      </c>
      <c r="C1313" t="s">
        <v>32</v>
      </c>
      <c r="D1313" t="s">
        <v>37</v>
      </c>
      <c r="E1313">
        <v>63</v>
      </c>
      <c r="F1313">
        <v>55</v>
      </c>
      <c r="G1313">
        <v>3</v>
      </c>
      <c r="H1313" s="1">
        <v>7.9282407407407409E-3</v>
      </c>
      <c r="I1313" t="s">
        <v>21</v>
      </c>
      <c r="J1313" s="2" t="str">
        <f>HYPERLINK("https://www.nba.com/stats/events?CFID=&amp;CFPARAMS=&amp;GameEventID=326&amp;GameID=0041800211&amp;Season=2018-19&amp;flag=1&amp;title=Leonard%209'%20Floating%20Jump%20Shot%20(29%20PTS)", "Leonard 9' Floating Jump Shot (29 PTS)")</f>
        <v>Leonard 9' Floating Jump Shot (29 PTS)</v>
      </c>
      <c r="K1313" s="2" t="str">
        <f>HYPERLINK("https://www.nba.com/game/...-vs-...-0041800211/play-by-play?watchFullGame=true", "TOR vs PHI - Q3 11:25.00")</f>
        <v>TOR vs PHI - Q3 11:25.00</v>
      </c>
      <c r="L1313">
        <v>9</v>
      </c>
      <c r="M1313">
        <v>-11</v>
      </c>
      <c r="N1313">
        <v>85</v>
      </c>
      <c r="O1313">
        <v>-11</v>
      </c>
      <c r="P1313">
        <v>85</v>
      </c>
    </row>
    <row r="1314" spans="1:16" x14ac:dyDescent="0.25">
      <c r="A1314">
        <v>21401039</v>
      </c>
      <c r="B1314">
        <v>2014</v>
      </c>
      <c r="C1314" t="s">
        <v>32</v>
      </c>
      <c r="D1314" t="s">
        <v>19</v>
      </c>
      <c r="E1314">
        <v>6</v>
      </c>
      <c r="F1314">
        <v>24</v>
      </c>
      <c r="G1314">
        <v>1</v>
      </c>
      <c r="H1314" s="1">
        <v>3.1250000000000002E-3</v>
      </c>
      <c r="I1314" t="s">
        <v>18</v>
      </c>
      <c r="J1314" s="2" t="str">
        <f>HYPERLINK("https://www.nba.com/stats/events?CFID=&amp;CFPARAMS=&amp;GameEventID=50&amp;GameID=0021401039&amp;Season=2014-15&amp;flag=1&amp;title=Leonard%209'%20Jump%20Shot%20(8%20PTS)", "Leonard 9' Jump Shot (8 PTS)")</f>
        <v>Leonard 9' Jump Shot (8 PTS)</v>
      </c>
      <c r="K1314" s="2" t="str">
        <f>HYPERLINK("https://www.nba.com/game/...-vs-...-0021401039/play-by-play?watchFullGame=true", "SAS vs ATL - Q1 04:30.00")</f>
        <v>SAS vs ATL - Q1 04:30.00</v>
      </c>
      <c r="L1314">
        <v>9</v>
      </c>
      <c r="M1314">
        <v>-11</v>
      </c>
      <c r="N1314">
        <v>93</v>
      </c>
      <c r="O1314">
        <v>-11</v>
      </c>
      <c r="P1314">
        <v>93</v>
      </c>
    </row>
    <row r="1315" spans="1:16" x14ac:dyDescent="0.25">
      <c r="A1315">
        <v>22300350</v>
      </c>
      <c r="B1315">
        <v>2023</v>
      </c>
      <c r="C1315" t="s">
        <v>32</v>
      </c>
      <c r="D1315" t="s">
        <v>19</v>
      </c>
      <c r="E1315">
        <v>4</v>
      </c>
      <c r="F1315">
        <v>8</v>
      </c>
      <c r="G1315">
        <v>1</v>
      </c>
      <c r="H1315" s="1">
        <v>6.1921296296296299E-3</v>
      </c>
      <c r="I1315" t="s">
        <v>23</v>
      </c>
      <c r="J1315" s="2" t="str">
        <f>HYPERLINK("https://www.nba.com/stats/events?CFID=&amp;CFPARAMS=&amp;GameEventID=41&amp;GameID=0022300350&amp;Season=2023-24&amp;flag=1&amp;title=Leonard%209'%20fadeaway%20Jump%20Shot%20(2%20PTS)", "9' fadeaway Jump Shot (2 PTS)")</f>
        <v>9' fadeaway Jump Shot (2 PTS)</v>
      </c>
      <c r="K1315" s="2" t="str">
        <f>HYPERLINK("https://www.nba.com/game/...-vs-...-0022300350/play-by-play?watchFullGame=true", "LAC vs IND - Q1 08:55.00")</f>
        <v>LAC vs IND - Q1 08:55.00</v>
      </c>
      <c r="L1315">
        <v>9.43</v>
      </c>
      <c r="M1315">
        <v>84.44</v>
      </c>
      <c r="N1315">
        <v>47.79</v>
      </c>
      <c r="O1315">
        <v>-11</v>
      </c>
      <c r="P1315">
        <v>94</v>
      </c>
    </row>
    <row r="1316" spans="1:16" x14ac:dyDescent="0.25">
      <c r="A1316">
        <v>22000457</v>
      </c>
      <c r="B1316">
        <v>2020</v>
      </c>
      <c r="C1316" t="s">
        <v>32</v>
      </c>
      <c r="D1316" t="s">
        <v>19</v>
      </c>
      <c r="E1316">
        <v>73</v>
      </c>
      <c r="F1316">
        <v>71</v>
      </c>
      <c r="G1316">
        <v>3</v>
      </c>
      <c r="H1316" s="1">
        <v>1.6319444444444445E-3</v>
      </c>
      <c r="I1316" t="s">
        <v>23</v>
      </c>
      <c r="J1316" s="2" t="str">
        <f>HYPERLINK("https://www.nba.com/stats/events?CFID=&amp;CFPARAMS=&amp;GameEventID=420&amp;GameID=0022000457&amp;Season=2020-21&amp;flag=1&amp;title=Leonard%2011'%20turnaround%20fadeaway%20Jump%20Shot%20(20%20PTS)", "11' turnaround fadeaway Jump Shot (20 PTS)")</f>
        <v>11' turnaround fadeaway Jump Shot (20 PTS)</v>
      </c>
      <c r="K1316" s="2" t="str">
        <f>HYPERLINK("https://www.nba.com/game/...-vs-...-0022000457/play-by-play?watchFullGame=true", "LAC vs UTA - Q3 02:21.00")</f>
        <v>LAC vs UTA - Q3 02:21.00</v>
      </c>
      <c r="L1316">
        <v>11.77</v>
      </c>
      <c r="M1316">
        <v>81.95</v>
      </c>
      <c r="N1316">
        <v>47.86</v>
      </c>
      <c r="O1316">
        <v>-11</v>
      </c>
      <c r="P1316">
        <v>117</v>
      </c>
    </row>
    <row r="1317" spans="1:16" x14ac:dyDescent="0.25">
      <c r="A1317">
        <v>22300716</v>
      </c>
      <c r="B1317">
        <v>2023</v>
      </c>
      <c r="C1317" t="s">
        <v>32</v>
      </c>
      <c r="D1317" t="s">
        <v>19</v>
      </c>
      <c r="E1317">
        <v>16</v>
      </c>
      <c r="F1317">
        <v>28</v>
      </c>
      <c r="G1317">
        <v>1</v>
      </c>
      <c r="H1317" s="1">
        <v>2.5694444444444445E-3</v>
      </c>
      <c r="I1317" t="s">
        <v>23</v>
      </c>
      <c r="J1317" s="2" t="str">
        <f>HYPERLINK("https://www.nba.com/stats/events?CFID=&amp;CFPARAMS=&amp;GameEventID=86&amp;GameID=0022300716&amp;Season=2023-24&amp;flag=1&amp;title=Leonard%2011'%20fadeaway%20Jump%20Shot%20(5%20PTS)%20(J.%20Harden%204%20AST)", "11' fadeaway Jump Shot (5 PTS) (J. Harden 4 AST)")</f>
        <v>11' fadeaway Jump Shot (5 PTS) (J. Harden 4 AST)</v>
      </c>
      <c r="K1317" s="2" t="str">
        <f>HYPERLINK("https://www.nba.com/game/...-vs-...-0022300716/play-by-play?watchFullGame=true", "LAC vs ATL - Q1 03:42.00")</f>
        <v>LAC vs ATL - Q1 03:42.00</v>
      </c>
      <c r="L1317">
        <v>11.77</v>
      </c>
      <c r="M1317">
        <v>81.95</v>
      </c>
      <c r="N1317">
        <v>47.79</v>
      </c>
      <c r="O1317">
        <v>-11</v>
      </c>
      <c r="P1317">
        <v>117</v>
      </c>
    </row>
    <row r="1318" spans="1:16" x14ac:dyDescent="0.25">
      <c r="A1318">
        <v>21500296</v>
      </c>
      <c r="B1318">
        <v>2015</v>
      </c>
      <c r="C1318" t="s">
        <v>32</v>
      </c>
      <c r="D1318" t="s">
        <v>31</v>
      </c>
      <c r="E1318">
        <v>70</v>
      </c>
      <c r="F1318">
        <v>58</v>
      </c>
      <c r="G1318">
        <v>3</v>
      </c>
      <c r="H1318" s="1">
        <v>4.6412037037037038E-3</v>
      </c>
      <c r="I1318" t="s">
        <v>18</v>
      </c>
      <c r="J1318" s="2" t="str">
        <f>HYPERLINK("https://www.nba.com/stats/events?CFID=&amp;CFPARAMS=&amp;GameEventID=272&amp;GameID=0021500296&amp;Season=2015-16&amp;flag=1&amp;title=Leonard%2012'%20Step%20Back%20Jump%20Shot%20(12%20PTS)", "Leonard 12' Step Back Jump Shot (12 PTS)")</f>
        <v>Leonard 12' Step Back Jump Shot (12 PTS)</v>
      </c>
      <c r="K1318" s="2" t="str">
        <f>HYPERLINK("https://www.nba.com/game/...-vs-...-0021500296/play-by-play?watchFullGame=true", "SAS vs BOS - Q3 06:41.00")</f>
        <v>SAS vs BOS - Q3 06:41.00</v>
      </c>
      <c r="L1318">
        <v>12</v>
      </c>
      <c r="M1318">
        <v>-11</v>
      </c>
      <c r="N1318">
        <v>121</v>
      </c>
      <c r="O1318">
        <v>-11</v>
      </c>
      <c r="P1318">
        <v>121</v>
      </c>
    </row>
    <row r="1319" spans="1:16" x14ac:dyDescent="0.25">
      <c r="A1319">
        <v>22300273</v>
      </c>
      <c r="B1319">
        <v>2023</v>
      </c>
      <c r="C1319" t="s">
        <v>32</v>
      </c>
      <c r="D1319" t="s">
        <v>19</v>
      </c>
      <c r="E1319">
        <v>51</v>
      </c>
      <c r="F1319">
        <v>36</v>
      </c>
      <c r="G1319">
        <v>2</v>
      </c>
      <c r="H1319" s="1">
        <v>4.2361111111111115E-3</v>
      </c>
      <c r="I1319" t="s">
        <v>23</v>
      </c>
      <c r="J1319" s="2" t="str">
        <f>HYPERLINK("https://www.nba.com/stats/events?CFID=&amp;CFPARAMS=&amp;GameEventID=249&amp;GameID=0022300273&amp;Season=2023-24&amp;flag=1&amp;title=Leonard%2012'%20step%20back%20Jump%20Shot%20(8%20PTS)", "12' step back Jump Shot (8 PTS)")</f>
        <v>12' step back Jump Shot (8 PTS)</v>
      </c>
      <c r="K1319" s="2" t="str">
        <f>HYPERLINK("https://www.nba.com/game/...-vs-...-0022300273/play-by-play?watchFullGame=true", "LAC vs GSW - Q2 06:06.00")</f>
        <v>LAC vs GSW - Q2 06:06.00</v>
      </c>
      <c r="L1319">
        <v>12.51</v>
      </c>
      <c r="M1319">
        <v>81.16</v>
      </c>
      <c r="N1319">
        <v>47.79</v>
      </c>
      <c r="O1319">
        <v>-11</v>
      </c>
      <c r="P1319">
        <v>125</v>
      </c>
    </row>
    <row r="1320" spans="1:16" x14ac:dyDescent="0.25">
      <c r="A1320">
        <v>22400659</v>
      </c>
      <c r="B1320">
        <v>2024</v>
      </c>
      <c r="C1320" t="s">
        <v>32</v>
      </c>
      <c r="D1320" t="s">
        <v>19</v>
      </c>
      <c r="E1320">
        <v>83</v>
      </c>
      <c r="F1320">
        <v>80</v>
      </c>
      <c r="G1320">
        <v>4</v>
      </c>
      <c r="H1320" s="1">
        <v>8.1250000000000003E-3</v>
      </c>
      <c r="I1320" t="s">
        <v>23</v>
      </c>
      <c r="J1320" s="2" t="str">
        <f>HYPERLINK("https://www.nba.com/stats/events?CFID=&amp;CFPARAMS=&amp;GameEventID=454&amp;GameID=0022400659&amp;Season=2024-25&amp;flag=1&amp;title=Leonard%2015'%20step%20back%20Jump%20Shot%20(13%20PTS)", "15' step back Jump Shot (13 PTS)")</f>
        <v>15' step back Jump Shot (13 PTS)</v>
      </c>
      <c r="K1320" s="2" t="str">
        <f>HYPERLINK("https://www.nba.com/game/...-vs-...-0022400659/play-by-play?watchFullGame=true", "LAC vs PHX - Q4 11:42.00")</f>
        <v>LAC vs PHX - Q4 11:42.00</v>
      </c>
      <c r="L1320">
        <v>15.25</v>
      </c>
      <c r="M1320">
        <v>21.76</v>
      </c>
      <c r="N1320">
        <v>52.21</v>
      </c>
      <c r="O1320">
        <v>-11</v>
      </c>
      <c r="P1320">
        <v>152</v>
      </c>
    </row>
    <row r="1321" spans="1:16" x14ac:dyDescent="0.25">
      <c r="A1321">
        <v>22301017</v>
      </c>
      <c r="B1321">
        <v>2023</v>
      </c>
      <c r="C1321" t="s">
        <v>32</v>
      </c>
      <c r="D1321" t="s">
        <v>19</v>
      </c>
      <c r="E1321">
        <v>68</v>
      </c>
      <c r="F1321">
        <v>92</v>
      </c>
      <c r="G1321">
        <v>3</v>
      </c>
      <c r="H1321" s="1">
        <v>3.8310185185185183E-3</v>
      </c>
      <c r="I1321" t="s">
        <v>23</v>
      </c>
      <c r="J1321" s="2" t="str">
        <f>HYPERLINK("https://www.nba.com/stats/events?CFID=&amp;CFPARAMS=&amp;GameEventID=431&amp;GameID=0022301017&amp;Season=2023-24&amp;flag=1&amp;title=Leonard%2018'%20pullup%20Jump%20Shot%20(22%20PTS)", "18' pullup Jump Shot (22 PTS)")</f>
        <v>18' pullup Jump Shot (22 PTS)</v>
      </c>
      <c r="K1321" s="2" t="str">
        <f>HYPERLINK("https://www.nba.com/game/...-vs-...-0022301017/play-by-play?watchFullGame=true", "LAC vs POR - Q3 05:31.00")</f>
        <v>LAC vs POR - Q3 05:31.00</v>
      </c>
      <c r="L1321">
        <v>18.329999999999998</v>
      </c>
      <c r="M1321">
        <v>25.05</v>
      </c>
      <c r="N1321">
        <v>52.21</v>
      </c>
      <c r="O1321">
        <v>-11</v>
      </c>
      <c r="P1321">
        <v>183</v>
      </c>
    </row>
    <row r="1322" spans="1:16" x14ac:dyDescent="0.25">
      <c r="A1322">
        <v>22400697</v>
      </c>
      <c r="B1322">
        <v>2024</v>
      </c>
      <c r="C1322" t="s">
        <v>32</v>
      </c>
      <c r="D1322" t="s">
        <v>19</v>
      </c>
      <c r="E1322">
        <v>66</v>
      </c>
      <c r="F1322">
        <v>65</v>
      </c>
      <c r="G1322">
        <v>3</v>
      </c>
      <c r="H1322" s="1">
        <v>6.4120370370370373E-3</v>
      </c>
      <c r="I1322" t="s">
        <v>23</v>
      </c>
      <c r="J1322" s="2" t="str">
        <f>HYPERLINK("https://www.nba.com/stats/events?CFID=&amp;CFPARAMS=&amp;GameEventID=353&amp;GameID=0022400697&amp;Season=2024-25&amp;flag=1&amp;title=Leonard%2019'%20Jump%20Shot%20(9%20PTS)%20(A.%20Coffey%202%20AST)", "19' Jump Shot (9 PTS) (A. Coffey 2 AST)")</f>
        <v>19' Jump Shot (9 PTS) (A. Coffey 2 AST)</v>
      </c>
      <c r="K1322" s="2" t="str">
        <f>HYPERLINK("https://www.nba.com/game/...-vs-...-0022400697/play-by-play?watchFullGame=true", "LAC vs TOR - Q3 09:14.00")</f>
        <v>LAC vs TOR - Q3 09:14.00</v>
      </c>
      <c r="L1322">
        <v>19.07</v>
      </c>
      <c r="M1322">
        <v>25.84</v>
      </c>
      <c r="N1322">
        <v>52.21</v>
      </c>
      <c r="O1322">
        <v>-11</v>
      </c>
      <c r="P1322">
        <v>190</v>
      </c>
    </row>
    <row r="1323" spans="1:16" x14ac:dyDescent="0.25">
      <c r="A1323">
        <v>21301092</v>
      </c>
      <c r="B1323">
        <v>2013</v>
      </c>
      <c r="C1323" t="s">
        <v>32</v>
      </c>
      <c r="D1323" t="s">
        <v>57</v>
      </c>
      <c r="E1323">
        <v>41</v>
      </c>
      <c r="F1323">
        <v>29</v>
      </c>
      <c r="G1323">
        <v>2</v>
      </c>
      <c r="H1323" s="1">
        <v>2.9745370370370373E-3</v>
      </c>
      <c r="I1323" t="s">
        <v>18</v>
      </c>
      <c r="J1323" s="2" t="str">
        <f>HYPERLINK("https://www.nba.com/stats/events?CFID=&amp;CFPARAMS=&amp;GameEventID=172&amp;GameID=0021301092&amp;Season=2013-14&amp;flag=1&amp;title=Leonard%201'%20Layup%20(9%20PTS)%20(Parker%202%20AST)", "Leonard 1' Layup (9 PTS) (Parker 2 AST)")</f>
        <v>Leonard 1' Layup (9 PTS) (Parker 2 AST)</v>
      </c>
      <c r="K1323" s="2" t="str">
        <f>HYPERLINK("https://www.nba.com/game/...-vs-...-0021301092/play-by-play?watchFullGame=true", "SAS vs NOP - Q2 04:17.00")</f>
        <v>SAS vs NOP - Q2 04:17.00</v>
      </c>
      <c r="L1323">
        <v>1</v>
      </c>
      <c r="M1323">
        <v>-10</v>
      </c>
      <c r="N1323">
        <v>-11</v>
      </c>
      <c r="O1323">
        <v>-10</v>
      </c>
      <c r="P1323">
        <v>-11</v>
      </c>
    </row>
    <row r="1324" spans="1:16" x14ac:dyDescent="0.25">
      <c r="A1324">
        <v>21300258</v>
      </c>
      <c r="B1324">
        <v>2013</v>
      </c>
      <c r="C1324" t="s">
        <v>32</v>
      </c>
      <c r="D1324" t="s">
        <v>51</v>
      </c>
      <c r="E1324">
        <v>14</v>
      </c>
      <c r="F1324">
        <v>11</v>
      </c>
      <c r="G1324">
        <v>1</v>
      </c>
      <c r="H1324" s="1">
        <v>3.7615740740740739E-3</v>
      </c>
      <c r="I1324" t="s">
        <v>18</v>
      </c>
      <c r="J1324" s="2" t="str">
        <f>HYPERLINK("https://www.nba.com/stats/events?CFID=&amp;CFPARAMS=&amp;GameEventID=43&amp;GameID=0021300258&amp;Season=2013-14&amp;flag=1&amp;title=Leonard%201'%20Reverse%20Layup%20(2%20PTS)%20(Splitter%201%20AST)", "Leonard 1' Reverse Layup (2 PTS) (Splitter 1 AST)")</f>
        <v>Leonard 1' Reverse Layup (2 PTS) (Splitter 1 AST)</v>
      </c>
      <c r="K1324" s="2" t="str">
        <f>HYPERLINK("https://www.nba.com/game/...-vs-...-0021300258/play-by-play?watchFullGame=true", "SAS vs ATL - Q1 05:25.00")</f>
        <v>SAS vs ATL - Q1 05:25.00</v>
      </c>
      <c r="L1324">
        <v>1</v>
      </c>
      <c r="M1324">
        <v>-10</v>
      </c>
      <c r="N1324">
        <v>-6</v>
      </c>
      <c r="O1324">
        <v>-10</v>
      </c>
      <c r="P1324">
        <v>-6</v>
      </c>
    </row>
    <row r="1325" spans="1:16" x14ac:dyDescent="0.25">
      <c r="A1325">
        <v>22200766</v>
      </c>
      <c r="B1325">
        <v>2022</v>
      </c>
      <c r="C1325" t="s">
        <v>32</v>
      </c>
      <c r="D1325" t="s">
        <v>48</v>
      </c>
      <c r="E1325">
        <v>50</v>
      </c>
      <c r="F1325">
        <v>50</v>
      </c>
      <c r="G1325">
        <v>2</v>
      </c>
      <c r="H1325" s="1">
        <v>1.6087962962962963E-3</v>
      </c>
      <c r="I1325" t="s">
        <v>23</v>
      </c>
      <c r="J1325" s="2" t="str">
        <f>HYPERLINK("https://www.nba.com/stats/events?CFID=&amp;CFPARAMS=&amp;GameEventID=259&amp;GameID=0022200766&amp;Season=2022-23&amp;flag=1&amp;title=Leonard%20running%20DUNK%20(11%20PTS)", "Running DUNK (11 PTS)")</f>
        <v>Running DUNK (11 PTS)</v>
      </c>
      <c r="K1325" s="2" t="str">
        <f>HYPERLINK("https://www.nba.com/game/...-vs-...-0022200766/play-by-play?watchFullGame=true", "LAC vs CHI - Q2 02:19.00")</f>
        <v>LAC vs CHI - Q2 02:19.00</v>
      </c>
      <c r="L1325">
        <v>1.0900000000000001</v>
      </c>
      <c r="M1325">
        <v>5.08</v>
      </c>
      <c r="N1325">
        <v>51.96</v>
      </c>
      <c r="O1325">
        <v>-10</v>
      </c>
      <c r="P1325">
        <v>-5</v>
      </c>
    </row>
    <row r="1326" spans="1:16" x14ac:dyDescent="0.25">
      <c r="A1326">
        <v>41800217</v>
      </c>
      <c r="B1326" t="s">
        <v>20</v>
      </c>
      <c r="C1326" t="s">
        <v>32</v>
      </c>
      <c r="D1326" t="s">
        <v>38</v>
      </c>
      <c r="E1326">
        <v>4</v>
      </c>
      <c r="F1326">
        <v>0</v>
      </c>
      <c r="G1326">
        <v>1</v>
      </c>
      <c r="H1326" s="1">
        <v>6.875E-3</v>
      </c>
      <c r="I1326" t="s">
        <v>21</v>
      </c>
      <c r="J1326" s="2" t="str">
        <f>HYPERLINK("https://www.nba.com/stats/events?CFID=&amp;CFPARAMS=&amp;GameEventID=26&amp;GameID=0041800217&amp;Season=2018-19&amp;flag=1&amp;title=Leonard%201'%20Jump%20Bank%20Shot%20(4%20PTS)", "Leonard 1' Jump Bank Shot (4 PTS)")</f>
        <v>Leonard 1' Jump Bank Shot (4 PTS)</v>
      </c>
      <c r="K1326" s="2" t="str">
        <f>HYPERLINK("https://www.nba.com/game/...-vs-...-0041800217/play-by-play?watchFullGame=true", "TOR vs PHI - Q1 09:54.00")</f>
        <v>TOR vs PHI - Q1 09:54.00</v>
      </c>
      <c r="L1326">
        <v>1</v>
      </c>
      <c r="M1326">
        <v>-10</v>
      </c>
      <c r="N1326">
        <v>-5</v>
      </c>
      <c r="O1326">
        <v>-10</v>
      </c>
      <c r="P1326">
        <v>-5</v>
      </c>
    </row>
    <row r="1327" spans="1:16" x14ac:dyDescent="0.25">
      <c r="A1327">
        <v>21300181</v>
      </c>
      <c r="B1327">
        <v>2013</v>
      </c>
      <c r="C1327" t="s">
        <v>32</v>
      </c>
      <c r="D1327" t="s">
        <v>49</v>
      </c>
      <c r="E1327">
        <v>29</v>
      </c>
      <c r="F1327">
        <v>40</v>
      </c>
      <c r="G1327">
        <v>2</v>
      </c>
      <c r="H1327" s="1">
        <v>3.9004629629629628E-3</v>
      </c>
      <c r="I1327" t="s">
        <v>18</v>
      </c>
      <c r="J1327" s="2" t="str">
        <f>HYPERLINK("https://www.nba.com/stats/events?CFID=&amp;CFPARAMS=&amp;GameEventID=158&amp;GameID=0021300181&amp;Season=2013-14&amp;flag=1&amp;title=Leonard%201'%20Driving%20Layup%20(4%20PTS)", "Leonard 1' Driving Layup (4 PTS)")</f>
        <v>Leonard 1' Driving Layup (4 PTS)</v>
      </c>
      <c r="K1327" s="2" t="str">
        <f>HYPERLINK("https://www.nba.com/game/...-vs-...-0021300181/play-by-play?watchFullGame=true", "SAS vs MEM - Q2 05:37.00")</f>
        <v>SAS vs MEM - Q2 05:37.00</v>
      </c>
      <c r="L1327">
        <v>1</v>
      </c>
      <c r="M1327">
        <v>-10</v>
      </c>
      <c r="N1327">
        <v>-3</v>
      </c>
      <c r="O1327">
        <v>-10</v>
      </c>
      <c r="P1327">
        <v>-3</v>
      </c>
    </row>
    <row r="1328" spans="1:16" x14ac:dyDescent="0.25">
      <c r="A1328">
        <v>21401039</v>
      </c>
      <c r="B1328">
        <v>2014</v>
      </c>
      <c r="C1328" t="s">
        <v>32</v>
      </c>
      <c r="D1328" t="s">
        <v>52</v>
      </c>
      <c r="E1328">
        <v>4</v>
      </c>
      <c r="F1328">
        <v>11</v>
      </c>
      <c r="G1328">
        <v>1</v>
      </c>
      <c r="H1328" s="1">
        <v>5.185185185185185E-3</v>
      </c>
      <c r="I1328" t="s">
        <v>18</v>
      </c>
      <c r="J1328" s="2" t="str">
        <f>HYPERLINK("https://www.nba.com/stats/events?CFID=&amp;CFPARAMS=&amp;GameEventID=31&amp;GameID=0021401039&amp;Season=2014-15&amp;flag=1&amp;title=Leonard%201'%20Alley%20Oop%20Layup%20(4%20PTS)%20(Duncan%202%20AST)", "Leonard 1' Alley Oop Layup (4 PTS) (Duncan 2 AST)")</f>
        <v>Leonard 1' Alley Oop Layup (4 PTS) (Duncan 2 AST)</v>
      </c>
      <c r="K1328" s="2" t="str">
        <f>HYPERLINK("https://www.nba.com/game/...-vs-...-0021401039/play-by-play?watchFullGame=true", "SAS vs ATL - Q1 07:28.00")</f>
        <v>SAS vs ATL - Q1 07:28.00</v>
      </c>
      <c r="L1328">
        <v>1</v>
      </c>
      <c r="M1328">
        <v>-10</v>
      </c>
      <c r="N1328">
        <v>0</v>
      </c>
      <c r="O1328">
        <v>-10</v>
      </c>
      <c r="P1328">
        <v>0</v>
      </c>
    </row>
    <row r="1329" spans="1:16" x14ac:dyDescent="0.25">
      <c r="A1329">
        <v>21300229</v>
      </c>
      <c r="B1329">
        <v>2013</v>
      </c>
      <c r="C1329" t="s">
        <v>32</v>
      </c>
      <c r="D1329" t="s">
        <v>62</v>
      </c>
      <c r="E1329">
        <v>15</v>
      </c>
      <c r="F1329">
        <v>16</v>
      </c>
      <c r="G1329">
        <v>1</v>
      </c>
      <c r="H1329" s="1">
        <v>4.0393518518518521E-3</v>
      </c>
      <c r="I1329" t="s">
        <v>18</v>
      </c>
      <c r="J1329" s="2" t="str">
        <f>HYPERLINK("https://www.nba.com/stats/events?CFID=&amp;CFPARAMS=&amp;GameEventID=50&amp;GameID=0021300229&amp;Season=2013-14&amp;flag=1&amp;title=Leonard%201'%20Dunk%20(6%20PTS)%20(Ginobili%201%20AST)", "Leonard 1' Dunk (6 PTS) (Ginobili 1 AST)")</f>
        <v>Leonard 1' Dunk (6 PTS) (Ginobili 1 AST)</v>
      </c>
      <c r="K1329" s="2" t="str">
        <f>HYPERLINK("https://www.nba.com/game/...-vs-...-0021300229/play-by-play?watchFullGame=true", "SAS vs ORL - Q1 05:49.00")</f>
        <v>SAS vs ORL - Q1 05:49.00</v>
      </c>
      <c r="L1329">
        <v>1</v>
      </c>
      <c r="M1329">
        <v>-10</v>
      </c>
      <c r="N1329">
        <v>3</v>
      </c>
      <c r="O1329">
        <v>-10</v>
      </c>
      <c r="P1329">
        <v>3</v>
      </c>
    </row>
    <row r="1330" spans="1:16" x14ac:dyDescent="0.25">
      <c r="A1330">
        <v>21300349</v>
      </c>
      <c r="B1330">
        <v>2013</v>
      </c>
      <c r="C1330" t="s">
        <v>32</v>
      </c>
      <c r="D1330" t="s">
        <v>57</v>
      </c>
      <c r="E1330">
        <v>79</v>
      </c>
      <c r="F1330">
        <v>95</v>
      </c>
      <c r="G1330">
        <v>4</v>
      </c>
      <c r="H1330" s="1">
        <v>1.7708333333333332E-3</v>
      </c>
      <c r="I1330" t="s">
        <v>18</v>
      </c>
      <c r="J1330" s="2" t="str">
        <f>HYPERLINK("https://www.nba.com/stats/events?CFID=&amp;CFPARAMS=&amp;GameEventID=428&amp;GameID=0021300349&amp;Season=2013-14&amp;flag=1&amp;title=Leonard%201'%20Layup%20(13%20PTS)", "Leonard 1' Layup (13 PTS)")</f>
        <v>Leonard 1' Layup (13 PTS)</v>
      </c>
      <c r="K1330" s="2" t="str">
        <f>HYPERLINK("https://www.nba.com/game/...-vs-...-0021300349/play-by-play?watchFullGame=true", "SAS vs UTA - Q4 02:33.00")</f>
        <v>SAS vs UTA - Q4 02:33.00</v>
      </c>
      <c r="L1330">
        <v>1</v>
      </c>
      <c r="M1330">
        <v>-10</v>
      </c>
      <c r="N1330">
        <v>4</v>
      </c>
      <c r="O1330">
        <v>-10</v>
      </c>
      <c r="P1330">
        <v>4</v>
      </c>
    </row>
    <row r="1331" spans="1:16" x14ac:dyDescent="0.25">
      <c r="A1331">
        <v>41200234</v>
      </c>
      <c r="B1331" t="s">
        <v>27</v>
      </c>
      <c r="C1331" t="s">
        <v>32</v>
      </c>
      <c r="D1331" t="s">
        <v>51</v>
      </c>
      <c r="E1331">
        <v>60</v>
      </c>
      <c r="F1331">
        <v>64</v>
      </c>
      <c r="G1331">
        <v>4</v>
      </c>
      <c r="H1331" s="1">
        <v>8.0092592592592594E-3</v>
      </c>
      <c r="I1331" t="s">
        <v>18</v>
      </c>
      <c r="J1331" s="2" t="str">
        <f>HYPERLINK("https://www.nba.com/stats/events?CFID=&amp;CFPARAMS=&amp;GameEventID=440&amp;GameID=0041200234&amp;Season=2012-13&amp;flag=1&amp;title=Leonard%201'%20Reverse%20Layup%20(6%20PTS)%20(Splitter%202%20AST)", "Leonard 1' Reverse Layup (6 PTS) (Splitter 2 AST)")</f>
        <v>Leonard 1' Reverse Layup (6 PTS) (Splitter 2 AST)</v>
      </c>
      <c r="K1331" s="2" t="str">
        <f>HYPERLINK("https://www.nba.com/game/...-vs-...-0041200234/play-by-play?watchFullGame=true", "SAS vs GSW - Q4 11:32.00")</f>
        <v>SAS vs GSW - Q4 11:32.00</v>
      </c>
      <c r="L1331">
        <v>1</v>
      </c>
      <c r="M1331">
        <v>-10</v>
      </c>
      <c r="N1331">
        <v>6</v>
      </c>
      <c r="O1331">
        <v>-10</v>
      </c>
      <c r="P1331">
        <v>6</v>
      </c>
    </row>
    <row r="1332" spans="1:16" x14ac:dyDescent="0.25">
      <c r="A1332">
        <v>22300343</v>
      </c>
      <c r="B1332">
        <v>2023</v>
      </c>
      <c r="C1332" t="s">
        <v>32</v>
      </c>
      <c r="D1332" t="s">
        <v>48</v>
      </c>
      <c r="E1332">
        <v>35</v>
      </c>
      <c r="F1332">
        <v>27</v>
      </c>
      <c r="G1332">
        <v>1</v>
      </c>
      <c r="H1332" s="1">
        <v>8.4490740740740739E-4</v>
      </c>
      <c r="I1332" t="s">
        <v>23</v>
      </c>
      <c r="J1332" s="2" t="str">
        <f>HYPERLINK("https://www.nba.com/stats/events?CFID=&amp;CFPARAMS=&amp;GameEventID=147&amp;GameID=0022300343&amp;Season=2023-24&amp;flag=1&amp;title=Leonard%20running%20DUNK%20(12%20PTS)%20(R.%20Westbrook%202%20AST)", "Running DUNK (12 PTS) (R. Westbrook 2 AST)")</f>
        <v>Running DUNK (12 PTS) (R. Westbrook 2 AST)</v>
      </c>
      <c r="K1332" s="2" t="str">
        <f>HYPERLINK("https://www.nba.com/game/...-vs-...-0022300343/play-by-play?watchFullGame=true", "LAC vs NYK - Q1 01:13.00")</f>
        <v>LAC vs NYK - Q1 01:13.00</v>
      </c>
      <c r="L1332">
        <v>1.17</v>
      </c>
      <c r="M1332">
        <v>93.74</v>
      </c>
      <c r="N1332">
        <v>48.04</v>
      </c>
      <c r="O1332">
        <v>-10</v>
      </c>
      <c r="P1332">
        <v>6</v>
      </c>
    </row>
    <row r="1333" spans="1:16" x14ac:dyDescent="0.25">
      <c r="A1333">
        <v>22300676</v>
      </c>
      <c r="B1333">
        <v>2023</v>
      </c>
      <c r="C1333" t="s">
        <v>32</v>
      </c>
      <c r="D1333" t="s">
        <v>48</v>
      </c>
      <c r="E1333">
        <v>79</v>
      </c>
      <c r="F1333">
        <v>104</v>
      </c>
      <c r="G1333">
        <v>3</v>
      </c>
      <c r="H1333" s="1">
        <v>5.3703703703703704E-4</v>
      </c>
      <c r="I1333" t="s">
        <v>23</v>
      </c>
      <c r="J1333" s="2" t="str">
        <f>HYPERLINK("https://www.nba.com/stats/events?CFID=&amp;CFPARAMS=&amp;GameEventID=455&amp;GameID=0022300676&amp;Season=2023-24&amp;flag=1&amp;title=Leonard%20running%20DUNK%20(31%20PTS)%20(R.%20Westbrook%207%20AST)", "Running DUNK (31 PTS) (R. Westbrook 7 AST)")</f>
        <v>Running DUNK (31 PTS) (R. Westbrook 7 AST)</v>
      </c>
      <c r="K1333" s="2" t="str">
        <f>HYPERLINK("https://www.nba.com/game/...-vs-...-0022300676/play-by-play?watchFullGame=true", "LAC vs WAS - Q3 00:46.40")</f>
        <v>LAC vs WAS - Q3 00:46.40</v>
      </c>
      <c r="L1333">
        <v>1.24</v>
      </c>
      <c r="M1333">
        <v>6.39</v>
      </c>
      <c r="N1333">
        <v>51.96</v>
      </c>
      <c r="O1333">
        <v>-10</v>
      </c>
      <c r="P1333">
        <v>8</v>
      </c>
    </row>
    <row r="1334" spans="1:16" x14ac:dyDescent="0.25">
      <c r="A1334">
        <v>22300749</v>
      </c>
      <c r="B1334">
        <v>2023</v>
      </c>
      <c r="C1334" t="s">
        <v>32</v>
      </c>
      <c r="D1334" t="s">
        <v>19</v>
      </c>
      <c r="E1334">
        <v>73</v>
      </c>
      <c r="F1334">
        <v>79</v>
      </c>
      <c r="G1334">
        <v>3</v>
      </c>
      <c r="H1334" s="1">
        <v>1.0185185185185184E-3</v>
      </c>
      <c r="I1334" t="s">
        <v>23</v>
      </c>
      <c r="J1334" s="2" t="str">
        <f>HYPERLINK("https://www.nba.com/stats/events?CFID=&amp;CFPARAMS=&amp;GameEventID=435&amp;GameID=0022300749&amp;Season=2023-24&amp;flag=1&amp;title=Leonard%20fadeaway%20Jump%20Shot%20(21%20PTS)", "Fadeaway Jump Shot (21 PTS)")</f>
        <v>Fadeaway Jump Shot (21 PTS)</v>
      </c>
      <c r="K1334" s="2" t="str">
        <f>HYPERLINK("https://www.nba.com/game/...-vs-...-0022300749/play-by-play?watchFullGame=true", "LAC vs DET - Q3 01:28.00")</f>
        <v>LAC vs DET - Q3 01:28.00</v>
      </c>
      <c r="L1334">
        <v>1.32</v>
      </c>
      <c r="M1334">
        <v>6.52</v>
      </c>
      <c r="N1334">
        <v>51.96</v>
      </c>
      <c r="O1334">
        <v>-10</v>
      </c>
      <c r="P1334">
        <v>9</v>
      </c>
    </row>
    <row r="1335" spans="1:16" x14ac:dyDescent="0.25">
      <c r="A1335">
        <v>41300311</v>
      </c>
      <c r="B1335" t="s">
        <v>26</v>
      </c>
      <c r="C1335" t="s">
        <v>32</v>
      </c>
      <c r="D1335" t="s">
        <v>62</v>
      </c>
      <c r="E1335">
        <v>56</v>
      </c>
      <c r="F1335">
        <v>46</v>
      </c>
      <c r="G1335">
        <v>2</v>
      </c>
      <c r="H1335" s="1">
        <v>3.0787037037037037E-3</v>
      </c>
      <c r="I1335" t="s">
        <v>18</v>
      </c>
      <c r="J1335" s="2" t="str">
        <f>HYPERLINK("https://www.nba.com/stats/events?CFID=&amp;CFPARAMS=&amp;GameEventID=191&amp;GameID=0041300311&amp;Season=2013-14&amp;flag=1&amp;title=Leonard%201'%20Dunk%20(9%20PTS)%20(Parker%205%20AST)", "Leonard 1' Dunk (9 PTS) (Parker 5 AST)")</f>
        <v>Leonard 1' Dunk (9 PTS) (Parker 5 AST)</v>
      </c>
      <c r="K1335" s="2" t="str">
        <f>HYPERLINK("https://www.nba.com/game/...-vs-...-0041300311/play-by-play?watchFullGame=true", "SAS vs OKC - Q2 04:26.00")</f>
        <v>SAS vs OKC - Q2 04:26.00</v>
      </c>
      <c r="L1335">
        <v>1</v>
      </c>
      <c r="M1335">
        <v>-10</v>
      </c>
      <c r="N1335">
        <v>9</v>
      </c>
      <c r="O1335">
        <v>-10</v>
      </c>
      <c r="P1335">
        <v>9</v>
      </c>
    </row>
    <row r="1336" spans="1:16" x14ac:dyDescent="0.25">
      <c r="A1336">
        <v>22200687</v>
      </c>
      <c r="B1336">
        <v>2022</v>
      </c>
      <c r="C1336" t="s">
        <v>32</v>
      </c>
      <c r="D1336" t="s">
        <v>47</v>
      </c>
      <c r="E1336">
        <v>117</v>
      </c>
      <c r="F1336">
        <v>127</v>
      </c>
      <c r="G1336">
        <v>4</v>
      </c>
      <c r="H1336" s="1">
        <v>1.2731481481481483E-3</v>
      </c>
      <c r="I1336" t="s">
        <v>23</v>
      </c>
      <c r="J1336" s="2" t="str">
        <f>HYPERLINK("https://www.nba.com/stats/events?CFID=&amp;CFPARAMS=&amp;GameEventID=527&amp;GameID=0022200687&amp;Season=2022-23&amp;flag=1&amp;title=Leonard%20alley-oop%20Layup%20(32%20PTS)%20(P.%20George%2012%20AST)", "Alley-oop Layup (32 PTS) (P. George 12 AST)")</f>
        <v>Alley-oop Layup (32 PTS) (P. George 12 AST)</v>
      </c>
      <c r="K1336" s="2" t="str">
        <f>HYPERLINK("https://www.nba.com/game/...-vs-...-0022200687/play-by-play?watchFullGame=true", "LAC vs SAS - Q4 01:50.00")</f>
        <v>LAC vs SAS - Q4 01:50.00</v>
      </c>
      <c r="L1336">
        <v>1.4</v>
      </c>
      <c r="M1336">
        <v>6.65</v>
      </c>
      <c r="N1336">
        <v>51.96</v>
      </c>
      <c r="O1336">
        <v>-10</v>
      </c>
      <c r="P1336">
        <v>10</v>
      </c>
    </row>
    <row r="1337" spans="1:16" x14ac:dyDescent="0.25">
      <c r="A1337">
        <v>41200154</v>
      </c>
      <c r="B1337" t="s">
        <v>27</v>
      </c>
      <c r="C1337" t="s">
        <v>32</v>
      </c>
      <c r="D1337" t="s">
        <v>57</v>
      </c>
      <c r="E1337">
        <v>78</v>
      </c>
      <c r="F1337">
        <v>97</v>
      </c>
      <c r="G1337">
        <v>4</v>
      </c>
      <c r="H1337" s="1">
        <v>3.6574074074074074E-3</v>
      </c>
      <c r="I1337" t="s">
        <v>18</v>
      </c>
      <c r="J1337" s="2" t="str">
        <f>HYPERLINK("https://www.nba.com/stats/events?CFID=&amp;CFPARAMS=&amp;GameEventID=437&amp;GameID=0041200154&amp;Season=2012-13&amp;flag=1&amp;title=Leonard%202'%20Layup%20(13%20PTS)%20(Duncan%202%20AST)", "Leonard 2' Layup (13 PTS) (Duncan 2 AST)")</f>
        <v>Leonard 2' Layup (13 PTS) (Duncan 2 AST)</v>
      </c>
      <c r="K1337" s="2" t="str">
        <f>HYPERLINK("https://www.nba.com/game/...-vs-...-0041200154/play-by-play?watchFullGame=true", "SAS vs LAL - Q4 05:16.00")</f>
        <v>SAS vs LAL - Q4 05:16.00</v>
      </c>
      <c r="L1337">
        <v>2</v>
      </c>
      <c r="M1337">
        <v>-10</v>
      </c>
      <c r="N1337">
        <v>14</v>
      </c>
      <c r="O1337">
        <v>-10</v>
      </c>
      <c r="P1337">
        <v>14</v>
      </c>
    </row>
    <row r="1338" spans="1:16" x14ac:dyDescent="0.25">
      <c r="A1338">
        <v>22300646</v>
      </c>
      <c r="B1338">
        <v>2023</v>
      </c>
      <c r="C1338" t="s">
        <v>32</v>
      </c>
      <c r="D1338" t="s">
        <v>48</v>
      </c>
      <c r="E1338">
        <v>46</v>
      </c>
      <c r="F1338">
        <v>74</v>
      </c>
      <c r="G1338">
        <v>3</v>
      </c>
      <c r="H1338" s="1">
        <v>4.1435185185185186E-3</v>
      </c>
      <c r="I1338" t="s">
        <v>23</v>
      </c>
      <c r="J1338" s="2" t="str">
        <f>HYPERLINK("https://www.nba.com/stats/events?CFID=&amp;CFPARAMS=&amp;GameEventID=393&amp;GameID=0022300646&amp;Season=2023-24&amp;flag=1&amp;title=Leonard%20driving%20DUNK%20(18%20PTS)%20(J.%20Harden%207%20AST)", "Driving DUNK (18 PTS) (J. Harden 7 AST)")</f>
        <v>Driving DUNK (18 PTS) (J. Harden 7 AST)</v>
      </c>
      <c r="K1338" s="2" t="str">
        <f>HYPERLINK("https://www.nba.com/game/...-vs-...-0022300646/play-by-play?watchFullGame=true", "LAC vs BOS - Q3 05:58.00")</f>
        <v>LAC vs BOS - Q3 05:58.00</v>
      </c>
      <c r="L1338">
        <v>1.79</v>
      </c>
      <c r="M1338">
        <v>7.18</v>
      </c>
      <c r="N1338">
        <v>51.96</v>
      </c>
      <c r="O1338">
        <v>-10</v>
      </c>
      <c r="P1338">
        <v>15</v>
      </c>
    </row>
    <row r="1339" spans="1:16" x14ac:dyDescent="0.25">
      <c r="A1339">
        <v>22400793</v>
      </c>
      <c r="B1339">
        <v>2024</v>
      </c>
      <c r="C1339" t="s">
        <v>32</v>
      </c>
      <c r="D1339" t="s">
        <v>48</v>
      </c>
      <c r="E1339">
        <v>37</v>
      </c>
      <c r="F1339">
        <v>37</v>
      </c>
      <c r="G1339">
        <v>2</v>
      </c>
      <c r="H1339" s="1">
        <v>5.0694444444444441E-3</v>
      </c>
      <c r="I1339" t="s">
        <v>23</v>
      </c>
      <c r="J1339" s="2" t="str">
        <f>HYPERLINK("https://www.nba.com/stats/events?CFID=&amp;CFPARAMS=&amp;GameEventID=205&amp;GameID=0022400793&amp;Season=2024-25&amp;flag=1&amp;title=Leonard%20DUNK%20(7%20PTS)", "DUNK (7 PTS)")</f>
        <v>DUNK (7 PTS)</v>
      </c>
      <c r="K1339" s="2" t="str">
        <f>HYPERLINK("https://www.nba.com/game/...-vs-...-0022400793/play-by-play?watchFullGame=true", "LAC vs MIL - Q2 07:18.00")</f>
        <v>LAC vs MIL - Q2 07:18.00</v>
      </c>
      <c r="L1339">
        <v>2.9</v>
      </c>
      <c r="M1339">
        <v>8.49</v>
      </c>
      <c r="N1339">
        <v>51.96</v>
      </c>
      <c r="O1339">
        <v>-10</v>
      </c>
      <c r="P1339">
        <v>27</v>
      </c>
    </row>
    <row r="1340" spans="1:16" x14ac:dyDescent="0.25">
      <c r="A1340">
        <v>41800211</v>
      </c>
      <c r="B1340" t="s">
        <v>20</v>
      </c>
      <c r="C1340" t="s">
        <v>32</v>
      </c>
      <c r="D1340" t="s">
        <v>17</v>
      </c>
      <c r="E1340">
        <v>57</v>
      </c>
      <c r="F1340">
        <v>46</v>
      </c>
      <c r="G1340">
        <v>2</v>
      </c>
      <c r="H1340" s="1">
        <v>1.9097222222222222E-3</v>
      </c>
      <c r="I1340" t="s">
        <v>21</v>
      </c>
      <c r="J1340" s="2" t="str">
        <f>HYPERLINK("https://www.nba.com/stats/events?CFID=&amp;CFPARAMS=&amp;GameEventID=293&amp;GameID=0041800211&amp;Season=2018-19&amp;flag=1&amp;title=Leonard%207'%20Running%20Jump%20Shot%20(27%20PTS)", "Leonard 7' Running Jump Shot (27 PTS)")</f>
        <v>Leonard 7' Running Jump Shot (27 PTS)</v>
      </c>
      <c r="K1340" s="2" t="str">
        <f>HYPERLINK("https://www.nba.com/game/...-vs-...-0041800211/play-by-play?watchFullGame=true", "TOR vs PHI - Q2 02:45.00")</f>
        <v>TOR vs PHI - Q2 02:45.00</v>
      </c>
      <c r="L1340">
        <v>7</v>
      </c>
      <c r="M1340">
        <v>-10</v>
      </c>
      <c r="N1340">
        <v>68</v>
      </c>
      <c r="O1340">
        <v>-10</v>
      </c>
      <c r="P1340">
        <v>68</v>
      </c>
    </row>
    <row r="1341" spans="1:16" x14ac:dyDescent="0.25">
      <c r="A1341">
        <v>22200991</v>
      </c>
      <c r="B1341">
        <v>2022</v>
      </c>
      <c r="C1341" t="s">
        <v>32</v>
      </c>
      <c r="D1341" t="s">
        <v>19</v>
      </c>
      <c r="E1341">
        <v>6</v>
      </c>
      <c r="F1341">
        <v>11</v>
      </c>
      <c r="G1341">
        <v>1</v>
      </c>
      <c r="H1341" s="1">
        <v>4.5370370370370373E-3</v>
      </c>
      <c r="I1341" t="s">
        <v>23</v>
      </c>
      <c r="J1341" s="2" t="str">
        <f>HYPERLINK("https://www.nba.com/stats/events?CFID=&amp;CFPARAMS=&amp;GameEventID=51&amp;GameID=0022200991&amp;Season=2022-23&amp;flag=1&amp;title=Leonard%2010'%20pullup%20Jump%20Shot%20(4%20PTS)", "10' pullup Jump Shot (4 PTS)")</f>
        <v>10' pullup Jump Shot (4 PTS)</v>
      </c>
      <c r="K1341" s="2" t="str">
        <f>HYPERLINK("https://www.nba.com/game/...-vs-...-0022200991/play-by-play?watchFullGame=true", "LAC vs TOR - Q1 06:32.00")</f>
        <v>LAC vs TOR - Q1 06:32.00</v>
      </c>
      <c r="L1341">
        <v>10.19</v>
      </c>
      <c r="M1341">
        <v>83.62</v>
      </c>
      <c r="N1341">
        <v>48.04</v>
      </c>
      <c r="O1341">
        <v>-10</v>
      </c>
      <c r="P1341">
        <v>101</v>
      </c>
    </row>
    <row r="1342" spans="1:16" x14ac:dyDescent="0.25">
      <c r="A1342">
        <v>22200795</v>
      </c>
      <c r="B1342">
        <v>2022</v>
      </c>
      <c r="C1342" t="s">
        <v>32</v>
      </c>
      <c r="D1342" t="s">
        <v>19</v>
      </c>
      <c r="E1342">
        <v>53</v>
      </c>
      <c r="F1342">
        <v>59</v>
      </c>
      <c r="G1342">
        <v>2</v>
      </c>
      <c r="H1342" s="1">
        <v>1.0879629629629629E-3</v>
      </c>
      <c r="I1342" t="s">
        <v>23</v>
      </c>
      <c r="J1342" s="2" t="str">
        <f>HYPERLINK("https://www.nba.com/stats/events?CFID=&amp;CFPARAMS=&amp;GameEventID=273&amp;GameID=0022200795&amp;Season=2022-23&amp;flag=1&amp;title=Leonard%2019'%20pullup%20Jump%20Shot%20(11%20PTS)%20(N.%20Batum%202%20AST)", "19' pullup Jump Shot (11 PTS) (N. Batum 2 AST)")</f>
        <v>19' pullup Jump Shot (11 PTS) (N. Batum 2 AST)</v>
      </c>
      <c r="K1342" s="2" t="str">
        <f>HYPERLINK("https://www.nba.com/game/...-vs-...-0022200795/play-by-play?watchFullGame=true", "LAC vs NYK - Q2 01:34.00")</f>
        <v>LAC vs NYK - Q2 01:34.00</v>
      </c>
      <c r="L1342">
        <v>19.77</v>
      </c>
      <c r="M1342">
        <v>73.41</v>
      </c>
      <c r="N1342">
        <v>48.04</v>
      </c>
      <c r="O1342">
        <v>-10</v>
      </c>
      <c r="P1342">
        <v>197</v>
      </c>
    </row>
    <row r="1343" spans="1:16" x14ac:dyDescent="0.25">
      <c r="A1343">
        <v>22201004</v>
      </c>
      <c r="B1343">
        <v>2022</v>
      </c>
      <c r="C1343" t="s">
        <v>16</v>
      </c>
      <c r="D1343" t="s">
        <v>19</v>
      </c>
      <c r="E1343">
        <v>58</v>
      </c>
      <c r="F1343">
        <v>57</v>
      </c>
      <c r="G1343">
        <v>3</v>
      </c>
      <c r="H1343" s="1">
        <v>5.37037037037037E-3</v>
      </c>
      <c r="I1343" t="s">
        <v>23</v>
      </c>
      <c r="J1343" s="2" t="str">
        <f>HYPERLINK("https://www.nba.com/stats/events?CFID=&amp;CFPARAMS=&amp;GameEventID=359&amp;GameID=0022201004&amp;Season=2022-23&amp;flag=1&amp;title=Leonard%2025'%203PT%20pullup%20(19%20PTS)", "25' 3PT pullup (19 PTS)")</f>
        <v>25' 3PT pullup (19 PTS)</v>
      </c>
      <c r="K1343" s="2" t="str">
        <f>HYPERLINK("https://www.nba.com/game/...-vs-...-0022201004/play-by-play?watchFullGame=true", "LAC vs NYK - Q3 07:44.00")</f>
        <v>LAC vs NYK - Q3 07:44.00</v>
      </c>
      <c r="L1343">
        <v>25.7</v>
      </c>
      <c r="M1343">
        <v>32.9</v>
      </c>
      <c r="N1343">
        <v>51.96</v>
      </c>
      <c r="O1343">
        <v>-10</v>
      </c>
      <c r="P1343">
        <v>257</v>
      </c>
    </row>
    <row r="1344" spans="1:16" x14ac:dyDescent="0.25">
      <c r="A1344">
        <v>21500061</v>
      </c>
      <c r="B1344">
        <v>2015</v>
      </c>
      <c r="C1344" t="s">
        <v>32</v>
      </c>
      <c r="D1344" t="s">
        <v>49</v>
      </c>
      <c r="E1344">
        <v>39</v>
      </c>
      <c r="F1344">
        <v>51</v>
      </c>
      <c r="G1344">
        <v>2</v>
      </c>
      <c r="H1344" s="1">
        <v>1.8865740740740742E-3</v>
      </c>
      <c r="I1344" t="s">
        <v>18</v>
      </c>
      <c r="J1344" s="2" t="str">
        <f>HYPERLINK("https://www.nba.com/stats/events?CFID=&amp;CFPARAMS=&amp;GameEventID=207&amp;GameID=0021500061&amp;Season=2015-16&amp;flag=1&amp;title=Leonard%201'%20Driving%20Layup%20(18%20PTS)", "Leonard 1' Driving Layup (18 PTS)")</f>
        <v>Leonard 1' Driving Layup (18 PTS)</v>
      </c>
      <c r="K1344" s="2" t="str">
        <f>HYPERLINK("https://www.nba.com/game/...-vs-...-0021500061/play-by-play?watchFullGame=true", "SAS vs WAS - Q2 02:43.00")</f>
        <v>SAS vs WAS - Q2 02:43.00</v>
      </c>
      <c r="L1344">
        <v>1</v>
      </c>
      <c r="M1344">
        <v>-9</v>
      </c>
      <c r="N1344">
        <v>-1</v>
      </c>
      <c r="O1344">
        <v>-9</v>
      </c>
      <c r="P1344">
        <v>-1</v>
      </c>
    </row>
    <row r="1345" spans="1:16" x14ac:dyDescent="0.25">
      <c r="A1345">
        <v>21501201</v>
      </c>
      <c r="B1345">
        <v>2015</v>
      </c>
      <c r="C1345" t="s">
        <v>32</v>
      </c>
      <c r="D1345" t="s">
        <v>52</v>
      </c>
      <c r="E1345">
        <v>79</v>
      </c>
      <c r="F1345">
        <v>88</v>
      </c>
      <c r="G1345">
        <v>4</v>
      </c>
      <c r="H1345" s="1">
        <v>1.4930555555555556E-3</v>
      </c>
      <c r="I1345" t="s">
        <v>18</v>
      </c>
      <c r="J1345" s="2" t="str">
        <f>HYPERLINK("https://www.nba.com/stats/events?CFID=&amp;CFPARAMS=&amp;GameEventID=494&amp;GameID=0021501201&amp;Season=2015-16&amp;flag=1&amp;title=Leonard%201'%20Alley%20Oop%20Layup%20(15%20PTS)%20(West%203%20AST)", "Leonard 1' Alley Oop Layup (15 PTS) (West 3 AST)")</f>
        <v>Leonard 1' Alley Oop Layup (15 PTS) (West 3 AST)</v>
      </c>
      <c r="K1345" s="2" t="str">
        <f>HYPERLINK("https://www.nba.com/game/...-vs-...-0021501201/play-by-play?watchFullGame=true", "SAS vs GSW - Q4 02:09.00")</f>
        <v>SAS vs GSW - Q4 02:09.00</v>
      </c>
      <c r="L1345">
        <v>1</v>
      </c>
      <c r="M1345">
        <v>-9</v>
      </c>
      <c r="N1345">
        <v>2</v>
      </c>
      <c r="O1345">
        <v>-9</v>
      </c>
      <c r="P1345">
        <v>2</v>
      </c>
    </row>
    <row r="1346" spans="1:16" x14ac:dyDescent="0.25">
      <c r="A1346">
        <v>21500061</v>
      </c>
      <c r="B1346">
        <v>2015</v>
      </c>
      <c r="C1346" t="s">
        <v>32</v>
      </c>
      <c r="D1346" t="s">
        <v>69</v>
      </c>
      <c r="E1346">
        <v>39</v>
      </c>
      <c r="F1346">
        <v>45</v>
      </c>
      <c r="G1346">
        <v>2</v>
      </c>
      <c r="H1346" s="1">
        <v>2.8240740740740739E-3</v>
      </c>
      <c r="I1346" t="s">
        <v>18</v>
      </c>
      <c r="J1346" s="2" t="str">
        <f>HYPERLINK("https://www.nba.com/stats/events?CFID=&amp;CFPARAMS=&amp;GameEventID=196&amp;GameID=0021500061&amp;Season=2015-16&amp;flag=1&amp;title=Leonard%201'%20Cutting%20Finger%20Roll%20Layup%20Shot%20(14%20PTS)%20(Parker%203%20AST)", "Leonard 1' Cutting Finger Roll Layup Shot (14 PTS) (Parker 3 AST)")</f>
        <v>Leonard 1' Cutting Finger Roll Layup Shot (14 PTS) (Parker 3 AST)</v>
      </c>
      <c r="K1346" s="2" t="str">
        <f>HYPERLINK("https://www.nba.com/game/...-vs-...-0021500061/play-by-play?watchFullGame=true", "SAS vs WAS - Q2 04:04.00")</f>
        <v>SAS vs WAS - Q2 04:04.00</v>
      </c>
      <c r="L1346">
        <v>1</v>
      </c>
      <c r="M1346">
        <v>-9</v>
      </c>
      <c r="N1346">
        <v>2</v>
      </c>
      <c r="O1346">
        <v>-9</v>
      </c>
      <c r="P1346">
        <v>2</v>
      </c>
    </row>
    <row r="1347" spans="1:16" x14ac:dyDescent="0.25">
      <c r="A1347">
        <v>21500123</v>
      </c>
      <c r="B1347">
        <v>2015</v>
      </c>
      <c r="C1347" t="s">
        <v>32</v>
      </c>
      <c r="D1347" t="s">
        <v>49</v>
      </c>
      <c r="E1347">
        <v>87</v>
      </c>
      <c r="F1347">
        <v>95</v>
      </c>
      <c r="G1347">
        <v>4</v>
      </c>
      <c r="H1347" s="1">
        <v>5.1273148148148146E-3</v>
      </c>
      <c r="I1347" t="s">
        <v>18</v>
      </c>
      <c r="J1347" s="2" t="str">
        <f>HYPERLINK("https://www.nba.com/stats/events?CFID=&amp;CFPARAMS=&amp;GameEventID=408&amp;GameID=0021500123&amp;Season=2015-16&amp;flag=1&amp;title=Leonard%201'%20Driving%20Layup%20(20%20PTS)", "Leonard 1' Driving Layup (20 PTS)")</f>
        <v>Leonard 1' Driving Layup (20 PTS)</v>
      </c>
      <c r="K1347" s="2" t="str">
        <f>HYPERLINK("https://www.nba.com/game/...-vs-...-0021500123/play-by-play?watchFullGame=true", "SAS vs POR - Q4 07:23.00")</f>
        <v>SAS vs POR - Q4 07:23.00</v>
      </c>
      <c r="L1347">
        <v>1</v>
      </c>
      <c r="M1347">
        <v>-9</v>
      </c>
      <c r="N1347">
        <v>7</v>
      </c>
      <c r="O1347">
        <v>-9</v>
      </c>
      <c r="P1347">
        <v>7</v>
      </c>
    </row>
    <row r="1348" spans="1:16" x14ac:dyDescent="0.25">
      <c r="A1348">
        <v>22000717</v>
      </c>
      <c r="B1348">
        <v>2020</v>
      </c>
      <c r="C1348" t="s">
        <v>32</v>
      </c>
      <c r="D1348" t="s">
        <v>47</v>
      </c>
      <c r="E1348">
        <v>15</v>
      </c>
      <c r="F1348">
        <v>12</v>
      </c>
      <c r="G1348">
        <v>1</v>
      </c>
      <c r="H1348" s="1">
        <v>5.3935185185185188E-3</v>
      </c>
      <c r="I1348" t="s">
        <v>23</v>
      </c>
      <c r="J1348" s="2" t="str">
        <f>HYPERLINK("https://www.nba.com/stats/events?CFID=&amp;CFPARAMS=&amp;GameEventID=47&amp;GameID=0022000717&amp;Season=2020-21&amp;flag=1&amp;title=Leonard%20running%20Layup%20(4%20PTS)", "Running Layup (4 PTS)")</f>
        <v>Running Layup (4 PTS)</v>
      </c>
      <c r="K1348" s="2" t="str">
        <f>HYPERLINK("https://www.nba.com/game/...-vs-...-0022000717/play-by-play?watchFullGame=true", "LAC vs MIL - Q1 07:46.00")</f>
        <v>LAC vs MIL - Q1 07:46.00</v>
      </c>
      <c r="L1348">
        <v>1.17</v>
      </c>
      <c r="M1348">
        <v>6.39</v>
      </c>
      <c r="N1348">
        <v>51.78</v>
      </c>
      <c r="O1348">
        <v>-9</v>
      </c>
      <c r="P1348">
        <v>8</v>
      </c>
    </row>
    <row r="1349" spans="1:16" x14ac:dyDescent="0.25">
      <c r="A1349">
        <v>22300372</v>
      </c>
      <c r="B1349">
        <v>2023</v>
      </c>
      <c r="C1349" t="s">
        <v>32</v>
      </c>
      <c r="D1349" t="s">
        <v>48</v>
      </c>
      <c r="E1349">
        <v>105</v>
      </c>
      <c r="F1349">
        <v>106</v>
      </c>
      <c r="G1349">
        <v>4</v>
      </c>
      <c r="H1349" s="1">
        <v>2.7662037037037039E-3</v>
      </c>
      <c r="I1349" t="s">
        <v>23</v>
      </c>
      <c r="J1349" s="2" t="str">
        <f>HYPERLINK("https://www.nba.com/stats/events?CFID=&amp;CFPARAMS=&amp;GameEventID=568&amp;GameID=0022300372&amp;Season=2023-24&amp;flag=1&amp;title=Leonard%20alley-oop%20DUNK%20(22%20PTS)%20(T.%20Mann%201%20AST)", "Alley-oop DUNK (22 PTS) (T. Mann 1 AST)")</f>
        <v>Alley-oop DUNK (22 PTS) (T. Mann 1 AST)</v>
      </c>
      <c r="K1349" s="2" t="str">
        <f>HYPERLINK("https://www.nba.com/game/...-vs-...-0022300372/play-by-play?watchFullGame=true", "LAC vs DAL - Q4 03:59.00")</f>
        <v>LAC vs DAL - Q4 03:59.00</v>
      </c>
      <c r="L1349">
        <v>1.23</v>
      </c>
      <c r="M1349">
        <v>6.52</v>
      </c>
      <c r="N1349">
        <v>51.72</v>
      </c>
      <c r="O1349">
        <v>-9</v>
      </c>
      <c r="P1349">
        <v>9</v>
      </c>
    </row>
    <row r="1350" spans="1:16" x14ac:dyDescent="0.25">
      <c r="A1350">
        <v>41800115</v>
      </c>
      <c r="B1350" t="s">
        <v>20</v>
      </c>
      <c r="C1350" t="s">
        <v>32</v>
      </c>
      <c r="D1350" t="s">
        <v>55</v>
      </c>
      <c r="E1350">
        <v>80</v>
      </c>
      <c r="F1350">
        <v>58</v>
      </c>
      <c r="G1350">
        <v>3</v>
      </c>
      <c r="H1350" s="1">
        <v>4.5601851851851853E-3</v>
      </c>
      <c r="I1350" t="s">
        <v>21</v>
      </c>
      <c r="J1350" s="2" t="str">
        <f>HYPERLINK("https://www.nba.com/stats/events?CFID=&amp;CFPARAMS=&amp;GameEventID=391&amp;GameID=0041800115&amp;Season=2018-19&amp;flag=1&amp;title=Leonard%201'%20Driving%20Reverse%20Layup%20(25%20PTS)%20(Gasol%202%20AST)", "Leonard 1' Driving Reverse Layup (25 PTS) (Gasol 2 AST)")</f>
        <v>Leonard 1' Driving Reverse Layup (25 PTS) (Gasol 2 AST)</v>
      </c>
      <c r="K1350" s="2" t="str">
        <f>HYPERLINK("https://www.nba.com/game/...-vs-...-0041800115/play-by-play?watchFullGame=true", "TOR vs ORL - Q3 06:34.00")</f>
        <v>TOR vs ORL - Q3 06:34.00</v>
      </c>
      <c r="L1350">
        <v>1</v>
      </c>
      <c r="M1350">
        <v>-9</v>
      </c>
      <c r="N1350">
        <v>10</v>
      </c>
      <c r="O1350">
        <v>-9</v>
      </c>
      <c r="P1350">
        <v>10</v>
      </c>
    </row>
    <row r="1351" spans="1:16" x14ac:dyDescent="0.25">
      <c r="A1351">
        <v>41600235</v>
      </c>
      <c r="B1351" t="s">
        <v>30</v>
      </c>
      <c r="C1351" t="s">
        <v>32</v>
      </c>
      <c r="D1351" t="s">
        <v>59</v>
      </c>
      <c r="E1351">
        <v>65</v>
      </c>
      <c r="F1351">
        <v>72</v>
      </c>
      <c r="G1351">
        <v>3</v>
      </c>
      <c r="H1351" s="1">
        <v>4.8726851851851848E-3</v>
      </c>
      <c r="I1351" t="s">
        <v>18</v>
      </c>
      <c r="J1351" s="2" t="str">
        <f>HYPERLINK("https://www.nba.com/stats/events?CFID=&amp;CFPARAMS=&amp;GameEventID=320&amp;GameID=0041600235&amp;Season=2016-17&amp;flag=1&amp;title=Leonard%201'%20Putback%20Layup%20(16%20PTS)", "Leonard 1' Putback Layup (16 PTS)")</f>
        <v>Leonard 1' Putback Layup (16 PTS)</v>
      </c>
      <c r="K1351" s="2" t="str">
        <f>HYPERLINK("https://www.nba.com/game/...-vs-...-0041600235/play-by-play?watchFullGame=true", "SAS vs HOU - Q3 07:01.00")</f>
        <v>SAS vs HOU - Q3 07:01.00</v>
      </c>
      <c r="L1351">
        <v>1</v>
      </c>
      <c r="M1351">
        <v>-9</v>
      </c>
      <c r="N1351">
        <v>11</v>
      </c>
      <c r="O1351">
        <v>-9</v>
      </c>
      <c r="P1351">
        <v>11</v>
      </c>
    </row>
    <row r="1352" spans="1:16" x14ac:dyDescent="0.25">
      <c r="A1352">
        <v>22400671</v>
      </c>
      <c r="B1352">
        <v>2024</v>
      </c>
      <c r="C1352" t="s">
        <v>32</v>
      </c>
      <c r="D1352" t="s">
        <v>48</v>
      </c>
      <c r="E1352">
        <v>49</v>
      </c>
      <c r="F1352">
        <v>56</v>
      </c>
      <c r="G1352">
        <v>2</v>
      </c>
      <c r="H1352" s="1">
        <v>2.7083333333333334E-3</v>
      </c>
      <c r="I1352" t="s">
        <v>23</v>
      </c>
      <c r="J1352" s="2" t="str">
        <f>HYPERLINK("https://www.nba.com/stats/events?CFID=&amp;CFPARAMS=&amp;GameEventID=281&amp;GameID=0022400671&amp;Season=2024-25&amp;flag=1&amp;title=Leonard%20running%20DUNK%20(12%20PTS)%20(J.%20Harden%208%20AST)", "Running DUNK (12 PTS) (J. Harden 8 AST)")</f>
        <v>Running DUNK (12 PTS) (J. Harden 8 AST)</v>
      </c>
      <c r="K1352" s="2" t="str">
        <f>HYPERLINK("https://www.nba.com/game/...-vs-...-0022400671/play-by-play?watchFullGame=true", "LAC vs SAS - Q2 03:54.00")</f>
        <v>LAC vs SAS - Q2 03:54.00</v>
      </c>
      <c r="L1352">
        <v>1.59</v>
      </c>
      <c r="M1352">
        <v>92.99</v>
      </c>
      <c r="N1352">
        <v>48.28</v>
      </c>
      <c r="O1352">
        <v>-9</v>
      </c>
      <c r="P1352">
        <v>13</v>
      </c>
    </row>
    <row r="1353" spans="1:16" x14ac:dyDescent="0.25">
      <c r="A1353">
        <v>22300676</v>
      </c>
      <c r="B1353">
        <v>2023</v>
      </c>
      <c r="C1353" t="s">
        <v>32</v>
      </c>
      <c r="D1353" t="s">
        <v>47</v>
      </c>
      <c r="E1353">
        <v>64</v>
      </c>
      <c r="F1353">
        <v>79</v>
      </c>
      <c r="G1353">
        <v>3</v>
      </c>
      <c r="H1353" s="1">
        <v>4.6759259259259263E-3</v>
      </c>
      <c r="I1353" t="s">
        <v>23</v>
      </c>
      <c r="J1353" s="2" t="str">
        <f>HYPERLINK("https://www.nba.com/stats/events?CFID=&amp;CFPARAMS=&amp;GameEventID=374&amp;GameID=0022300676&amp;Season=2023-24&amp;flag=1&amp;title=Leonard%20running%20Layup%20(23%20PTS)%20(J.%20Harden%205%20AST)", "Running Layup (23 PTS) (J. Harden 5 AST)")</f>
        <v>Running Layup (23 PTS) (J. Harden 5 AST)</v>
      </c>
      <c r="K1353" s="2" t="str">
        <f>HYPERLINK("https://www.nba.com/game/...-vs-...-0022300676/play-by-play?watchFullGame=true", "LAC vs WAS - Q3 06:44.00")</f>
        <v>LAC vs WAS - Q3 06:44.00</v>
      </c>
      <c r="L1353">
        <v>1.62</v>
      </c>
      <c r="M1353">
        <v>7.05</v>
      </c>
      <c r="N1353">
        <v>51.72</v>
      </c>
      <c r="O1353">
        <v>-9</v>
      </c>
      <c r="P1353">
        <v>14</v>
      </c>
    </row>
    <row r="1354" spans="1:16" x14ac:dyDescent="0.25">
      <c r="A1354">
        <v>22300917</v>
      </c>
      <c r="B1354">
        <v>2023</v>
      </c>
      <c r="C1354" t="s">
        <v>32</v>
      </c>
      <c r="D1354" t="s">
        <v>47</v>
      </c>
      <c r="E1354">
        <v>98</v>
      </c>
      <c r="F1354">
        <v>93</v>
      </c>
      <c r="G1354">
        <v>4</v>
      </c>
      <c r="H1354" s="1">
        <v>4.386574074074074E-3</v>
      </c>
      <c r="I1354" t="s">
        <v>23</v>
      </c>
      <c r="J1354" s="2" t="str">
        <f>HYPERLINK("https://www.nba.com/stats/events?CFID=&amp;CFPARAMS=&amp;GameEventID=557&amp;GameID=0022300917&amp;Season=2023-24&amp;flag=1&amp;title=Leonard%20driving%20reverse%20Layup%20(17%20PTS)%20(J.%20Harden%2010%20AST)", "Driving reverse Layup (17 PTS) (J. Harden 10 AST)")</f>
        <v>Driving reverse Layup (17 PTS) (J. Harden 10 AST)</v>
      </c>
      <c r="K1354" s="2" t="str">
        <f>HYPERLINK("https://www.nba.com/game/...-vs-...-0022300917/play-by-play?watchFullGame=true", "LAC vs CHI - Q4 06:19.00")</f>
        <v>LAC vs CHI - Q4 06:19.00</v>
      </c>
      <c r="L1354">
        <v>1.73</v>
      </c>
      <c r="M1354">
        <v>92.82</v>
      </c>
      <c r="N1354">
        <v>48.28</v>
      </c>
      <c r="O1354">
        <v>-9</v>
      </c>
      <c r="P1354">
        <v>15</v>
      </c>
    </row>
    <row r="1355" spans="1:16" x14ac:dyDescent="0.25">
      <c r="A1355">
        <v>21600003</v>
      </c>
      <c r="B1355">
        <v>2016</v>
      </c>
      <c r="C1355" t="s">
        <v>32</v>
      </c>
      <c r="D1355" t="s">
        <v>57</v>
      </c>
      <c r="E1355">
        <v>34</v>
      </c>
      <c r="F1355">
        <v>50</v>
      </c>
      <c r="G1355">
        <v>2</v>
      </c>
      <c r="H1355" s="1">
        <v>2.627314814814815E-3</v>
      </c>
      <c r="I1355" t="s">
        <v>18</v>
      </c>
      <c r="J1355" s="2" t="str">
        <f>HYPERLINK("https://www.nba.com/stats/events?CFID=&amp;CFPARAMS=&amp;GameEventID=215&amp;GameID=0021600003&amp;Season=2016-17&amp;flag=1&amp;title=Leonard%202'%20Layup%20(14%20PTS)", "Leonard 2' Layup (14 PTS)")</f>
        <v>Leonard 2' Layup (14 PTS)</v>
      </c>
      <c r="K1355" s="2" t="str">
        <f>HYPERLINK("https://www.nba.com/game/...-vs-...-0021600003/play-by-play?watchFullGame=true", "SAS vs GSW - Q2 03:47.00")</f>
        <v>SAS vs GSW - Q2 03:47.00</v>
      </c>
      <c r="L1355">
        <v>2</v>
      </c>
      <c r="M1355">
        <v>-9</v>
      </c>
      <c r="N1355">
        <v>16</v>
      </c>
      <c r="O1355">
        <v>-9</v>
      </c>
      <c r="P1355">
        <v>16</v>
      </c>
    </row>
    <row r="1356" spans="1:16" x14ac:dyDescent="0.25">
      <c r="A1356">
        <v>22200239</v>
      </c>
      <c r="B1356">
        <v>2022</v>
      </c>
      <c r="C1356" t="s">
        <v>32</v>
      </c>
      <c r="D1356" t="s">
        <v>47</v>
      </c>
      <c r="E1356">
        <v>93</v>
      </c>
      <c r="F1356">
        <v>69</v>
      </c>
      <c r="G1356">
        <v>4</v>
      </c>
      <c r="H1356" s="1">
        <v>8.2291666666666659E-3</v>
      </c>
      <c r="I1356" t="s">
        <v>23</v>
      </c>
      <c r="J1356" s="2" t="str">
        <f>HYPERLINK("https://www.nba.com/stats/events?CFID=&amp;CFPARAMS=&amp;GameEventID=443&amp;GameID=0022200239&amp;Season=2022-23&amp;flag=1&amp;title=Leonard%20alley-oop%20Layup%20(11%20PTS)%20(J.%20Wall%2013%20AST)", "Alley-oop Layup (11 PTS) (J. Wall 13 AST)")</f>
        <v>Alley-oop Layup (11 PTS) (J. Wall 13 AST)</v>
      </c>
      <c r="K1356" s="2" t="str">
        <f>HYPERLINK("https://www.nba.com/game/...-vs-...-0022200239/play-by-play?watchFullGame=true", "LAC vs SAS - Q4 11:51.00")</f>
        <v>LAC vs SAS - Q4 11:51.00</v>
      </c>
      <c r="L1356">
        <v>1.81</v>
      </c>
      <c r="M1356">
        <v>7.28</v>
      </c>
      <c r="N1356">
        <v>51.72</v>
      </c>
      <c r="O1356">
        <v>-9</v>
      </c>
      <c r="P1356">
        <v>16</v>
      </c>
    </row>
    <row r="1357" spans="1:16" x14ac:dyDescent="0.25">
      <c r="A1357">
        <v>22000366</v>
      </c>
      <c r="B1357">
        <v>2020</v>
      </c>
      <c r="C1357" t="s">
        <v>32</v>
      </c>
      <c r="D1357" t="s">
        <v>47</v>
      </c>
      <c r="E1357">
        <v>53</v>
      </c>
      <c r="F1357">
        <v>54</v>
      </c>
      <c r="G1357">
        <v>3</v>
      </c>
      <c r="H1357" s="1">
        <v>8.1365740740740738E-3</v>
      </c>
      <c r="I1357" t="s">
        <v>23</v>
      </c>
      <c r="J1357" s="2" t="str">
        <f>HYPERLINK("https://www.nba.com/stats/events?CFID=&amp;CFPARAMS=&amp;GameEventID=333&amp;GameID=0022000366&amp;Season=2020-21&amp;flag=1&amp;title=Leonard%20reverse%20Layup%20(9%20PTS)%20(N.%20Batum%202%20AST)", "Reverse Layup (9 PTS) (N. Batum 2 AST)")</f>
        <v>Reverse Layup (9 PTS) (N. Batum 2 AST)</v>
      </c>
      <c r="K1357" s="2" t="str">
        <f>HYPERLINK("https://www.nba.com/game/...-vs-...-0022000366/play-by-play?watchFullGame=true", "LAC vs SAC - Q3 11:43.00")</f>
        <v>LAC vs SAC - Q3 11:43.00</v>
      </c>
      <c r="L1357">
        <v>1.95</v>
      </c>
      <c r="M1357">
        <v>7.44</v>
      </c>
      <c r="N1357">
        <v>51.78</v>
      </c>
      <c r="O1357">
        <v>-9</v>
      </c>
      <c r="P1357">
        <v>17</v>
      </c>
    </row>
    <row r="1358" spans="1:16" x14ac:dyDescent="0.25">
      <c r="A1358">
        <v>22400927</v>
      </c>
      <c r="B1358">
        <v>2024</v>
      </c>
      <c r="C1358" t="s">
        <v>32</v>
      </c>
      <c r="D1358" t="s">
        <v>48</v>
      </c>
      <c r="E1358">
        <v>37</v>
      </c>
      <c r="F1358">
        <v>42</v>
      </c>
      <c r="G1358">
        <v>2</v>
      </c>
      <c r="H1358" s="1">
        <v>3.3912037037037036E-3</v>
      </c>
      <c r="I1358" t="s">
        <v>23</v>
      </c>
      <c r="J1358" s="2" t="str">
        <f>HYPERLINK("https://www.nba.com/stats/events?CFID=&amp;CFPARAMS=&amp;GameEventID=228&amp;GameID=0022400927&amp;Season=2024-25&amp;flag=1&amp;title=Leonard%20running%20DUNK%20(7%20PTS)%20(Dunn%202%20AST)", "Running DUNK (7 PTS) (K. Dunn 2 AST)")</f>
        <v>Running DUNK (7 PTS) (K. Dunn 2 AST)</v>
      </c>
      <c r="K1358" s="2" t="str">
        <f>HYPERLINK("https://www.nba.com/game/...-vs-...-0022400927/play-by-play?watchFullGame=true", "LAC vs SAC - Q2 04:53.00")</f>
        <v>LAC vs SAC - Q2 04:53.00</v>
      </c>
      <c r="L1358">
        <v>1.91</v>
      </c>
      <c r="M1358">
        <v>92.59</v>
      </c>
      <c r="N1358">
        <v>48.28</v>
      </c>
      <c r="O1358">
        <v>-9</v>
      </c>
      <c r="P1358">
        <v>17</v>
      </c>
    </row>
    <row r="1359" spans="1:16" x14ac:dyDescent="0.25">
      <c r="A1359">
        <v>41800114</v>
      </c>
      <c r="B1359" t="s">
        <v>20</v>
      </c>
      <c r="C1359" t="s">
        <v>32</v>
      </c>
      <c r="D1359" t="s">
        <v>63</v>
      </c>
      <c r="E1359">
        <v>13</v>
      </c>
      <c r="F1359">
        <v>18</v>
      </c>
      <c r="G1359">
        <v>1</v>
      </c>
      <c r="H1359" s="1">
        <v>4.0625000000000001E-3</v>
      </c>
      <c r="I1359" t="s">
        <v>21</v>
      </c>
      <c r="J1359" s="2" t="str">
        <f>HYPERLINK("https://www.nba.com/stats/events?CFID=&amp;CFPARAMS=&amp;GameEventID=68&amp;GameID=0041800114&amp;Season=2018-19&amp;flag=1&amp;title=Leonard%202'%20Running%20Dunk%20(8%20PTS)%20(Gasol%201%20AST)", "Leonard 2' Running Dunk (8 PTS) (Gasol 1 AST)")</f>
        <v>Leonard 2' Running Dunk (8 PTS) (Gasol 1 AST)</v>
      </c>
      <c r="K1359" s="2" t="str">
        <f>HYPERLINK("https://www.nba.com/game/...-vs-...-0041800114/play-by-play?watchFullGame=true", "TOR vs ORL - Q1 05:51.00")</f>
        <v>TOR vs ORL - Q1 05:51.00</v>
      </c>
      <c r="L1359">
        <v>2</v>
      </c>
      <c r="M1359">
        <v>-9</v>
      </c>
      <c r="N1359">
        <v>17</v>
      </c>
      <c r="O1359">
        <v>-9</v>
      </c>
      <c r="P1359">
        <v>17</v>
      </c>
    </row>
    <row r="1360" spans="1:16" x14ac:dyDescent="0.25">
      <c r="A1360">
        <v>22300865</v>
      </c>
      <c r="B1360">
        <v>2023</v>
      </c>
      <c r="C1360" t="s">
        <v>32</v>
      </c>
      <c r="D1360" t="s">
        <v>48</v>
      </c>
      <c r="E1360">
        <v>79</v>
      </c>
      <c r="F1360">
        <v>64</v>
      </c>
      <c r="G1360">
        <v>2</v>
      </c>
      <c r="H1360" s="1">
        <v>5.9027777777777773E-5</v>
      </c>
      <c r="I1360" t="s">
        <v>23</v>
      </c>
      <c r="J1360" s="2" t="str">
        <f>HYPERLINK("https://www.nba.com/stats/events?CFID=&amp;CFPARAMS=&amp;GameEventID=316&amp;GameID=0022300865&amp;Season=2023-24&amp;flag=1&amp;title=Leonard%20running%20DUNK%20(13%20PTS)%20(A.%20Coffey%203%20AST)", "Running DUNK (13 PTS) (A. Coffey 3 AST)")</f>
        <v>Running DUNK (13 PTS) (A. Coffey 3 AST)</v>
      </c>
      <c r="K1360" s="2" t="str">
        <f>HYPERLINK("https://www.nba.com/game/...-vs-...-0022300865/play-by-play?watchFullGame=true", "LAC vs WAS - Q2 00:05.10")</f>
        <v>LAC vs WAS - Q2 00:05.10</v>
      </c>
      <c r="L1360">
        <v>2.4</v>
      </c>
      <c r="M1360">
        <v>92.03</v>
      </c>
      <c r="N1360">
        <v>48.28</v>
      </c>
      <c r="O1360">
        <v>-9</v>
      </c>
      <c r="P1360">
        <v>22</v>
      </c>
    </row>
    <row r="1361" spans="1:16" x14ac:dyDescent="0.25">
      <c r="A1361">
        <v>21501018</v>
      </c>
      <c r="B1361">
        <v>2015</v>
      </c>
      <c r="C1361" t="s">
        <v>32</v>
      </c>
      <c r="D1361" t="s">
        <v>70</v>
      </c>
      <c r="E1361">
        <v>11</v>
      </c>
      <c r="F1361">
        <v>10</v>
      </c>
      <c r="G1361">
        <v>1</v>
      </c>
      <c r="H1361" s="1">
        <v>4.8495370370370368E-3</v>
      </c>
      <c r="I1361" t="s">
        <v>18</v>
      </c>
      <c r="J1361" s="2" t="str">
        <f>HYPERLINK("https://www.nba.com/stats/events?CFID=&amp;CFPARAMS=&amp;GameEventID=36&amp;GameID=0021501018&amp;Season=2015-16&amp;flag=1&amp;title=Leonard%203'%20Driving%20Hook%20Shot%20(2%20PTS)%20(Parker%202%20AST)", "Leonard 3' Driving Hook Shot (2 PTS) (Parker 2 AST)")</f>
        <v>Leonard 3' Driving Hook Shot (2 PTS) (Parker 2 AST)</v>
      </c>
      <c r="K1361" s="2" t="str">
        <f>HYPERLINK("https://www.nba.com/game/...-vs-...-0021501018/play-by-play?watchFullGame=true", "SAS vs POR - Q1 06:59.00")</f>
        <v>SAS vs POR - Q1 06:59.00</v>
      </c>
      <c r="L1361">
        <v>3</v>
      </c>
      <c r="M1361">
        <v>-9</v>
      </c>
      <c r="N1361">
        <v>26</v>
      </c>
      <c r="O1361">
        <v>-9</v>
      </c>
      <c r="P1361">
        <v>26</v>
      </c>
    </row>
    <row r="1362" spans="1:16" x14ac:dyDescent="0.25">
      <c r="A1362">
        <v>22201041</v>
      </c>
      <c r="B1362">
        <v>2022</v>
      </c>
      <c r="C1362" t="s">
        <v>32</v>
      </c>
      <c r="D1362" t="s">
        <v>48</v>
      </c>
      <c r="E1362">
        <v>8</v>
      </c>
      <c r="F1362">
        <v>8</v>
      </c>
      <c r="G1362">
        <v>1</v>
      </c>
      <c r="H1362" s="1">
        <v>4.8495370370370368E-3</v>
      </c>
      <c r="I1362" t="s">
        <v>23</v>
      </c>
      <c r="J1362" s="2" t="str">
        <f>HYPERLINK("https://www.nba.com/stats/events?CFID=&amp;CFPARAMS=&amp;GameEventID=56&amp;GameID=0022201041&amp;Season=2022-23&amp;flag=1&amp;title=Leonard%20cutting%20DUNK%20(4%20PTS)%20(M.%20Morris%20Sr.%202%20AST)", "Cutting DUNK (4 PTS) (M. Morris Sr. 2 AST)")</f>
        <v>Cutting DUNK (4 PTS) (M. Morris Sr. 2 AST)</v>
      </c>
      <c r="K1362" s="2" t="str">
        <f>HYPERLINK("https://www.nba.com/game/...-vs-...-0022201041/play-by-play?watchFullGame=true", "LAC vs GSW - Q1 06:59.00")</f>
        <v>LAC vs GSW - Q1 06:59.00</v>
      </c>
      <c r="L1362">
        <v>3.07</v>
      </c>
      <c r="M1362">
        <v>8.7200000000000006</v>
      </c>
      <c r="N1362">
        <v>51.72</v>
      </c>
      <c r="O1362">
        <v>-9</v>
      </c>
      <c r="P1362">
        <v>29</v>
      </c>
    </row>
    <row r="1363" spans="1:16" x14ac:dyDescent="0.25">
      <c r="A1363">
        <v>22300749</v>
      </c>
      <c r="B1363">
        <v>2023</v>
      </c>
      <c r="C1363" t="s">
        <v>32</v>
      </c>
      <c r="D1363" t="s">
        <v>48</v>
      </c>
      <c r="E1363">
        <v>67</v>
      </c>
      <c r="F1363">
        <v>75</v>
      </c>
      <c r="G1363">
        <v>3</v>
      </c>
      <c r="H1363" s="1">
        <v>2.2337962962962962E-3</v>
      </c>
      <c r="I1363" t="s">
        <v>23</v>
      </c>
      <c r="J1363" s="2" t="str">
        <f>HYPERLINK("https://www.nba.com/stats/events?CFID=&amp;CFPARAMS=&amp;GameEventID=416&amp;GameID=0022300749&amp;Season=2023-24&amp;flag=1&amp;title=Leonard%20driving%20DUNK%20(15%20PTS)", "Driving DUNK (15 PTS)")</f>
        <v>Driving DUNK (15 PTS)</v>
      </c>
      <c r="K1363" s="2" t="str">
        <f>HYPERLINK("https://www.nba.com/game/...-vs-...-0022300749/play-by-play?watchFullGame=true", "LAC vs DET - Q3 03:13.00")</f>
        <v>LAC vs DET - Q3 03:13.00</v>
      </c>
      <c r="L1363">
        <v>3.34</v>
      </c>
      <c r="M1363">
        <v>9.02</v>
      </c>
      <c r="N1363">
        <v>51.72</v>
      </c>
      <c r="O1363">
        <v>-9</v>
      </c>
      <c r="P1363">
        <v>32</v>
      </c>
    </row>
    <row r="1364" spans="1:16" x14ac:dyDescent="0.25">
      <c r="A1364">
        <v>22300848</v>
      </c>
      <c r="B1364">
        <v>2023</v>
      </c>
      <c r="C1364" t="s">
        <v>32</v>
      </c>
      <c r="D1364" t="s">
        <v>47</v>
      </c>
      <c r="E1364">
        <v>112</v>
      </c>
      <c r="F1364">
        <v>114</v>
      </c>
      <c r="G1364">
        <v>4</v>
      </c>
      <c r="H1364" s="1">
        <v>4.2013888888888884E-4</v>
      </c>
      <c r="I1364" t="s">
        <v>23</v>
      </c>
      <c r="J1364" s="2" t="str">
        <f>HYPERLINK("https://www.nba.com/stats/events?CFID=&amp;CFPARAMS=&amp;GameEventID=602&amp;GameID=0022300848&amp;Season=2023-24&amp;flag=1&amp;title=Leonard%20driving%20Layup%20(26%20PTS)%20(J.%20Harden%209%20AST)", "Driving Layup (26 PTS) (J. Harden 9 AST)")</f>
        <v>Driving Layup (26 PTS) (J. Harden 9 AST)</v>
      </c>
      <c r="K1364" s="2" t="str">
        <f>HYPERLINK("https://www.nba.com/game/...-vs-...-0022300848/play-by-play?watchFullGame=true", "LAC vs LAL - Q4 00:36.30")</f>
        <v>LAC vs LAL - Q4 00:36.30</v>
      </c>
      <c r="L1364">
        <v>3.43</v>
      </c>
      <c r="M1364">
        <v>9.1199999999999992</v>
      </c>
      <c r="N1364">
        <v>51.72</v>
      </c>
      <c r="O1364">
        <v>-9</v>
      </c>
      <c r="P1364">
        <v>33</v>
      </c>
    </row>
    <row r="1365" spans="1:16" x14ac:dyDescent="0.25">
      <c r="A1365">
        <v>22200423</v>
      </c>
      <c r="B1365">
        <v>2022</v>
      </c>
      <c r="C1365" t="s">
        <v>32</v>
      </c>
      <c r="D1365" t="s">
        <v>44</v>
      </c>
      <c r="E1365">
        <v>4</v>
      </c>
      <c r="F1365">
        <v>7</v>
      </c>
      <c r="G1365">
        <v>1</v>
      </c>
      <c r="H1365" s="1">
        <v>6.1111111111111114E-3</v>
      </c>
      <c r="I1365" t="s">
        <v>23</v>
      </c>
      <c r="J1365" s="2" t="str">
        <f>HYPERLINK("https://www.nba.com/stats/events?CFID=&amp;CFPARAMS=&amp;GameEventID=28&amp;GameID=0022200423&amp;Season=2022-23&amp;flag=1&amp;title=Leonard%206'%20driving%20Hook%20(4%20PTS)", "6' driving Hook (4 PTS)")</f>
        <v>6' driving Hook (4 PTS)</v>
      </c>
      <c r="K1365" s="2" t="str">
        <f>HYPERLINK("https://www.nba.com/game/...-vs-...-0022200423/play-by-play?watchFullGame=true", "LAC vs MIN - Q1 08:48.00")</f>
        <v>LAC vs MIN - Q1 08:48.00</v>
      </c>
      <c r="L1365">
        <v>6.98</v>
      </c>
      <c r="M1365">
        <v>87.04</v>
      </c>
      <c r="N1365">
        <v>48.28</v>
      </c>
      <c r="O1365">
        <v>-9</v>
      </c>
      <c r="P1365">
        <v>69</v>
      </c>
    </row>
    <row r="1366" spans="1:16" x14ac:dyDescent="0.25">
      <c r="A1366">
        <v>21900626</v>
      </c>
      <c r="B1366">
        <v>2019</v>
      </c>
      <c r="C1366" t="s">
        <v>32</v>
      </c>
      <c r="D1366" t="s">
        <v>22</v>
      </c>
      <c r="E1366">
        <v>88</v>
      </c>
      <c r="F1366">
        <v>78</v>
      </c>
      <c r="G1366">
        <v>3</v>
      </c>
      <c r="H1366" s="1">
        <v>6.099537037037037E-3</v>
      </c>
      <c r="I1366" t="s">
        <v>23</v>
      </c>
      <c r="J1366" s="2" t="str">
        <f>HYPERLINK("https://www.nba.com/stats/events?CFID=&amp;CFPARAMS=&amp;GameEventID=428&amp;GameID=0021900626&amp;Season=2019-20&amp;flag=1&amp;title=Leonard%2012'%20jumpshot%20(25%20PTS)", "12' jumpshot (25 PTS)")</f>
        <v>12' jumpshot (25 PTS)</v>
      </c>
      <c r="K1366" s="2" t="str">
        <f>HYPERLINK("https://www.nba.com/game/...-vs-...-0021900626/play-by-play?watchFullGame=true", "LAC vs NOP - Q3 08:47.00")</f>
        <v>LAC vs NOP - Q3 08:47.00</v>
      </c>
      <c r="L1366">
        <v>11.94</v>
      </c>
      <c r="M1366">
        <v>82.34</v>
      </c>
      <c r="N1366">
        <v>48.11</v>
      </c>
      <c r="O1366">
        <v>-9</v>
      </c>
      <c r="P1366">
        <v>113</v>
      </c>
    </row>
    <row r="1367" spans="1:16" x14ac:dyDescent="0.25">
      <c r="A1367">
        <v>22300873</v>
      </c>
      <c r="B1367">
        <v>2023</v>
      </c>
      <c r="C1367" t="s">
        <v>32</v>
      </c>
      <c r="D1367" t="s">
        <v>19</v>
      </c>
      <c r="E1367">
        <v>78</v>
      </c>
      <c r="F1367">
        <v>79</v>
      </c>
      <c r="G1367">
        <v>4</v>
      </c>
      <c r="H1367" s="1">
        <v>4.1203703703703706E-3</v>
      </c>
      <c r="I1367" t="s">
        <v>23</v>
      </c>
      <c r="J1367" s="2" t="str">
        <f>HYPERLINK("https://www.nba.com/stats/events?CFID=&amp;CFPARAMS=&amp;GameEventID=509&amp;GameID=0022300873&amp;Season=2023-24&amp;flag=1&amp;title=Leonard%2011'%20floating%20Jump%20Shot%20(27%20PTS)%20(D.%20Theis%201%20AST)", "11' floating Jump Shot (27 PTS) (D. Theis 1 AST)")</f>
        <v>11' floating Jump Shot (27 PTS) (D. Theis 1 AST)</v>
      </c>
      <c r="K1367" s="2" t="str">
        <f>HYPERLINK("https://www.nba.com/game/...-vs-...-0022300873/play-by-play?watchFullGame=true", "LAC vs MIN - Q4 05:56.00")</f>
        <v>LAC vs MIN - Q4 05:56.00</v>
      </c>
      <c r="L1367">
        <v>11.87</v>
      </c>
      <c r="M1367">
        <v>81.819999999999993</v>
      </c>
      <c r="N1367">
        <v>48.28</v>
      </c>
      <c r="O1367">
        <v>-9</v>
      </c>
      <c r="P1367">
        <v>118</v>
      </c>
    </row>
    <row r="1368" spans="1:16" x14ac:dyDescent="0.25">
      <c r="A1368">
        <v>21900115</v>
      </c>
      <c r="B1368">
        <v>2019</v>
      </c>
      <c r="C1368" t="s">
        <v>32</v>
      </c>
      <c r="D1368" t="s">
        <v>22</v>
      </c>
      <c r="E1368">
        <v>76</v>
      </c>
      <c r="F1368">
        <v>80</v>
      </c>
      <c r="G1368">
        <v>4</v>
      </c>
      <c r="H1368" s="1">
        <v>7.1180555555555554E-3</v>
      </c>
      <c r="I1368" t="s">
        <v>23</v>
      </c>
      <c r="J1368" s="2" t="str">
        <f>HYPERLINK("https://www.nba.com/stats/events?CFID=&amp;CFPARAMS=&amp;GameEventID=547&amp;GameID=0021900115&amp;Season=2019-20&amp;flag=1&amp;title=[LAC]%20Leonard%20jumpshot:%20Made%20(13%20PTS)", "[LAC] Leonard jumpshot: Made (13 PTS)")</f>
        <v>[LAC] Leonard jumpshot: Made (13 PTS)</v>
      </c>
      <c r="K1368" s="2" t="str">
        <f>HYPERLINK("https://www.nba.com/game/...-vs-...-0021900115/play-by-play?watchFullGame=true", "LAC vs POR - Q4 10:15.00")</f>
        <v>LAC vs POR - Q4 10:15.00</v>
      </c>
      <c r="L1368">
        <v>14.8</v>
      </c>
      <c r="M1368">
        <v>79.290000000000006</v>
      </c>
      <c r="N1368">
        <v>48.22</v>
      </c>
      <c r="O1368">
        <v>-9</v>
      </c>
      <c r="P1368">
        <v>142</v>
      </c>
    </row>
    <row r="1369" spans="1:16" x14ac:dyDescent="0.25">
      <c r="A1369">
        <v>22200970</v>
      </c>
      <c r="B1369">
        <v>2022</v>
      </c>
      <c r="C1369" t="s">
        <v>32</v>
      </c>
      <c r="D1369" t="s">
        <v>19</v>
      </c>
      <c r="E1369">
        <v>129</v>
      </c>
      <c r="F1369">
        <v>123</v>
      </c>
      <c r="G1369">
        <v>4</v>
      </c>
      <c r="H1369" s="1">
        <v>1.4930555555555556E-3</v>
      </c>
      <c r="I1369" t="s">
        <v>23</v>
      </c>
      <c r="J1369" s="2" t="str">
        <f>HYPERLINK("https://www.nba.com/stats/events?CFID=&amp;CFPARAMS=&amp;GameEventID=616&amp;GameID=0022200970&amp;Season=2022-23&amp;flag=1&amp;title=Leonard%2014'%20Jump%20Shot%20(30%20PTS)%20(P.%20George%203%20AST)", "14' Jump Shot (30 PTS) (P. George 3 AST)")</f>
        <v>14' Jump Shot (30 PTS) (P. George 3 AST)</v>
      </c>
      <c r="K1369" s="2" t="str">
        <f>HYPERLINK("https://www.nba.com/game/...-vs-...-0022200970/play-by-play?watchFullGame=true", "LAC vs MEM - Q4 02:09.00")</f>
        <v>LAC vs MEM - Q4 02:09.00</v>
      </c>
      <c r="L1369">
        <v>14.74</v>
      </c>
      <c r="M1369">
        <v>78.760000000000005</v>
      </c>
      <c r="N1369">
        <v>48.28</v>
      </c>
      <c r="O1369">
        <v>-9</v>
      </c>
      <c r="P1369">
        <v>147</v>
      </c>
    </row>
    <row r="1370" spans="1:16" x14ac:dyDescent="0.25">
      <c r="A1370">
        <v>41800304</v>
      </c>
      <c r="B1370" t="s">
        <v>20</v>
      </c>
      <c r="C1370" t="s">
        <v>32</v>
      </c>
      <c r="D1370" t="s">
        <v>31</v>
      </c>
      <c r="E1370">
        <v>86</v>
      </c>
      <c r="F1370">
        <v>74</v>
      </c>
      <c r="G1370">
        <v>3</v>
      </c>
      <c r="H1370" s="1">
        <v>2.2569444444444442E-3</v>
      </c>
      <c r="I1370" t="s">
        <v>21</v>
      </c>
      <c r="J1370" s="2" t="str">
        <f>HYPERLINK("https://www.nba.com/stats/events?CFID=&amp;CFPARAMS=&amp;GameEventID=500&amp;GameID=0041800304&amp;Season=2018-19&amp;flag=1&amp;title=Leonard%2020'%20Step%20Back%20Jump%20Shot%20(13%20PTS)%20(Powell%202%20AST)", "Leonard 20' Step Back Jump Shot (13 PTS) (Powell 2 AST)")</f>
        <v>Leonard 20' Step Back Jump Shot (13 PTS) (Powell 2 AST)</v>
      </c>
      <c r="K1370" s="2" t="str">
        <f>HYPERLINK("https://www.nba.com/game/...-vs-...-0041800304/play-by-play?watchFullGame=true", "TOR vs MIL - Q3 03:15.00")</f>
        <v>TOR vs MIL - Q3 03:15.00</v>
      </c>
      <c r="L1370">
        <v>20</v>
      </c>
      <c r="M1370">
        <v>-9</v>
      </c>
      <c r="N1370">
        <v>200</v>
      </c>
      <c r="O1370">
        <v>-9</v>
      </c>
      <c r="P1370">
        <v>200</v>
      </c>
    </row>
    <row r="1371" spans="1:16" x14ac:dyDescent="0.25">
      <c r="A1371">
        <v>21600458</v>
      </c>
      <c r="B1371">
        <v>2016</v>
      </c>
      <c r="C1371" t="s">
        <v>32</v>
      </c>
      <c r="D1371" t="s">
        <v>29</v>
      </c>
      <c r="E1371">
        <v>23</v>
      </c>
      <c r="F1371">
        <v>8</v>
      </c>
      <c r="G1371">
        <v>1</v>
      </c>
      <c r="H1371" s="1">
        <v>3.9120370370370368E-3</v>
      </c>
      <c r="I1371" t="s">
        <v>18</v>
      </c>
      <c r="J1371" s="2" t="str">
        <f>HYPERLINK("https://www.nba.com/stats/events?CFID=&amp;CFPARAMS=&amp;GameEventID=46&amp;GameID=0021600458&amp;Season=2016-17&amp;flag=1&amp;title=Leonard%2020'%20Pullup%20Jump%20Shot%20(11%20PTS)%20(Gasol%201%20AST)", "Leonard 20' Pullup Jump Shot (11 PTS) (Gasol 1 AST)")</f>
        <v>Leonard 20' Pullup Jump Shot (11 PTS) (Gasol 1 AST)</v>
      </c>
      <c r="K1371" s="2" t="str">
        <f>HYPERLINK("https://www.nba.com/game/...-vs-...-0021600458/play-by-play?watchFullGame=true", "SAS vs CHI - Q1 05:38.00")</f>
        <v>SAS vs CHI - Q1 05:38.00</v>
      </c>
      <c r="L1371">
        <v>20</v>
      </c>
      <c r="M1371">
        <v>-9</v>
      </c>
      <c r="N1371">
        <v>203</v>
      </c>
      <c r="O1371">
        <v>-9</v>
      </c>
      <c r="P1371">
        <v>203</v>
      </c>
    </row>
    <row r="1372" spans="1:16" x14ac:dyDescent="0.25">
      <c r="A1372">
        <v>41600154</v>
      </c>
      <c r="B1372" t="s">
        <v>30</v>
      </c>
      <c r="C1372" t="s">
        <v>16</v>
      </c>
      <c r="D1372" t="s">
        <v>19</v>
      </c>
      <c r="E1372">
        <v>106</v>
      </c>
      <c r="F1372">
        <v>105</v>
      </c>
      <c r="G1372">
        <v>5</v>
      </c>
      <c r="H1372" s="1">
        <v>2.6388888888888892E-4</v>
      </c>
      <c r="I1372" t="s">
        <v>18</v>
      </c>
      <c r="J1372" s="2" t="str">
        <f>HYPERLINK("https://www.nba.com/stats/events?CFID=&amp;CFPARAMS=&amp;GameEventID=574&amp;GameID=0041600154&amp;Season=2016-17&amp;flag=1&amp;title=Leonard%2026'%203PT%20Jump%20Shot%20(40%20PTS)%20(Lee%202%20AST)", "Leonard 26' 3PT Jump Shot (40 PTS) (Lee 2 AST)")</f>
        <v>Leonard 26' 3PT Jump Shot (40 PTS) (Lee 2 AST)</v>
      </c>
      <c r="K1372" s="2" t="str">
        <f>HYPERLINK("https://www.nba.com/game/...-vs-...-0041600154/play-by-play?watchFullGame=true", "SAS vs MEM - Q5 00:22.80")</f>
        <v>SAS vs MEM - Q5 00:22.80</v>
      </c>
      <c r="L1372">
        <v>26</v>
      </c>
      <c r="M1372">
        <v>-9</v>
      </c>
      <c r="N1372">
        <v>257</v>
      </c>
      <c r="O1372">
        <v>-9</v>
      </c>
      <c r="P1372">
        <v>257</v>
      </c>
    </row>
    <row r="1373" spans="1:16" x14ac:dyDescent="0.25">
      <c r="A1373">
        <v>21300275</v>
      </c>
      <c r="B1373">
        <v>2013</v>
      </c>
      <c r="C1373" t="s">
        <v>32</v>
      </c>
      <c r="D1373" t="s">
        <v>67</v>
      </c>
      <c r="E1373">
        <v>89</v>
      </c>
      <c r="F1373">
        <v>72</v>
      </c>
      <c r="G1373">
        <v>4</v>
      </c>
      <c r="H1373" s="1">
        <v>5.7754629629629631E-3</v>
      </c>
      <c r="I1373" t="s">
        <v>18</v>
      </c>
      <c r="J1373" s="2" t="str">
        <f>HYPERLINK("https://www.nba.com/stats/events?CFID=&amp;CFPARAMS=&amp;GameEventID=446&amp;GameID=0021300275&amp;Season=2013-14&amp;flag=1&amp;title=Leonard%201'%20Driving%20Dunk%20(8%20PTS)%20(Bonner%201%20AST)", "Leonard 1' Driving Dunk (8 PTS) (Bonner 1 AST)")</f>
        <v>Leonard 1' Driving Dunk (8 PTS) (Bonner 1 AST)</v>
      </c>
      <c r="K1373" s="2" t="str">
        <f>HYPERLINK("https://www.nba.com/game/...-vs-...-0021300275/play-by-play?watchFullGame=true", "SAS vs MIN - Q4 08:19.00")</f>
        <v>SAS vs MIN - Q4 08:19.00</v>
      </c>
      <c r="L1373">
        <v>1</v>
      </c>
      <c r="M1373">
        <v>-8</v>
      </c>
      <c r="N1373">
        <v>-8</v>
      </c>
      <c r="O1373">
        <v>-8</v>
      </c>
      <c r="P1373">
        <v>-8</v>
      </c>
    </row>
    <row r="1374" spans="1:16" x14ac:dyDescent="0.25">
      <c r="A1374">
        <v>22001002</v>
      </c>
      <c r="B1374">
        <v>2020</v>
      </c>
      <c r="C1374" t="s">
        <v>32</v>
      </c>
      <c r="D1374" t="s">
        <v>48</v>
      </c>
      <c r="E1374">
        <v>82</v>
      </c>
      <c r="F1374">
        <v>60</v>
      </c>
      <c r="G1374">
        <v>3</v>
      </c>
      <c r="H1374" s="1">
        <v>2.2569444444444442E-3</v>
      </c>
      <c r="I1374" t="s">
        <v>23</v>
      </c>
      <c r="J1374" s="2" t="str">
        <f>HYPERLINK("https://www.nba.com/stats/events?CFID=&amp;CFPARAMS=&amp;GameEventID=417&amp;GameID=0022001002&amp;Season=2020-21&amp;flag=1&amp;title=Leonard%20DUNK%20(9%20PTS)", "DUNK (9 PTS)")</f>
        <v>DUNK (9 PTS)</v>
      </c>
      <c r="K1374" s="2" t="str">
        <f>HYPERLINK("https://www.nba.com/game/...-vs-...-0022001002/play-by-play?watchFullGame=true", "LAC vs LAL - Q3 03:15.00")</f>
        <v>LAC vs LAL - Q3 03:15.00</v>
      </c>
      <c r="L1374">
        <v>0.98</v>
      </c>
      <c r="M1374">
        <v>4.9400000000000004</v>
      </c>
      <c r="N1374">
        <v>51.54</v>
      </c>
      <c r="O1374">
        <v>-8</v>
      </c>
      <c r="P1374">
        <v>-6</v>
      </c>
    </row>
    <row r="1375" spans="1:16" x14ac:dyDescent="0.25">
      <c r="A1375">
        <v>21300117</v>
      </c>
      <c r="B1375">
        <v>2013</v>
      </c>
      <c r="C1375" t="s">
        <v>32</v>
      </c>
      <c r="D1375" t="s">
        <v>62</v>
      </c>
      <c r="E1375">
        <v>52</v>
      </c>
      <c r="F1375">
        <v>40</v>
      </c>
      <c r="G1375">
        <v>2</v>
      </c>
      <c r="H1375" s="1">
        <v>2.3726851851851852E-4</v>
      </c>
      <c r="I1375" t="s">
        <v>18</v>
      </c>
      <c r="J1375" s="2" t="str">
        <f>HYPERLINK("https://www.nba.com/stats/events?CFID=&amp;CFPARAMS=&amp;GameEventID=229&amp;GameID=0021300117&amp;Season=2013-14&amp;flag=1&amp;title=Leonard%201'%20Dunk%20(11%20PTS)%20(Parker%201%20AST)", "Leonard 1' Dunk (11 PTS) (Parker 1 AST)")</f>
        <v>Leonard 1' Dunk (11 PTS) (Parker 1 AST)</v>
      </c>
      <c r="K1375" s="2" t="str">
        <f>HYPERLINK("https://www.nba.com/game/...-vs-...-0021300117/play-by-play?watchFullGame=true", "SAS vs WAS - Q2 00:20.50")</f>
        <v>SAS vs WAS - Q2 00:20.50</v>
      </c>
      <c r="L1375">
        <v>1</v>
      </c>
      <c r="M1375">
        <v>-8</v>
      </c>
      <c r="N1375">
        <v>-3</v>
      </c>
      <c r="O1375">
        <v>-8</v>
      </c>
      <c r="P1375">
        <v>-3</v>
      </c>
    </row>
    <row r="1376" spans="1:16" x14ac:dyDescent="0.25">
      <c r="A1376">
        <v>21900002</v>
      </c>
      <c r="B1376">
        <v>2019</v>
      </c>
      <c r="C1376" t="s">
        <v>32</v>
      </c>
      <c r="D1376" t="s">
        <v>48</v>
      </c>
      <c r="E1376">
        <v>42</v>
      </c>
      <c r="F1376">
        <v>39</v>
      </c>
      <c r="G1376">
        <v>2</v>
      </c>
      <c r="H1376" s="1">
        <v>4.5023148148148149E-3</v>
      </c>
      <c r="I1376" t="s">
        <v>23</v>
      </c>
      <c r="J1376" s="2" t="str">
        <f>HYPERLINK("https://www.nba.com/stats/events?CFID=&amp;CFPARAMS=&amp;GameEventID=245&amp;GameID=0021900002&amp;Season=2019-20&amp;flag=1&amp;title=Leonard%20cutting%20DUNK%20(17%20PTS)%20(M.%20Harrell%201%20AST)", "Cutting DUNK (17 PTS) (M. Harrell 1 AST)")</f>
        <v>Cutting DUNK (17 PTS) (M. Harrell 1 AST)</v>
      </c>
      <c r="K1376" s="2" t="str">
        <f>HYPERLINK("https://www.nba.com/game/...-vs-...-0021900002/play-by-play?watchFullGame=true", "LAC vs LAL - Q2 06:29.00")</f>
        <v>LAC vs LAL - Q2 06:29.00</v>
      </c>
      <c r="L1376">
        <v>0.83</v>
      </c>
      <c r="M1376">
        <v>94.66</v>
      </c>
      <c r="N1376">
        <v>48.46</v>
      </c>
      <c r="O1376">
        <v>-8</v>
      </c>
      <c r="P1376">
        <v>-2</v>
      </c>
    </row>
    <row r="1377" spans="1:16" x14ac:dyDescent="0.25">
      <c r="A1377">
        <v>21300378</v>
      </c>
      <c r="B1377">
        <v>2013</v>
      </c>
      <c r="C1377" t="s">
        <v>32</v>
      </c>
      <c r="D1377" t="s">
        <v>57</v>
      </c>
      <c r="E1377">
        <v>60</v>
      </c>
      <c r="F1377">
        <v>63</v>
      </c>
      <c r="G1377">
        <v>3</v>
      </c>
      <c r="H1377" s="1">
        <v>7.6041666666666671E-3</v>
      </c>
      <c r="I1377" t="s">
        <v>18</v>
      </c>
      <c r="J1377" s="2" t="str">
        <f>HYPERLINK("https://www.nba.com/stats/events?CFID=&amp;CFPARAMS=&amp;GameEventID=269&amp;GameID=0021300378&amp;Season=2013-14&amp;flag=1&amp;title=Leonard%201'%20Layup%20(12%20PTS)", "Leonard 1' Layup (12 PTS)")</f>
        <v>Leonard 1' Layup (12 PTS)</v>
      </c>
      <c r="K1377" s="2" t="str">
        <f>HYPERLINK("https://www.nba.com/game/...-vs-...-0021300378/play-by-play?watchFullGame=true", "SAS vs PHX - Q3 10:57.00")</f>
        <v>SAS vs PHX - Q3 10:57.00</v>
      </c>
      <c r="L1377">
        <v>1</v>
      </c>
      <c r="M1377">
        <v>-8</v>
      </c>
      <c r="N1377">
        <v>0</v>
      </c>
      <c r="O1377">
        <v>-8</v>
      </c>
      <c r="P1377">
        <v>0</v>
      </c>
    </row>
    <row r="1378" spans="1:16" x14ac:dyDescent="0.25">
      <c r="A1378">
        <v>21300425</v>
      </c>
      <c r="B1378">
        <v>2013</v>
      </c>
      <c r="C1378" t="s">
        <v>32</v>
      </c>
      <c r="D1378" t="s">
        <v>62</v>
      </c>
      <c r="E1378">
        <v>12</v>
      </c>
      <c r="F1378">
        <v>14</v>
      </c>
      <c r="G1378">
        <v>1</v>
      </c>
      <c r="H1378" s="1">
        <v>4.0509259259259257E-3</v>
      </c>
      <c r="I1378" t="s">
        <v>18</v>
      </c>
      <c r="J1378" s="2" t="str">
        <f>HYPERLINK("https://www.nba.com/stats/events?CFID=&amp;CFPARAMS=&amp;GameEventID=49&amp;GameID=0021300425&amp;Season=2013-14&amp;flag=1&amp;title=Leonard%201'%20Dunk%20(2%20PTS)", "Leonard 1' Dunk (2 PTS)")</f>
        <v>Leonard 1' Dunk (2 PTS)</v>
      </c>
      <c r="K1378" s="2" t="str">
        <f>HYPERLINK("https://www.nba.com/game/...-vs-...-0021300425/play-by-play?watchFullGame=true", "SAS vs DAL - Q1 05:50.00")</f>
        <v>SAS vs DAL - Q1 05:50.00</v>
      </c>
      <c r="L1378">
        <v>1</v>
      </c>
      <c r="M1378">
        <v>-8</v>
      </c>
      <c r="N1378">
        <v>1</v>
      </c>
      <c r="O1378">
        <v>-8</v>
      </c>
      <c r="P1378">
        <v>1</v>
      </c>
    </row>
    <row r="1379" spans="1:16" x14ac:dyDescent="0.25">
      <c r="A1379">
        <v>41200406</v>
      </c>
      <c r="B1379" t="s">
        <v>27</v>
      </c>
      <c r="C1379" t="s">
        <v>32</v>
      </c>
      <c r="D1379" t="s">
        <v>49</v>
      </c>
      <c r="E1379">
        <v>7</v>
      </c>
      <c r="F1379">
        <v>8</v>
      </c>
      <c r="G1379">
        <v>1</v>
      </c>
      <c r="H1379" s="1">
        <v>6.6087962962962966E-3</v>
      </c>
      <c r="I1379" t="s">
        <v>18</v>
      </c>
      <c r="J1379" s="2" t="str">
        <f>HYPERLINK("https://www.nba.com/stats/events?CFID=&amp;CFPARAMS=&amp;GameEventID=17&amp;GameID=0041200406&amp;Season=2012-13&amp;flag=1&amp;title=Leonard%201'%20Driving%20Layup%20(2%20PTS)", "Leonard 1' Driving Layup (2 PTS)")</f>
        <v>Leonard 1' Driving Layup (2 PTS)</v>
      </c>
      <c r="K1379" s="2" t="str">
        <f>HYPERLINK("https://www.nba.com/game/...-vs-...-0041200406/play-by-play?watchFullGame=true", "SAS vs MIA - Q1 09:31.00")</f>
        <v>SAS vs MIA - Q1 09:31.00</v>
      </c>
      <c r="L1379">
        <v>1</v>
      </c>
      <c r="M1379">
        <v>-8</v>
      </c>
      <c r="N1379">
        <v>4</v>
      </c>
      <c r="O1379">
        <v>-8</v>
      </c>
      <c r="P1379">
        <v>4</v>
      </c>
    </row>
    <row r="1380" spans="1:16" x14ac:dyDescent="0.25">
      <c r="A1380">
        <v>21300208</v>
      </c>
      <c r="B1380">
        <v>2013</v>
      </c>
      <c r="C1380" t="s">
        <v>32</v>
      </c>
      <c r="D1380" t="s">
        <v>62</v>
      </c>
      <c r="E1380">
        <v>68</v>
      </c>
      <c r="F1380">
        <v>42</v>
      </c>
      <c r="G1380">
        <v>3</v>
      </c>
      <c r="H1380" s="1">
        <v>5.6134259259259262E-3</v>
      </c>
      <c r="I1380" t="s">
        <v>18</v>
      </c>
      <c r="J1380" s="2" t="str">
        <f>HYPERLINK("https://www.nba.com/stats/events?CFID=&amp;CFPARAMS=&amp;GameEventID=312&amp;GameID=0021300208&amp;Season=2013-14&amp;flag=1&amp;title=Leonard%201'%20Dunk%20(7%20PTS)", "Leonard 1' Dunk (7 PTS)")</f>
        <v>Leonard 1' Dunk (7 PTS)</v>
      </c>
      <c r="K1380" s="2" t="str">
        <f>HYPERLINK("https://www.nba.com/game/...-vs-...-0021300208/play-by-play?watchFullGame=true", "SAS vs NOP - Q3 08:05.00")</f>
        <v>SAS vs NOP - Q3 08:05.00</v>
      </c>
      <c r="L1380">
        <v>1</v>
      </c>
      <c r="M1380">
        <v>-8</v>
      </c>
      <c r="N1380">
        <v>4</v>
      </c>
      <c r="O1380">
        <v>-8</v>
      </c>
      <c r="P1380">
        <v>4</v>
      </c>
    </row>
    <row r="1381" spans="1:16" x14ac:dyDescent="0.25">
      <c r="A1381">
        <v>21900145</v>
      </c>
      <c r="B1381">
        <v>2019</v>
      </c>
      <c r="C1381" t="s">
        <v>32</v>
      </c>
      <c r="D1381" t="s">
        <v>50</v>
      </c>
      <c r="E1381">
        <v>62</v>
      </c>
      <c r="F1381">
        <v>55</v>
      </c>
      <c r="G1381">
        <v>3</v>
      </c>
      <c r="H1381" s="1">
        <v>4.5023148148148149E-3</v>
      </c>
      <c r="I1381" t="s">
        <v>23</v>
      </c>
      <c r="J1381" s="2" t="str">
        <f>HYPERLINK("https://www.nba.com/stats/events?CFID=&amp;CFPARAMS=&amp;GameEventID=408&amp;GameID=0021900145&amp;Season=2019-20&amp;flag=1&amp;title=[LAC]%20Leonard%20layup:%20Made%20(7%20PTS)", "[LAC] Leonard layup: Made (7 PTS)")</f>
        <v>[LAC] Leonard layup: Made (7 PTS)</v>
      </c>
      <c r="K1381" s="2" t="str">
        <f>HYPERLINK("https://www.nba.com/game/...-vs-...-0021900145/play-by-play?watchFullGame=true", "LAC vs TOR - Q3 06:29.00")</f>
        <v>LAC vs TOR - Q3 06:29.00</v>
      </c>
      <c r="L1381">
        <v>1.41</v>
      </c>
      <c r="M1381">
        <v>6.23</v>
      </c>
      <c r="N1381">
        <v>51.65</v>
      </c>
      <c r="O1381">
        <v>-8</v>
      </c>
      <c r="P1381">
        <v>6</v>
      </c>
    </row>
    <row r="1382" spans="1:16" x14ac:dyDescent="0.25">
      <c r="A1382">
        <v>21300965</v>
      </c>
      <c r="B1382">
        <v>2013</v>
      </c>
      <c r="C1382" t="s">
        <v>32</v>
      </c>
      <c r="D1382" t="s">
        <v>57</v>
      </c>
      <c r="E1382">
        <v>9</v>
      </c>
      <c r="F1382">
        <v>2</v>
      </c>
      <c r="G1382">
        <v>1</v>
      </c>
      <c r="H1382" s="1">
        <v>5.5902777777777773E-3</v>
      </c>
      <c r="I1382" t="s">
        <v>18</v>
      </c>
      <c r="J1382" s="2" t="str">
        <f>HYPERLINK("https://www.nba.com/stats/events?CFID=&amp;CFPARAMS=&amp;GameEventID=32&amp;GameID=0021300965&amp;Season=2013-14&amp;flag=1&amp;title=Leonard%201'%20Layup%20(6%20PTS)%20(Duncan%202%20AST)", "Leonard 1' Layup (6 PTS) (Duncan 2 AST)")</f>
        <v>Leonard 1' Layup (6 PTS) (Duncan 2 AST)</v>
      </c>
      <c r="K1382" s="2" t="str">
        <f>HYPERLINK("https://www.nba.com/game/...-vs-...-0021300965/play-by-play?watchFullGame=true", "SAS vs POR - Q1 08:03.00")</f>
        <v>SAS vs POR - Q1 08:03.00</v>
      </c>
      <c r="L1382">
        <v>1</v>
      </c>
      <c r="M1382">
        <v>-8</v>
      </c>
      <c r="N1382">
        <v>9</v>
      </c>
      <c r="O1382">
        <v>-8</v>
      </c>
      <c r="P1382">
        <v>9</v>
      </c>
    </row>
    <row r="1383" spans="1:16" x14ac:dyDescent="0.25">
      <c r="A1383">
        <v>41800217</v>
      </c>
      <c r="B1383" t="s">
        <v>20</v>
      </c>
      <c r="C1383" t="s">
        <v>32</v>
      </c>
      <c r="D1383" t="s">
        <v>57</v>
      </c>
      <c r="E1383">
        <v>54</v>
      </c>
      <c r="F1383">
        <v>57</v>
      </c>
      <c r="G1383">
        <v>3</v>
      </c>
      <c r="H1383" s="1">
        <v>2.8935185185185184E-3</v>
      </c>
      <c r="I1383" t="s">
        <v>21</v>
      </c>
      <c r="J1383" s="2" t="str">
        <f>HYPERLINK("https://www.nba.com/stats/events?CFID=&amp;CFPARAMS=&amp;GameEventID=400&amp;GameID=0041800217&amp;Season=2018-19&amp;flag=1&amp;title=Leonard%201'%20Layup%20(21%20PTS)%20(Ibaka%202%20AST)", "Leonard 1' Layup (21 PTS) (Ibaka 2 AST)")</f>
        <v>Leonard 1' Layup (21 PTS) (Ibaka 2 AST)</v>
      </c>
      <c r="K1383" s="2" t="str">
        <f>HYPERLINK("https://www.nba.com/game/...-vs-...-0041800217/play-by-play?watchFullGame=true", "TOR vs PHI - Q3 04:10.00")</f>
        <v>TOR vs PHI - Q3 04:10.00</v>
      </c>
      <c r="L1383">
        <v>1</v>
      </c>
      <c r="M1383">
        <v>-8</v>
      </c>
      <c r="N1383">
        <v>10</v>
      </c>
      <c r="O1383">
        <v>-8</v>
      </c>
      <c r="P1383">
        <v>10</v>
      </c>
    </row>
    <row r="1384" spans="1:16" x14ac:dyDescent="0.25">
      <c r="A1384">
        <v>41300141</v>
      </c>
      <c r="B1384" t="s">
        <v>26</v>
      </c>
      <c r="C1384" t="s">
        <v>32</v>
      </c>
      <c r="D1384" t="s">
        <v>57</v>
      </c>
      <c r="E1384">
        <v>9</v>
      </c>
      <c r="F1384">
        <v>2</v>
      </c>
      <c r="G1384">
        <v>1</v>
      </c>
      <c r="H1384" s="1">
        <v>4.7916666666666663E-3</v>
      </c>
      <c r="I1384" t="s">
        <v>18</v>
      </c>
      <c r="J1384" s="2" t="str">
        <f>HYPERLINK("https://www.nba.com/stats/events?CFID=&amp;CFPARAMS=&amp;GameEventID=39&amp;GameID=0041300141&amp;Season=2013-14&amp;flag=1&amp;title=Leonard%201'%20Layup%20(2%20PTS)", "Leonard 1' Layup (2 PTS)")</f>
        <v>Leonard 1' Layup (2 PTS)</v>
      </c>
      <c r="K1384" s="2" t="str">
        <f>HYPERLINK("https://www.nba.com/game/...-vs-...-0041300141/play-by-play?watchFullGame=true", "SAS vs DAL - Q1 06:54.00")</f>
        <v>SAS vs DAL - Q1 06:54.00</v>
      </c>
      <c r="L1384">
        <v>1</v>
      </c>
      <c r="M1384">
        <v>-8</v>
      </c>
      <c r="N1384">
        <v>11</v>
      </c>
      <c r="O1384">
        <v>-8</v>
      </c>
      <c r="P1384">
        <v>11</v>
      </c>
    </row>
    <row r="1385" spans="1:16" x14ac:dyDescent="0.25">
      <c r="A1385">
        <v>21900626</v>
      </c>
      <c r="B1385">
        <v>2019</v>
      </c>
      <c r="C1385" t="s">
        <v>32</v>
      </c>
      <c r="D1385" t="s">
        <v>65</v>
      </c>
      <c r="E1385">
        <v>10</v>
      </c>
      <c r="F1385">
        <v>14</v>
      </c>
      <c r="G1385">
        <v>1</v>
      </c>
      <c r="H1385" s="1">
        <v>5.2314814814814811E-3</v>
      </c>
      <c r="I1385" t="s">
        <v>23</v>
      </c>
      <c r="J1385" s="2" t="str">
        <f>HYPERLINK("https://www.nba.com/stats/events?CFID=&amp;CFPARAMS=&amp;GameEventID=60&amp;GameID=0021900626&amp;Season=2019-20&amp;flag=1&amp;title=Leonard%20dunk%20(7%20PTS)%20(L.%20Shamet%201%20AST)", "Dunk (7 PTS) (L. Shamet 1 AST)")</f>
        <v>Dunk (7 PTS) (L. Shamet 1 AST)</v>
      </c>
      <c r="K1385" s="2" t="str">
        <f>HYPERLINK("https://www.nba.com/game/...-vs-...-0021900626/play-by-play?watchFullGame=true", "LAC vs NOP - Q1 07:32.00")</f>
        <v>LAC vs NOP - Q1 07:32.00</v>
      </c>
      <c r="L1385">
        <v>1.96</v>
      </c>
      <c r="M1385">
        <v>6.92</v>
      </c>
      <c r="N1385">
        <v>51.54</v>
      </c>
      <c r="O1385">
        <v>-8</v>
      </c>
      <c r="P1385">
        <v>13</v>
      </c>
    </row>
    <row r="1386" spans="1:16" x14ac:dyDescent="0.25">
      <c r="A1386">
        <v>21300589</v>
      </c>
      <c r="B1386">
        <v>2013</v>
      </c>
      <c r="C1386" t="s">
        <v>32</v>
      </c>
      <c r="D1386" t="s">
        <v>57</v>
      </c>
      <c r="E1386">
        <v>36</v>
      </c>
      <c r="F1386">
        <v>38</v>
      </c>
      <c r="G1386">
        <v>2</v>
      </c>
      <c r="H1386" s="1">
        <v>4.2708333333333331E-3</v>
      </c>
      <c r="I1386" t="s">
        <v>18</v>
      </c>
      <c r="J1386" s="2" t="str">
        <f>HYPERLINK("https://www.nba.com/stats/events?CFID=&amp;CFPARAMS=&amp;GameEventID=174&amp;GameID=0021300589&amp;Season=2013-14&amp;flag=1&amp;title=Leonard%202'%20Layup%20(7%20PTS)%20(Mills%201%20AST)", "Leonard 2' Layup (7 PTS) (Mills 1 AST)")</f>
        <v>Leonard 2' Layup (7 PTS) (Mills 1 AST)</v>
      </c>
      <c r="K1386" s="2" t="str">
        <f>HYPERLINK("https://www.nba.com/game/...-vs-...-0021300589/play-by-play?watchFullGame=true", "SAS vs POR - Q2 06:09.00")</f>
        <v>SAS vs POR - Q2 06:09.00</v>
      </c>
      <c r="L1386">
        <v>2</v>
      </c>
      <c r="M1386">
        <v>-8</v>
      </c>
      <c r="N1386">
        <v>14</v>
      </c>
      <c r="O1386">
        <v>-8</v>
      </c>
      <c r="P1386">
        <v>14</v>
      </c>
    </row>
    <row r="1387" spans="1:16" x14ac:dyDescent="0.25">
      <c r="A1387">
        <v>21301017</v>
      </c>
      <c r="B1387">
        <v>2013</v>
      </c>
      <c r="C1387" t="s">
        <v>32</v>
      </c>
      <c r="D1387" t="s">
        <v>62</v>
      </c>
      <c r="E1387">
        <v>2</v>
      </c>
      <c r="F1387">
        <v>4</v>
      </c>
      <c r="G1387">
        <v>1</v>
      </c>
      <c r="H1387" s="1">
        <v>7.8935185185185185E-3</v>
      </c>
      <c r="I1387" t="s">
        <v>18</v>
      </c>
      <c r="J1387" s="2" t="str">
        <f>HYPERLINK("https://www.nba.com/stats/events?CFID=&amp;CFPARAMS=&amp;GameEventID=4&amp;GameID=0021301017&amp;Season=2013-14&amp;flag=1&amp;title=Leonard%202'%20Dunk%20(2%20PTS)%20(Duncan%202%20AST)", "Leonard 2' Dunk (2 PTS) (Duncan 2 AST)")</f>
        <v>Leonard 2' Dunk (2 PTS) (Duncan 2 AST)</v>
      </c>
      <c r="K1387" s="2" t="str">
        <f>HYPERLINK("https://www.nba.com/game/...-vs-...-0021301017/play-by-play?watchFullGame=true", "SAS vs LAL - Q1 11:22.00")</f>
        <v>SAS vs LAL - Q1 11:22.00</v>
      </c>
      <c r="L1387">
        <v>2</v>
      </c>
      <c r="M1387">
        <v>-8</v>
      </c>
      <c r="N1387">
        <v>15</v>
      </c>
      <c r="O1387">
        <v>-8</v>
      </c>
      <c r="P1387">
        <v>15</v>
      </c>
    </row>
    <row r="1388" spans="1:16" x14ac:dyDescent="0.25">
      <c r="A1388">
        <v>22000289</v>
      </c>
      <c r="B1388">
        <v>2020</v>
      </c>
      <c r="C1388" t="s">
        <v>32</v>
      </c>
      <c r="D1388" t="s">
        <v>47</v>
      </c>
      <c r="E1388">
        <v>69</v>
      </c>
      <c r="F1388">
        <v>86</v>
      </c>
      <c r="G1388">
        <v>3</v>
      </c>
      <c r="H1388" s="1">
        <v>1.0763888888888889E-3</v>
      </c>
      <c r="I1388" t="s">
        <v>23</v>
      </c>
      <c r="J1388" s="2" t="str">
        <f>HYPERLINK("https://www.nba.com/stats/events?CFID=&amp;CFPARAMS=&amp;GameEventID=442&amp;GameID=0022000289&amp;Season=2020-21&amp;flag=1&amp;title=Leonard%20driving%20finger%20roll%20Layup%20(24%20PTS)", "Driving finger roll Layup (24 PTS)")</f>
        <v>Driving finger roll Layup (24 PTS)</v>
      </c>
      <c r="K1388" s="2" t="str">
        <f>HYPERLINK("https://www.nba.com/game/...-vs-...-0022000289/play-by-play?watchFullGame=true", "LAC vs ORL - Q3 01:33.00")</f>
        <v>LAC vs ORL - Q3 01:33.00</v>
      </c>
      <c r="L1388">
        <v>1.69</v>
      </c>
      <c r="M1388">
        <v>7.18</v>
      </c>
      <c r="N1388">
        <v>51.54</v>
      </c>
      <c r="O1388">
        <v>-8</v>
      </c>
      <c r="P1388">
        <v>15</v>
      </c>
    </row>
    <row r="1389" spans="1:16" x14ac:dyDescent="0.25">
      <c r="A1389">
        <v>21600003</v>
      </c>
      <c r="B1389">
        <v>2016</v>
      </c>
      <c r="C1389" t="s">
        <v>32</v>
      </c>
      <c r="D1389" t="s">
        <v>71</v>
      </c>
      <c r="E1389">
        <v>52</v>
      </c>
      <c r="F1389">
        <v>66</v>
      </c>
      <c r="G1389">
        <v>3</v>
      </c>
      <c r="H1389" s="1">
        <v>7.2569444444444443E-3</v>
      </c>
      <c r="I1389" t="s">
        <v>18</v>
      </c>
      <c r="J1389" s="2" t="str">
        <f>HYPERLINK("https://www.nba.com/stats/events?CFID=&amp;CFPARAMS=&amp;GameEventID=275&amp;GameID=0021600003&amp;Season=2016-17&amp;flag=1&amp;title=Leonard%202'%20Tip%20Layup%20Shot%20(20%20PTS)", "Leonard 2' Tip Layup Shot (20 PTS)")</f>
        <v>Leonard 2' Tip Layup Shot (20 PTS)</v>
      </c>
      <c r="K1389" s="2" t="str">
        <f>HYPERLINK("https://www.nba.com/game/...-vs-...-0021600003/play-by-play?watchFullGame=true", "SAS vs GSW - Q3 10:27.00")</f>
        <v>SAS vs GSW - Q3 10:27.00</v>
      </c>
      <c r="L1389">
        <v>2</v>
      </c>
      <c r="M1389">
        <v>-8</v>
      </c>
      <c r="N1389">
        <v>15</v>
      </c>
      <c r="O1389">
        <v>-8</v>
      </c>
      <c r="P1389">
        <v>15</v>
      </c>
    </row>
    <row r="1390" spans="1:16" x14ac:dyDescent="0.25">
      <c r="A1390">
        <v>21900339</v>
      </c>
      <c r="B1390">
        <v>2019</v>
      </c>
      <c r="C1390" t="s">
        <v>32</v>
      </c>
      <c r="D1390" t="s">
        <v>50</v>
      </c>
      <c r="E1390">
        <v>109</v>
      </c>
      <c r="F1390">
        <v>119</v>
      </c>
      <c r="G1390">
        <v>4</v>
      </c>
      <c r="H1390" s="1">
        <v>3.7499999999999999E-3</v>
      </c>
      <c r="I1390" t="s">
        <v>23</v>
      </c>
      <c r="J1390" s="2" t="str">
        <f>HYPERLINK("https://www.nba.com/stats/events?CFID=&amp;CFPARAMS=&amp;GameEventID=645&amp;GameID=0021900339&amp;Season=2019-20&amp;flag=1&amp;title=Leonard%20layup%20(28%20PTS)", "Layup (28 PTS)")</f>
        <v>Layup (28 PTS)</v>
      </c>
      <c r="K1390" s="2" t="str">
        <f>HYPERLINK("https://www.nba.com/game/...-vs-...-0021900339/play-by-play?watchFullGame=true", "LAC vs WAS - Q4 05:24.00")</f>
        <v>LAC vs WAS - Q4 05:24.00</v>
      </c>
      <c r="L1390">
        <v>2.1800000000000002</v>
      </c>
      <c r="M1390">
        <v>7.15</v>
      </c>
      <c r="N1390">
        <v>51.65</v>
      </c>
      <c r="O1390">
        <v>-8</v>
      </c>
      <c r="P1390">
        <v>15</v>
      </c>
    </row>
    <row r="1391" spans="1:16" x14ac:dyDescent="0.25">
      <c r="A1391">
        <v>41800216</v>
      </c>
      <c r="B1391" t="s">
        <v>20</v>
      </c>
      <c r="C1391" t="s">
        <v>32</v>
      </c>
      <c r="D1391" t="s">
        <v>67</v>
      </c>
      <c r="E1391">
        <v>69</v>
      </c>
      <c r="F1391">
        <v>58</v>
      </c>
      <c r="G1391">
        <v>3</v>
      </c>
      <c r="H1391" s="1">
        <v>4.2708333333333331E-3</v>
      </c>
      <c r="I1391" t="s">
        <v>21</v>
      </c>
      <c r="J1391" s="2" t="str">
        <f>HYPERLINK("https://www.nba.com/stats/events?CFID=&amp;CFPARAMS=&amp;GameEventID=387&amp;GameID=0041800216&amp;Season=2018-19&amp;flag=1&amp;title=Leonard%202'%20Driving%20Dunk%20(20%20PTS)", "Leonard 2' Driving Dunk (20 PTS)")</f>
        <v>Leonard 2' Driving Dunk (20 PTS)</v>
      </c>
      <c r="K1391" s="2" t="str">
        <f>HYPERLINK("https://www.nba.com/game/...-vs-...-0041800216/play-by-play?watchFullGame=true", "TOR vs PHI - Q3 06:09.00")</f>
        <v>TOR vs PHI - Q3 06:09.00</v>
      </c>
      <c r="L1391">
        <v>2</v>
      </c>
      <c r="M1391">
        <v>-8</v>
      </c>
      <c r="N1391">
        <v>17</v>
      </c>
      <c r="O1391">
        <v>-8</v>
      </c>
      <c r="P1391">
        <v>17</v>
      </c>
    </row>
    <row r="1392" spans="1:16" x14ac:dyDescent="0.25">
      <c r="A1392">
        <v>22000002</v>
      </c>
      <c r="B1392">
        <v>2020</v>
      </c>
      <c r="C1392" t="s">
        <v>32</v>
      </c>
      <c r="D1392" t="s">
        <v>47</v>
      </c>
      <c r="E1392">
        <v>30</v>
      </c>
      <c r="F1392">
        <v>43</v>
      </c>
      <c r="G1392">
        <v>2</v>
      </c>
      <c r="H1392" s="1">
        <v>3.9236111111111112E-3</v>
      </c>
      <c r="I1392" t="s">
        <v>23</v>
      </c>
      <c r="J1392" s="2" t="str">
        <f>HYPERLINK("https://www.nba.com/stats/events?CFID=&amp;CFPARAMS=&amp;GameEventID=273&amp;GameID=0022000002&amp;Season=2020-21&amp;flag=1&amp;title=Leonard%20driving%20Layup%20(10%20PTS)%20(P.%20Beverley%201%20AST)", "Driving Layup (10 PTS) (P. Beverley 1 AST)")</f>
        <v>Driving Layup (10 PTS) (P. Beverley 1 AST)</v>
      </c>
      <c r="K1392" s="2" t="str">
        <f>HYPERLINK("https://www.nba.com/game/...-vs-...-0022000002/play-by-play?watchFullGame=true", "LAC vs LAL - Q2 05:39.00")</f>
        <v>LAC vs LAL - Q2 05:39.00</v>
      </c>
      <c r="L1392">
        <v>3.19</v>
      </c>
      <c r="M1392">
        <v>8.89</v>
      </c>
      <c r="N1392">
        <v>51.54</v>
      </c>
      <c r="O1392">
        <v>-8</v>
      </c>
      <c r="P1392">
        <v>31</v>
      </c>
    </row>
    <row r="1393" spans="1:16" x14ac:dyDescent="0.25">
      <c r="A1393">
        <v>41200405</v>
      </c>
      <c r="B1393" t="s">
        <v>27</v>
      </c>
      <c r="C1393" t="s">
        <v>32</v>
      </c>
      <c r="D1393" t="s">
        <v>37</v>
      </c>
      <c r="E1393">
        <v>36</v>
      </c>
      <c r="F1393">
        <v>22</v>
      </c>
      <c r="G1393">
        <v>2</v>
      </c>
      <c r="H1393" s="1">
        <v>7.0717592592592594E-3</v>
      </c>
      <c r="I1393" t="s">
        <v>18</v>
      </c>
      <c r="J1393" s="2" t="str">
        <f>HYPERLINK("https://www.nba.com/stats/events?CFID=&amp;CFPARAMS=&amp;GameEventID=143&amp;GameID=0041200405&amp;Season=2012-13&amp;flag=1&amp;title=Leonard%208'%20Floating%20Jump%20Shot%20(9%20PTS)", "Leonard 8' Floating Jump Shot (9 PTS)")</f>
        <v>Leonard 8' Floating Jump Shot (9 PTS)</v>
      </c>
      <c r="K1393" s="2" t="str">
        <f>HYPERLINK("https://www.nba.com/game/...-vs-...-0041200405/play-by-play?watchFullGame=true", "SAS vs MIA - Q2 10:11.00")</f>
        <v>SAS vs MIA - Q2 10:11.00</v>
      </c>
      <c r="L1393">
        <v>8</v>
      </c>
      <c r="M1393">
        <v>-8</v>
      </c>
      <c r="N1393">
        <v>77</v>
      </c>
      <c r="O1393">
        <v>-8</v>
      </c>
      <c r="P1393">
        <v>77</v>
      </c>
    </row>
    <row r="1394" spans="1:16" x14ac:dyDescent="0.25">
      <c r="A1394">
        <v>22000660</v>
      </c>
      <c r="B1394">
        <v>2020</v>
      </c>
      <c r="C1394" t="s">
        <v>32</v>
      </c>
      <c r="D1394" t="s">
        <v>44</v>
      </c>
      <c r="E1394">
        <v>38</v>
      </c>
      <c r="F1394">
        <v>44</v>
      </c>
      <c r="G1394">
        <v>2</v>
      </c>
      <c r="H1394" s="1">
        <v>4.0046296296296297E-3</v>
      </c>
      <c r="I1394" t="s">
        <v>23</v>
      </c>
      <c r="J1394" s="2" t="str">
        <f>HYPERLINK("https://www.nba.com/stats/events?CFID=&amp;CFPARAMS=&amp;GameEventID=239&amp;GameID=0022000660&amp;Season=2020-21&amp;flag=1&amp;title=Leonard%208'%20turnaround%20Hook%20(4%20PTS)", "8' turnaround Hook (4 PTS)")</f>
        <v>8' turnaround Hook (4 PTS)</v>
      </c>
      <c r="K1394" s="2" t="str">
        <f>HYPERLINK("https://www.nba.com/game/...-vs-...-0022000660/play-by-play?watchFullGame=true", "LAC vs ATL - Q2 05:46.00")</f>
        <v>LAC vs ATL - Q2 05:46.00</v>
      </c>
      <c r="L1394">
        <v>8.67</v>
      </c>
      <c r="M1394">
        <v>14.77</v>
      </c>
      <c r="N1394">
        <v>51.65</v>
      </c>
      <c r="O1394">
        <v>-8</v>
      </c>
      <c r="P1394">
        <v>86</v>
      </c>
    </row>
    <row r="1395" spans="1:16" x14ac:dyDescent="0.25">
      <c r="A1395">
        <v>21301030</v>
      </c>
      <c r="B1395">
        <v>2013</v>
      </c>
      <c r="C1395" t="s">
        <v>32</v>
      </c>
      <c r="D1395" t="s">
        <v>19</v>
      </c>
      <c r="E1395">
        <v>4</v>
      </c>
      <c r="F1395">
        <v>6</v>
      </c>
      <c r="G1395">
        <v>1</v>
      </c>
      <c r="H1395" s="1">
        <v>6.7939814814814816E-3</v>
      </c>
      <c r="I1395" t="s">
        <v>18</v>
      </c>
      <c r="J1395" s="2" t="str">
        <f>HYPERLINK("https://www.nba.com/stats/events?CFID=&amp;CFPARAMS=&amp;GameEventID=16&amp;GameID=0021301030&amp;Season=2013-14&amp;flag=1&amp;title=Leonard%2011'%20Jump%20Shot%20(4%20PTS)", "Leonard 11' Jump Shot (4 PTS)")</f>
        <v>Leonard 11' Jump Shot (4 PTS)</v>
      </c>
      <c r="K1395" s="2" t="str">
        <f>HYPERLINK("https://www.nba.com/game/...-vs-...-0021301030/play-by-play?watchFullGame=true", "SAS vs SAC - Q1 09:47.00")</f>
        <v>SAS vs SAC - Q1 09:47.00</v>
      </c>
      <c r="L1395">
        <v>11</v>
      </c>
      <c r="M1395">
        <v>-8</v>
      </c>
      <c r="N1395">
        <v>107</v>
      </c>
      <c r="O1395">
        <v>-8</v>
      </c>
      <c r="P1395">
        <v>107</v>
      </c>
    </row>
    <row r="1396" spans="1:16" x14ac:dyDescent="0.25">
      <c r="A1396">
        <v>22000105</v>
      </c>
      <c r="B1396">
        <v>2020</v>
      </c>
      <c r="C1396" t="s">
        <v>32</v>
      </c>
      <c r="D1396" t="s">
        <v>19</v>
      </c>
      <c r="E1396">
        <v>9</v>
      </c>
      <c r="F1396">
        <v>16</v>
      </c>
      <c r="G1396">
        <v>1</v>
      </c>
      <c r="H1396" s="1">
        <v>4.1435185185185186E-3</v>
      </c>
      <c r="I1396" t="s">
        <v>23</v>
      </c>
      <c r="J1396" s="2" t="str">
        <f>HYPERLINK("https://www.nba.com/stats/events?CFID=&amp;CFPARAMS=&amp;GameEventID=59&amp;GameID=0022000105&amp;Season=2020-21&amp;flag=1&amp;title=Leonard%2012'%20fadeaway%20Jump%20Shot%20(4%20PTS)", "12' fadeaway Jump Shot (4 PTS)")</f>
        <v>12' fadeaway Jump Shot (4 PTS)</v>
      </c>
      <c r="K1396" s="2" t="str">
        <f>HYPERLINK("https://www.nba.com/game/...-vs-...-0022000105/play-by-play?watchFullGame=true", "LAC vs SAS - Q1 05:58.00")</f>
        <v>LAC vs SAS - Q1 05:58.00</v>
      </c>
      <c r="L1396">
        <v>12.76</v>
      </c>
      <c r="M1396">
        <v>19.14</v>
      </c>
      <c r="N1396">
        <v>51.54</v>
      </c>
      <c r="O1396">
        <v>-8</v>
      </c>
      <c r="P1396">
        <v>127</v>
      </c>
    </row>
    <row r="1397" spans="1:16" x14ac:dyDescent="0.25">
      <c r="A1397">
        <v>22000554</v>
      </c>
      <c r="B1397">
        <v>2020</v>
      </c>
      <c r="C1397" t="s">
        <v>16</v>
      </c>
      <c r="D1397" t="s">
        <v>19</v>
      </c>
      <c r="E1397">
        <v>116</v>
      </c>
      <c r="F1397">
        <v>115</v>
      </c>
      <c r="G1397">
        <v>4</v>
      </c>
      <c r="H1397" s="1">
        <v>1.8171296296296295E-4</v>
      </c>
      <c r="I1397" t="s">
        <v>23</v>
      </c>
      <c r="J1397" s="2" t="str">
        <f>HYPERLINK("https://www.nba.com/stats/events?CFID=&amp;CFPARAMS=&amp;GameEventID=712&amp;GameID=0022000554&amp;Season=2020-21&amp;flag=1&amp;title=Leonard%2026'%203PT%20pullup%20(22%20PTS)", "26' 3PT pullup (22 PTS)")</f>
        <v>26' 3PT pullup (22 PTS)</v>
      </c>
      <c r="K1397" s="2" t="str">
        <f>HYPERLINK("https://www.nba.com/game/...-vs-...-0022000554/play-by-play?watchFullGame=true", "LAC vs WAS - Q4 00:15.70")</f>
        <v>LAC vs WAS - Q4 00:15.70</v>
      </c>
      <c r="L1397">
        <v>26.06</v>
      </c>
      <c r="M1397">
        <v>66.7</v>
      </c>
      <c r="N1397">
        <v>48.35</v>
      </c>
      <c r="O1397">
        <v>-8</v>
      </c>
      <c r="P1397">
        <v>260</v>
      </c>
    </row>
    <row r="1398" spans="1:16" x14ac:dyDescent="0.25">
      <c r="A1398">
        <v>41500232</v>
      </c>
      <c r="B1398" t="s">
        <v>25</v>
      </c>
      <c r="C1398" t="s">
        <v>32</v>
      </c>
      <c r="D1398" t="s">
        <v>49</v>
      </c>
      <c r="E1398">
        <v>60</v>
      </c>
      <c r="F1398">
        <v>66</v>
      </c>
      <c r="G1398">
        <v>3</v>
      </c>
      <c r="H1398" s="1">
        <v>5.37037037037037E-3</v>
      </c>
      <c r="I1398" t="s">
        <v>18</v>
      </c>
      <c r="J1398" s="2" t="str">
        <f>HYPERLINK("https://www.nba.com/stats/events?CFID=&amp;CFPARAMS=&amp;GameEventID=296&amp;GameID=0041500232&amp;Season=2015-16&amp;flag=1&amp;title=Leonard%201'%20Driving%20Layup%20(10%20PTS)%20(Green%201%20AST)", "Leonard 1' Driving Layup (10 PTS) (Green 1 AST)")</f>
        <v>Leonard 1' Driving Layup (10 PTS) (Green 1 AST)</v>
      </c>
      <c r="K1398" s="2" t="str">
        <f>HYPERLINK("https://www.nba.com/game/...-vs-...-0041500232/play-by-play?watchFullGame=true", "SAS vs OKC - Q3 07:44.00")</f>
        <v>SAS vs OKC - Q3 07:44.00</v>
      </c>
      <c r="L1398">
        <v>1</v>
      </c>
      <c r="M1398">
        <v>-7</v>
      </c>
      <c r="N1398">
        <v>-10</v>
      </c>
      <c r="O1398">
        <v>-7</v>
      </c>
      <c r="P1398">
        <v>-10</v>
      </c>
    </row>
    <row r="1399" spans="1:16" x14ac:dyDescent="0.25">
      <c r="A1399">
        <v>21601011</v>
      </c>
      <c r="B1399">
        <v>2016</v>
      </c>
      <c r="C1399" t="s">
        <v>32</v>
      </c>
      <c r="D1399" t="s">
        <v>51</v>
      </c>
      <c r="E1399">
        <v>93</v>
      </c>
      <c r="F1399">
        <v>98</v>
      </c>
      <c r="G1399">
        <v>4</v>
      </c>
      <c r="H1399" s="1">
        <v>4.0393518518518521E-3</v>
      </c>
      <c r="I1399" t="s">
        <v>18</v>
      </c>
      <c r="J1399" s="2" t="str">
        <f>HYPERLINK("https://www.nba.com/stats/events?CFID=&amp;CFPARAMS=&amp;GameEventID=419&amp;GameID=0021601011&amp;Season=2016-17&amp;flag=1&amp;title=Leonard%201'%20Reverse%20Layup%20(32%20PTS)%20(Aldridge%204%20AST)", "Leonard 1' Reverse Layup (32 PTS) (Aldridge 4 AST)")</f>
        <v>Leonard 1' Reverse Layup (32 PTS) (Aldridge 4 AST)</v>
      </c>
      <c r="K1399" s="2" t="str">
        <f>HYPERLINK("https://www.nba.com/game/...-vs-...-0021601011/play-by-play?watchFullGame=true", "SAS vs POR - Q4 05:49.00")</f>
        <v>SAS vs POR - Q4 05:49.00</v>
      </c>
      <c r="L1399">
        <v>1</v>
      </c>
      <c r="M1399">
        <v>-7</v>
      </c>
      <c r="N1399">
        <v>-6</v>
      </c>
      <c r="O1399">
        <v>-7</v>
      </c>
      <c r="P1399">
        <v>-6</v>
      </c>
    </row>
    <row r="1400" spans="1:16" x14ac:dyDescent="0.25">
      <c r="A1400">
        <v>21300604</v>
      </c>
      <c r="B1400">
        <v>2013</v>
      </c>
      <c r="C1400" t="s">
        <v>32</v>
      </c>
      <c r="D1400" t="s">
        <v>67</v>
      </c>
      <c r="E1400">
        <v>60</v>
      </c>
      <c r="F1400">
        <v>41</v>
      </c>
      <c r="G1400">
        <v>3</v>
      </c>
      <c r="H1400" s="1">
        <v>6.3425925925925924E-3</v>
      </c>
      <c r="I1400" t="s">
        <v>18</v>
      </c>
      <c r="J1400" s="2" t="str">
        <f>HYPERLINK("https://www.nba.com/stats/events?CFID=&amp;CFPARAMS=&amp;GameEventID=263&amp;GameID=0021300604&amp;Season=2013-14&amp;flag=1&amp;title=Leonard%201'%20Driving%20Dunk%20(9%20PTS)%20(Diaw%202%20AST)", "Leonard 1' Driving Dunk (9 PTS) (Diaw 2 AST)")</f>
        <v>Leonard 1' Driving Dunk (9 PTS) (Diaw 2 AST)</v>
      </c>
      <c r="K1400" s="2" t="str">
        <f>HYPERLINK("https://www.nba.com/game/...-vs-...-0021300604/play-by-play?watchFullGame=true", "SAS vs MIL - Q3 09:08.00")</f>
        <v>SAS vs MIL - Q3 09:08.00</v>
      </c>
      <c r="L1400">
        <v>1</v>
      </c>
      <c r="M1400">
        <v>-7</v>
      </c>
      <c r="N1400">
        <v>-2</v>
      </c>
      <c r="O1400">
        <v>-7</v>
      </c>
      <c r="P1400">
        <v>-2</v>
      </c>
    </row>
    <row r="1401" spans="1:16" x14ac:dyDescent="0.25">
      <c r="A1401">
        <v>21600744</v>
      </c>
      <c r="B1401">
        <v>2016</v>
      </c>
      <c r="C1401" t="s">
        <v>32</v>
      </c>
      <c r="D1401" t="s">
        <v>71</v>
      </c>
      <c r="E1401">
        <v>17</v>
      </c>
      <c r="F1401">
        <v>12</v>
      </c>
      <c r="G1401">
        <v>1</v>
      </c>
      <c r="H1401" s="1">
        <v>3.0902777777777777E-3</v>
      </c>
      <c r="I1401" t="s">
        <v>18</v>
      </c>
      <c r="J1401" s="2" t="str">
        <f>HYPERLINK("https://www.nba.com/stats/events?CFID=&amp;CFPARAMS=&amp;GameEventID=88&amp;GameID=0021600744&amp;Season=2016-17&amp;flag=1&amp;title=Leonard%201'%20Tip%20Layup%20Shot%20(4%20PTS)", "Leonard 1' Tip Layup Shot (4 PTS)")</f>
        <v>Leonard 1' Tip Layup Shot (4 PTS)</v>
      </c>
      <c r="K1401" s="2" t="str">
        <f>HYPERLINK("https://www.nba.com/game/...-vs-...-0021600744/play-by-play?watchFullGame=true", "SAS vs PHI - Q1 04:27.00")</f>
        <v>SAS vs PHI - Q1 04:27.00</v>
      </c>
      <c r="L1401">
        <v>1</v>
      </c>
      <c r="M1401">
        <v>-7</v>
      </c>
      <c r="N1401">
        <v>-1</v>
      </c>
      <c r="O1401">
        <v>-7</v>
      </c>
      <c r="P1401">
        <v>-1</v>
      </c>
    </row>
    <row r="1402" spans="1:16" x14ac:dyDescent="0.25">
      <c r="A1402">
        <v>41300225</v>
      </c>
      <c r="B1402" t="s">
        <v>26</v>
      </c>
      <c r="C1402" t="s">
        <v>32</v>
      </c>
      <c r="D1402" t="s">
        <v>49</v>
      </c>
      <c r="E1402">
        <v>4</v>
      </c>
      <c r="F1402">
        <v>0</v>
      </c>
      <c r="G1402">
        <v>1</v>
      </c>
      <c r="H1402" s="1">
        <v>7.060185185185185E-3</v>
      </c>
      <c r="I1402" t="s">
        <v>18</v>
      </c>
      <c r="J1402" s="2" t="str">
        <f>HYPERLINK("https://www.nba.com/stats/events?CFID=&amp;CFPARAMS=&amp;GameEventID=11&amp;GameID=0041300225&amp;Season=2013-14&amp;flag=1&amp;title=Leonard%201'%20Driving%20Layup%20(2%20PTS)", "Leonard 1' Driving Layup (2 PTS)")</f>
        <v>Leonard 1' Driving Layup (2 PTS)</v>
      </c>
      <c r="K1402" s="2" t="str">
        <f>HYPERLINK("https://www.nba.com/game/...-vs-...-0041300225/play-by-play?watchFullGame=true", "SAS vs POR - Q1 10:10.00")</f>
        <v>SAS vs POR - Q1 10:10.00</v>
      </c>
      <c r="L1402">
        <v>1</v>
      </c>
      <c r="M1402">
        <v>-7</v>
      </c>
      <c r="N1402">
        <v>0</v>
      </c>
      <c r="O1402">
        <v>-7</v>
      </c>
      <c r="P1402">
        <v>0</v>
      </c>
    </row>
    <row r="1403" spans="1:16" x14ac:dyDescent="0.25">
      <c r="A1403">
        <v>21600588</v>
      </c>
      <c r="B1403">
        <v>2016</v>
      </c>
      <c r="C1403" t="s">
        <v>32</v>
      </c>
      <c r="D1403" t="s">
        <v>61</v>
      </c>
      <c r="E1403">
        <v>67</v>
      </c>
      <c r="F1403">
        <v>51</v>
      </c>
      <c r="G1403">
        <v>2</v>
      </c>
      <c r="H1403" s="1">
        <v>5.6828703703703707E-4</v>
      </c>
      <c r="I1403" t="s">
        <v>18</v>
      </c>
      <c r="J1403" s="2" t="str">
        <f>HYPERLINK("https://www.nba.com/stats/events?CFID=&amp;CFPARAMS=&amp;GameEventID=272&amp;GameID=0021600588&amp;Season=2016-17&amp;flag=1&amp;title=Leonard%201'%20Driving%20Finger%20Roll%20Layup%20(18%20PTS)", "Leonard 1' Driving Finger Roll Layup (18 PTS)")</f>
        <v>Leonard 1' Driving Finger Roll Layup (18 PTS)</v>
      </c>
      <c r="K1403" s="2" t="str">
        <f>HYPERLINK("https://www.nba.com/game/...-vs-...-0021600588/play-by-play?watchFullGame=true", "SAS vs LAL - Q2 00:49.10")</f>
        <v>SAS vs LAL - Q2 00:49.10</v>
      </c>
      <c r="L1403">
        <v>1</v>
      </c>
      <c r="M1403">
        <v>-7</v>
      </c>
      <c r="N1403">
        <v>2</v>
      </c>
      <c r="O1403">
        <v>-7</v>
      </c>
      <c r="P1403">
        <v>2</v>
      </c>
    </row>
    <row r="1404" spans="1:16" x14ac:dyDescent="0.25">
      <c r="A1404">
        <v>21300932</v>
      </c>
      <c r="B1404">
        <v>2013</v>
      </c>
      <c r="C1404" t="s">
        <v>32</v>
      </c>
      <c r="D1404" t="s">
        <v>62</v>
      </c>
      <c r="E1404">
        <v>39</v>
      </c>
      <c r="F1404">
        <v>37</v>
      </c>
      <c r="G1404">
        <v>2</v>
      </c>
      <c r="H1404" s="1">
        <v>5.7175925925925927E-3</v>
      </c>
      <c r="I1404" t="s">
        <v>18</v>
      </c>
      <c r="J1404" s="2" t="str">
        <f>HYPERLINK("https://www.nba.com/stats/events?CFID=&amp;CFPARAMS=&amp;GameEventID=153&amp;GameID=0021300932&amp;Season=2013-14&amp;flag=1&amp;title=Leonard%201'%20Dunk%20(5%20PTS)%20(Diaw%201%20AST)", "Leonard 1' Dunk (5 PTS) (Diaw 1 AST)")</f>
        <v>Leonard 1' Dunk (5 PTS) (Diaw 1 AST)</v>
      </c>
      <c r="K1404" s="2" t="str">
        <f>HYPERLINK("https://www.nba.com/game/...-vs-...-0021300932/play-by-play?watchFullGame=true", "SAS vs ORL - Q2 08:14.00")</f>
        <v>SAS vs ORL - Q2 08:14.00</v>
      </c>
      <c r="L1404">
        <v>1</v>
      </c>
      <c r="M1404">
        <v>-7</v>
      </c>
      <c r="N1404">
        <v>3</v>
      </c>
      <c r="O1404">
        <v>-7</v>
      </c>
      <c r="P1404">
        <v>3</v>
      </c>
    </row>
    <row r="1405" spans="1:16" x14ac:dyDescent="0.25">
      <c r="A1405">
        <v>41800305</v>
      </c>
      <c r="B1405" t="s">
        <v>20</v>
      </c>
      <c r="C1405" t="s">
        <v>32</v>
      </c>
      <c r="D1405" t="s">
        <v>56</v>
      </c>
      <c r="E1405">
        <v>75</v>
      </c>
      <c r="F1405">
        <v>74</v>
      </c>
      <c r="G1405">
        <v>4</v>
      </c>
      <c r="H1405" s="1">
        <v>7.5694444444444446E-3</v>
      </c>
      <c r="I1405" t="s">
        <v>21</v>
      </c>
      <c r="J1405" s="2" t="str">
        <f>HYPERLINK("https://www.nba.com/stats/events?CFID=&amp;CFPARAMS=&amp;GameEventID=495&amp;GameID=0041800305&amp;Season=2018-19&amp;flag=1&amp;title=Leonard%201'%20Running%20Layup%20(22%20PTS)", "Leonard 1' Running Layup (22 PTS)")</f>
        <v>Leonard 1' Running Layup (22 PTS)</v>
      </c>
      <c r="K1405" s="2" t="str">
        <f>HYPERLINK("https://www.nba.com/game/...-vs-...-0041800305/play-by-play?watchFullGame=true", "TOR vs MIL - Q4 10:54.00")</f>
        <v>TOR vs MIL - Q4 10:54.00</v>
      </c>
      <c r="L1405">
        <v>1</v>
      </c>
      <c r="M1405">
        <v>-7</v>
      </c>
      <c r="N1405">
        <v>4</v>
      </c>
      <c r="O1405">
        <v>-7</v>
      </c>
      <c r="P1405">
        <v>4</v>
      </c>
    </row>
    <row r="1406" spans="1:16" x14ac:dyDescent="0.25">
      <c r="A1406">
        <v>21401084</v>
      </c>
      <c r="B1406">
        <v>2014</v>
      </c>
      <c r="C1406" t="s">
        <v>32</v>
      </c>
      <c r="D1406" t="s">
        <v>52</v>
      </c>
      <c r="E1406">
        <v>15</v>
      </c>
      <c r="F1406">
        <v>9</v>
      </c>
      <c r="G1406">
        <v>1</v>
      </c>
      <c r="H1406" s="1">
        <v>3.8657407407407408E-3</v>
      </c>
      <c r="I1406" t="s">
        <v>18</v>
      </c>
      <c r="J1406" s="2" t="str">
        <f>HYPERLINK("https://www.nba.com/stats/events?CFID=&amp;CFPARAMS=&amp;GameEventID=59&amp;GameID=0021401084&amp;Season=2014-15&amp;flag=1&amp;title=Leonard%201'%20Alley%20Oop%20Layup%20(5%20PTS)%20(Parker%201%20AST)", "Leonard 1' Alley Oop Layup (5 PTS) (Parker 1 AST)")</f>
        <v>Leonard 1' Alley Oop Layup (5 PTS) (Parker 1 AST)</v>
      </c>
      <c r="K1406" s="2" t="str">
        <f>HYPERLINK("https://www.nba.com/game/...-vs-...-0021401084/play-by-play?watchFullGame=true", "SAS vs DAL - Q1 05:34.00")</f>
        <v>SAS vs DAL - Q1 05:34.00</v>
      </c>
      <c r="L1406">
        <v>1</v>
      </c>
      <c r="M1406">
        <v>-7</v>
      </c>
      <c r="N1406">
        <v>4</v>
      </c>
      <c r="O1406">
        <v>-7</v>
      </c>
      <c r="P1406">
        <v>4</v>
      </c>
    </row>
    <row r="1407" spans="1:16" x14ac:dyDescent="0.25">
      <c r="A1407">
        <v>21400102</v>
      </c>
      <c r="B1407">
        <v>2014</v>
      </c>
      <c r="C1407" t="s">
        <v>32</v>
      </c>
      <c r="D1407" t="s">
        <v>57</v>
      </c>
      <c r="E1407">
        <v>57</v>
      </c>
      <c r="F1407">
        <v>54</v>
      </c>
      <c r="G1407">
        <v>3</v>
      </c>
      <c r="H1407" s="1">
        <v>4.6874999999999998E-3</v>
      </c>
      <c r="I1407" t="s">
        <v>18</v>
      </c>
      <c r="J1407" s="2" t="str">
        <f>HYPERLINK("https://www.nba.com/stats/events?CFID=&amp;CFPARAMS=&amp;GameEventID=290&amp;GameID=0021400102&amp;Season=2014-15&amp;flag=1&amp;title=Leonard%201'%20Layup%20(22%20PTS)", "Leonard 1' Layup (22 PTS)")</f>
        <v>Leonard 1' Layup (22 PTS)</v>
      </c>
      <c r="K1407" s="2" t="str">
        <f>HYPERLINK("https://www.nba.com/game/...-vs-...-0021400102/play-by-play?watchFullGame=true", "SAS vs LAC - Q3 06:45.00")</f>
        <v>SAS vs LAC - Q3 06:45.00</v>
      </c>
      <c r="L1407">
        <v>1</v>
      </c>
      <c r="M1407">
        <v>-7</v>
      </c>
      <c r="N1407">
        <v>4</v>
      </c>
      <c r="O1407">
        <v>-7</v>
      </c>
      <c r="P1407">
        <v>4</v>
      </c>
    </row>
    <row r="1408" spans="1:16" x14ac:dyDescent="0.25">
      <c r="A1408">
        <v>21300224</v>
      </c>
      <c r="B1408">
        <v>2013</v>
      </c>
      <c r="C1408" t="s">
        <v>32</v>
      </c>
      <c r="D1408" t="s">
        <v>62</v>
      </c>
      <c r="E1408">
        <v>34</v>
      </c>
      <c r="F1408">
        <v>36</v>
      </c>
      <c r="G1408">
        <v>2</v>
      </c>
      <c r="H1408" s="1">
        <v>3.3217592592592591E-3</v>
      </c>
      <c r="I1408" t="s">
        <v>18</v>
      </c>
      <c r="J1408" s="2" t="str">
        <f>HYPERLINK("https://www.nba.com/stats/events?CFID=&amp;CFPARAMS=&amp;GameEventID=181&amp;GameID=0021300224&amp;Season=2013-14&amp;flag=1&amp;title=Leonard%201'%20Dunk%20(9%20PTS)%20(Belinelli%202%20AST)", "Leonard 1' Dunk (9 PTS) (Belinelli 2 AST)")</f>
        <v>Leonard 1' Dunk (9 PTS) (Belinelli 2 AST)</v>
      </c>
      <c r="K1408" s="2" t="str">
        <f>HYPERLINK("https://www.nba.com/game/...-vs-...-0021300224/play-by-play?watchFullGame=true", "SAS vs OKC - Q2 04:47.00")</f>
        <v>SAS vs OKC - Q2 04:47.00</v>
      </c>
      <c r="L1408">
        <v>1</v>
      </c>
      <c r="M1408">
        <v>-7</v>
      </c>
      <c r="N1408">
        <v>4</v>
      </c>
      <c r="O1408">
        <v>-7</v>
      </c>
      <c r="P1408">
        <v>4</v>
      </c>
    </row>
    <row r="1409" spans="1:16" x14ac:dyDescent="0.25">
      <c r="A1409">
        <v>21900576</v>
      </c>
      <c r="B1409">
        <v>2019</v>
      </c>
      <c r="C1409" t="s">
        <v>32</v>
      </c>
      <c r="D1409" t="s">
        <v>50</v>
      </c>
      <c r="E1409">
        <v>94</v>
      </c>
      <c r="F1409">
        <v>89</v>
      </c>
      <c r="G1409">
        <v>4</v>
      </c>
      <c r="H1409" s="1">
        <v>3.9351851851851848E-3</v>
      </c>
      <c r="I1409" t="s">
        <v>23</v>
      </c>
      <c r="J1409" s="2" t="str">
        <f>HYPERLINK("https://www.nba.com/stats/events?CFID=&amp;CFPARAMS=&amp;GameEventID=636&amp;GameID=0021900576&amp;Season=2019-20&amp;flag=1&amp;title=Leonard%20layup%20(30%20PTS)", "Layup (30 PTS)")</f>
        <v>Layup (30 PTS)</v>
      </c>
      <c r="K1409" s="2" t="str">
        <f>HYPERLINK("https://www.nba.com/game/...-vs-...-0021900576/play-by-play?watchFullGame=true", "LAC vs GSW - Q4 05:40.00")</f>
        <v>LAC vs GSW - Q4 05:40.00</v>
      </c>
      <c r="L1409">
        <v>1.25</v>
      </c>
      <c r="M1409">
        <v>6.09</v>
      </c>
      <c r="N1409">
        <v>51.4</v>
      </c>
      <c r="O1409">
        <v>-7</v>
      </c>
      <c r="P1409">
        <v>5</v>
      </c>
    </row>
    <row r="1410" spans="1:16" x14ac:dyDescent="0.25">
      <c r="A1410">
        <v>22000625</v>
      </c>
      <c r="B1410">
        <v>2020</v>
      </c>
      <c r="C1410" t="s">
        <v>32</v>
      </c>
      <c r="D1410" t="s">
        <v>48</v>
      </c>
      <c r="E1410">
        <v>24</v>
      </c>
      <c r="F1410">
        <v>29</v>
      </c>
      <c r="G1410">
        <v>1</v>
      </c>
      <c r="H1410" s="1">
        <v>6.712962962962963E-5</v>
      </c>
      <c r="I1410" t="s">
        <v>23</v>
      </c>
      <c r="J1410" s="2" t="str">
        <f>HYPERLINK("https://www.nba.com/stats/events?CFID=&amp;CFPARAMS=&amp;GameEventID=148&amp;GameID=0022000625&amp;Season=2020-21&amp;flag=1&amp;title=Leonard%20cutting%20DUNK%20(5%20PTS)%20(L.%20Williams%201%20AST)", "Cutting DUNK (5 PTS) (L. Williams 1 AST)")</f>
        <v>Cutting DUNK (5 PTS) (L. Williams 1 AST)</v>
      </c>
      <c r="K1410" s="2" t="str">
        <f>HYPERLINK("https://www.nba.com/game/...-vs-...-0022000625/play-by-play?watchFullGame=true", "LAC vs DAL - Q1 00:05.80")</f>
        <v>LAC vs DAL - Q1 00:05.80</v>
      </c>
      <c r="L1410">
        <v>0.85</v>
      </c>
      <c r="M1410">
        <v>93.91</v>
      </c>
      <c r="N1410">
        <v>48.6</v>
      </c>
      <c r="O1410">
        <v>-7</v>
      </c>
      <c r="P1410">
        <v>5</v>
      </c>
    </row>
    <row r="1411" spans="1:16" x14ac:dyDescent="0.25">
      <c r="A1411">
        <v>21300296</v>
      </c>
      <c r="B1411">
        <v>2013</v>
      </c>
      <c r="C1411" t="s">
        <v>32</v>
      </c>
      <c r="D1411" t="s">
        <v>49</v>
      </c>
      <c r="E1411">
        <v>39</v>
      </c>
      <c r="F1411">
        <v>34</v>
      </c>
      <c r="G1411">
        <v>2</v>
      </c>
      <c r="H1411" s="1">
        <v>2.650462962962963E-3</v>
      </c>
      <c r="I1411" t="s">
        <v>18</v>
      </c>
      <c r="J1411" s="2" t="str">
        <f>HYPERLINK("https://www.nba.com/stats/events?CFID=&amp;CFPARAMS=&amp;GameEventID=176&amp;GameID=0021300296&amp;Season=2013-14&amp;flag=1&amp;title=Leonard%201'%20Driving%20Layup%20(7%20PTS)", "Leonard 1' Driving Layup (7 PTS)")</f>
        <v>Leonard 1' Driving Layup (7 PTS)</v>
      </c>
      <c r="K1411" s="2" t="str">
        <f>HYPERLINK("https://www.nba.com/game/...-vs-...-0021300296/play-by-play?watchFullGame=true", "SAS vs IND - Q2 03:49.00")</f>
        <v>SAS vs IND - Q2 03:49.00</v>
      </c>
      <c r="L1411">
        <v>1</v>
      </c>
      <c r="M1411">
        <v>-7</v>
      </c>
      <c r="N1411">
        <v>6</v>
      </c>
      <c r="O1411">
        <v>-7</v>
      </c>
      <c r="P1411">
        <v>6</v>
      </c>
    </row>
    <row r="1412" spans="1:16" x14ac:dyDescent="0.25">
      <c r="A1412">
        <v>41800302</v>
      </c>
      <c r="B1412" t="s">
        <v>20</v>
      </c>
      <c r="C1412" t="s">
        <v>32</v>
      </c>
      <c r="D1412" t="s">
        <v>49</v>
      </c>
      <c r="E1412">
        <v>107</v>
      </c>
      <c r="F1412">
        <v>91</v>
      </c>
      <c r="G1412">
        <v>4</v>
      </c>
      <c r="H1412" s="1">
        <v>4.2824074074074075E-3</v>
      </c>
      <c r="I1412" t="s">
        <v>21</v>
      </c>
      <c r="J1412" s="2" t="str">
        <f>HYPERLINK("https://www.nba.com/stats/events?CFID=&amp;CFPARAMS=&amp;GameEventID=617&amp;GameID=0041800302&amp;Season=2018-19&amp;flag=1&amp;title=Leonard%201'%20Driving%20Layup%20(30%20PTS)", "Leonard 1' Driving Layup (30 PTS)")</f>
        <v>Leonard 1' Driving Layup (30 PTS)</v>
      </c>
      <c r="K1412" s="2" t="str">
        <f>HYPERLINK("https://www.nba.com/game/...-vs-...-0041800302/play-by-play?watchFullGame=true", "TOR vs MIL - Q4 06:10.00")</f>
        <v>TOR vs MIL - Q4 06:10.00</v>
      </c>
      <c r="L1412">
        <v>1</v>
      </c>
      <c r="M1412">
        <v>-7</v>
      </c>
      <c r="N1412">
        <v>6</v>
      </c>
      <c r="O1412">
        <v>-7</v>
      </c>
      <c r="P1412">
        <v>6</v>
      </c>
    </row>
    <row r="1413" spans="1:16" x14ac:dyDescent="0.25">
      <c r="A1413">
        <v>21300275</v>
      </c>
      <c r="B1413">
        <v>2013</v>
      </c>
      <c r="C1413" t="s">
        <v>32</v>
      </c>
      <c r="D1413" t="s">
        <v>62</v>
      </c>
      <c r="E1413">
        <v>9</v>
      </c>
      <c r="F1413">
        <v>8</v>
      </c>
      <c r="G1413">
        <v>1</v>
      </c>
      <c r="H1413" s="1">
        <v>5.4398148148148149E-3</v>
      </c>
      <c r="I1413" t="s">
        <v>18</v>
      </c>
      <c r="J1413" s="2" t="str">
        <f>HYPERLINK("https://www.nba.com/stats/events?CFID=&amp;CFPARAMS=&amp;GameEventID=33&amp;GameID=0021300275&amp;Season=2013-14&amp;flag=1&amp;title=Leonard%201'%20Dunk%20(2%20PTS)%20(Diaw%202%20AST)", "Leonard 1' Dunk (2 PTS) (Diaw 2 AST)")</f>
        <v>Leonard 1' Dunk (2 PTS) (Diaw 2 AST)</v>
      </c>
      <c r="K1413" s="2" t="str">
        <f>HYPERLINK("https://www.nba.com/game/...-vs-...-0021300275/play-by-play?watchFullGame=true", "SAS vs MIN - Q1 07:50.00")</f>
        <v>SAS vs MIN - Q1 07:50.00</v>
      </c>
      <c r="L1413">
        <v>1</v>
      </c>
      <c r="M1413">
        <v>-7</v>
      </c>
      <c r="N1413">
        <v>6</v>
      </c>
      <c r="O1413">
        <v>-7</v>
      </c>
      <c r="P1413">
        <v>6</v>
      </c>
    </row>
    <row r="1414" spans="1:16" x14ac:dyDescent="0.25">
      <c r="A1414">
        <v>22200795</v>
      </c>
      <c r="B1414">
        <v>2022</v>
      </c>
      <c r="C1414" t="s">
        <v>32</v>
      </c>
      <c r="D1414" t="s">
        <v>48</v>
      </c>
      <c r="E1414">
        <v>20</v>
      </c>
      <c r="F1414">
        <v>28</v>
      </c>
      <c r="G1414">
        <v>1</v>
      </c>
      <c r="H1414" s="1">
        <v>2.1180555555555558E-3</v>
      </c>
      <c r="I1414" t="s">
        <v>23</v>
      </c>
      <c r="J1414" s="2" t="str">
        <f>HYPERLINK("https://www.nba.com/stats/events?CFID=&amp;CFPARAMS=&amp;GameEventID=88&amp;GameID=0022200795&amp;Season=2022-23&amp;flag=1&amp;title=Leonard%20running%20DUNK%20(9%20PTS)%20(R.%20Jackson%201%20AST)", "Running DUNK (9 PTS) (R. Jackson 1 AST)")</f>
        <v>Running DUNK (9 PTS) (R. Jackson 1 AST)</v>
      </c>
      <c r="K1414" s="2" t="str">
        <f>HYPERLINK("https://www.nba.com/game/...-vs-...-0022200795/play-by-play?watchFullGame=true", "LAC vs NYK - Q1 03:03.00")</f>
        <v>LAC vs NYK - Q1 03:03.00</v>
      </c>
      <c r="L1414">
        <v>0.95</v>
      </c>
      <c r="M1414">
        <v>93.77</v>
      </c>
      <c r="N1414">
        <v>48.53</v>
      </c>
      <c r="O1414">
        <v>-7</v>
      </c>
      <c r="P1414">
        <v>6</v>
      </c>
    </row>
    <row r="1415" spans="1:16" x14ac:dyDescent="0.25">
      <c r="A1415">
        <v>21500416</v>
      </c>
      <c r="B1415">
        <v>2015</v>
      </c>
      <c r="C1415" t="s">
        <v>32</v>
      </c>
      <c r="D1415" t="s">
        <v>49</v>
      </c>
      <c r="E1415">
        <v>63</v>
      </c>
      <c r="F1415">
        <v>60</v>
      </c>
      <c r="G1415">
        <v>3</v>
      </c>
      <c r="H1415" s="1">
        <v>3.7499999999999999E-3</v>
      </c>
      <c r="I1415" t="s">
        <v>18</v>
      </c>
      <c r="J1415" s="2" t="str">
        <f>HYPERLINK("https://www.nba.com/stats/events?CFID=&amp;CFPARAMS=&amp;GameEventID=299&amp;GameID=0021500416&amp;Season=2015-16&amp;flag=1&amp;title=Leonard%201'%20Driving%20Layup%20(18%20PTS)", "Leonard 1' Driving Layup (18 PTS)")</f>
        <v>Leonard 1' Driving Layup (18 PTS)</v>
      </c>
      <c r="K1415" s="2" t="str">
        <f>HYPERLINK("https://www.nba.com/game/...-vs-...-0021500416/play-by-play?watchFullGame=true", "SAS vs IND - Q3 05:24.00")</f>
        <v>SAS vs IND - Q3 05:24.00</v>
      </c>
      <c r="L1415">
        <v>1</v>
      </c>
      <c r="M1415">
        <v>-7</v>
      </c>
      <c r="N1415">
        <v>7</v>
      </c>
      <c r="O1415">
        <v>-7</v>
      </c>
      <c r="P1415">
        <v>7</v>
      </c>
    </row>
    <row r="1416" spans="1:16" x14ac:dyDescent="0.25">
      <c r="A1416">
        <v>21501063</v>
      </c>
      <c r="B1416">
        <v>2015</v>
      </c>
      <c r="C1416" t="s">
        <v>32</v>
      </c>
      <c r="D1416" t="s">
        <v>71</v>
      </c>
      <c r="E1416">
        <v>56</v>
      </c>
      <c r="F1416">
        <v>45</v>
      </c>
      <c r="G1416">
        <v>2</v>
      </c>
      <c r="H1416" s="1">
        <v>1.9328703703703703E-4</v>
      </c>
      <c r="I1416" t="s">
        <v>18</v>
      </c>
      <c r="J1416" s="2" t="str">
        <f>HYPERLINK("https://www.nba.com/stats/events?CFID=&amp;CFPARAMS=&amp;GameEventID=233&amp;GameID=0021501063&amp;Season=2015-16&amp;flag=1&amp;title=Leonard%201'%20Tip%20Layup%20Shot%20(24%20PTS)", "Leonard 1' Tip Layup Shot (24 PTS)")</f>
        <v>Leonard 1' Tip Layup Shot (24 PTS)</v>
      </c>
      <c r="K1416" s="2" t="str">
        <f>HYPERLINK("https://www.nba.com/game/...-vs-...-0021501063/play-by-play?watchFullGame=true", "SAS vs MIA - Q2 00:16.70")</f>
        <v>SAS vs MIA - Q2 00:16.70</v>
      </c>
      <c r="L1416">
        <v>1</v>
      </c>
      <c r="M1416">
        <v>-7</v>
      </c>
      <c r="N1416">
        <v>11</v>
      </c>
      <c r="O1416">
        <v>-7</v>
      </c>
      <c r="P1416">
        <v>11</v>
      </c>
    </row>
    <row r="1417" spans="1:16" x14ac:dyDescent="0.25">
      <c r="A1417">
        <v>22200538</v>
      </c>
      <c r="B1417">
        <v>2022</v>
      </c>
      <c r="C1417" t="s">
        <v>32</v>
      </c>
      <c r="D1417" t="s">
        <v>48</v>
      </c>
      <c r="E1417">
        <v>91</v>
      </c>
      <c r="F1417">
        <v>90</v>
      </c>
      <c r="G1417">
        <v>3</v>
      </c>
      <c r="H1417" s="1">
        <v>5.4513888888888895E-4</v>
      </c>
      <c r="I1417" t="s">
        <v>23</v>
      </c>
      <c r="J1417" s="2" t="str">
        <f>HYPERLINK("https://www.nba.com/stats/events?CFID=&amp;CFPARAMS=&amp;GameEventID=445&amp;GameID=0022200538&amp;Season=2022-23&amp;flag=1&amp;title=Leonard%20running%20DUNK%20(21%20PTS)%20(N.%20Powell%202%20AST)", "Running DUNK (21 PTS) (N. Powell 2 AST)")</f>
        <v>Running DUNK (21 PTS) (N. Powell 2 AST)</v>
      </c>
      <c r="K1417" s="2" t="str">
        <f>HYPERLINK("https://www.nba.com/game/...-vs-...-0022200538/play-by-play?watchFullGame=true", "LAC vs IND - Q3 00:47.10")</f>
        <v>LAC vs IND - Q3 00:47.10</v>
      </c>
      <c r="L1417">
        <v>1.35</v>
      </c>
      <c r="M1417">
        <v>6.78</v>
      </c>
      <c r="N1417">
        <v>51.47</v>
      </c>
      <c r="O1417">
        <v>-7</v>
      </c>
      <c r="P1417">
        <v>11</v>
      </c>
    </row>
    <row r="1418" spans="1:16" x14ac:dyDescent="0.25">
      <c r="A1418">
        <v>41400165</v>
      </c>
      <c r="B1418" t="s">
        <v>28</v>
      </c>
      <c r="C1418" t="s">
        <v>32</v>
      </c>
      <c r="D1418" t="s">
        <v>72</v>
      </c>
      <c r="E1418">
        <v>94</v>
      </c>
      <c r="F1418">
        <v>97</v>
      </c>
      <c r="G1418">
        <v>4</v>
      </c>
      <c r="H1418" s="1">
        <v>3.3333333333333335E-3</v>
      </c>
      <c r="I1418" t="s">
        <v>18</v>
      </c>
      <c r="J1418" s="2" t="str">
        <f>HYPERLINK("https://www.nba.com/stats/events?CFID=&amp;CFPARAMS=&amp;GameEventID=557&amp;GameID=0041400165&amp;Season=2014-15&amp;flag=1&amp;title=Leonard%201'%20Tip%20Shot%20(14%20PTS)", "Leonard 1' Tip Shot (14 PTS)")</f>
        <v>Leonard 1' Tip Shot (14 PTS)</v>
      </c>
      <c r="K1418" s="2" t="str">
        <f>HYPERLINK("https://www.nba.com/game/...-vs-...-0041400165/play-by-play?watchFullGame=true", "SAS vs LAC - Q4 04:48.00")</f>
        <v>SAS vs LAC - Q4 04:48.00</v>
      </c>
      <c r="L1418">
        <v>1</v>
      </c>
      <c r="M1418">
        <v>-7</v>
      </c>
      <c r="N1418">
        <v>12</v>
      </c>
      <c r="O1418">
        <v>-7</v>
      </c>
      <c r="P1418">
        <v>12</v>
      </c>
    </row>
    <row r="1419" spans="1:16" x14ac:dyDescent="0.25">
      <c r="A1419">
        <v>21400624</v>
      </c>
      <c r="B1419">
        <v>2014</v>
      </c>
      <c r="C1419" t="s">
        <v>32</v>
      </c>
      <c r="D1419" t="s">
        <v>57</v>
      </c>
      <c r="E1419">
        <v>65</v>
      </c>
      <c r="F1419">
        <v>71</v>
      </c>
      <c r="G1419">
        <v>3</v>
      </c>
      <c r="H1419" s="1">
        <v>2.685185185185185E-3</v>
      </c>
      <c r="I1419" t="s">
        <v>18</v>
      </c>
      <c r="J1419" s="2" t="str">
        <f>HYPERLINK("https://www.nba.com/stats/events?CFID=&amp;CFPARAMS=&amp;GameEventID=359&amp;GameID=0021400624&amp;Season=2014-15&amp;flag=1&amp;title=Leonard%202'%20Layup%20(11%20PTS)%20(Ginobili%204%20AST)", "Leonard 2' Layup (11 PTS) (Ginobili 4 AST)")</f>
        <v>Leonard 2' Layup (11 PTS) (Ginobili 4 AST)</v>
      </c>
      <c r="K1419" s="2" t="str">
        <f>HYPERLINK("https://www.nba.com/game/...-vs-...-0021400624/play-by-play?watchFullGame=true", "SAS vs DEN - Q3 03:52.00")</f>
        <v>SAS vs DEN - Q3 03:52.00</v>
      </c>
      <c r="L1419">
        <v>2</v>
      </c>
      <c r="M1419">
        <v>-7</v>
      </c>
      <c r="N1419">
        <v>14</v>
      </c>
      <c r="O1419">
        <v>-7</v>
      </c>
      <c r="P1419">
        <v>14</v>
      </c>
    </row>
    <row r="1420" spans="1:16" x14ac:dyDescent="0.25">
      <c r="A1420">
        <v>21401134</v>
      </c>
      <c r="B1420">
        <v>2014</v>
      </c>
      <c r="C1420" t="s">
        <v>32</v>
      </c>
      <c r="D1420" t="s">
        <v>52</v>
      </c>
      <c r="E1420">
        <v>83</v>
      </c>
      <c r="F1420">
        <v>54</v>
      </c>
      <c r="G1420">
        <v>3</v>
      </c>
      <c r="H1420" s="1">
        <v>4.9189814814814816E-3</v>
      </c>
      <c r="I1420" t="s">
        <v>18</v>
      </c>
      <c r="J1420" s="2" t="str">
        <f>HYPERLINK("https://www.nba.com/stats/events?CFID=&amp;CFPARAMS=&amp;GameEventID=279&amp;GameID=0021401134&amp;Season=2014-15&amp;flag=1&amp;title=Leonard%202'%20Alley%20Oop%20Layup%20(20%20PTS)%20(Duncan%204%20AST)", "Leonard 2' Alley Oop Layup (20 PTS) (Duncan 4 AST)")</f>
        <v>Leonard 2' Alley Oop Layup (20 PTS) (Duncan 4 AST)</v>
      </c>
      <c r="K1420" s="2" t="str">
        <f>HYPERLINK("https://www.nba.com/game/...-vs-...-0021401134/play-by-play?watchFullGame=true", "SAS vs DEN - Q3 07:05.00")</f>
        <v>SAS vs DEN - Q3 07:05.00</v>
      </c>
      <c r="L1420">
        <v>2</v>
      </c>
      <c r="M1420">
        <v>-7</v>
      </c>
      <c r="N1420">
        <v>15</v>
      </c>
      <c r="O1420">
        <v>-7</v>
      </c>
      <c r="P1420">
        <v>15</v>
      </c>
    </row>
    <row r="1421" spans="1:16" x14ac:dyDescent="0.25">
      <c r="A1421">
        <v>22300848</v>
      </c>
      <c r="B1421">
        <v>2023</v>
      </c>
      <c r="C1421" t="s">
        <v>32</v>
      </c>
      <c r="D1421" t="s">
        <v>47</v>
      </c>
      <c r="E1421">
        <v>60</v>
      </c>
      <c r="F1421">
        <v>48</v>
      </c>
      <c r="G1421">
        <v>2</v>
      </c>
      <c r="H1421" s="1">
        <v>2.1180555555555558E-3</v>
      </c>
      <c r="I1421" t="s">
        <v>23</v>
      </c>
      <c r="J1421" s="2" t="str">
        <f>HYPERLINK("https://www.nba.com/stats/events?CFID=&amp;CFPARAMS=&amp;GameEventID=288&amp;GameID=0022300848&amp;Season=2023-24&amp;flag=1&amp;title=Leonard%20Layup%20(12%20PTS)%20(T.%20Mann%202%20AST)", "Layup (12 PTS) (T. Mann 2 AST)")</f>
        <v>Layup (12 PTS) (T. Mann 2 AST)</v>
      </c>
      <c r="K1421" s="2" t="str">
        <f>HYPERLINK("https://www.nba.com/game/...-vs-...-0022300848/play-by-play?watchFullGame=true", "LAC vs LAL - Q2 03:03.00")</f>
        <v>LAC vs LAL - Q2 03:03.00</v>
      </c>
      <c r="L1421">
        <v>1.78</v>
      </c>
      <c r="M1421">
        <v>92.69</v>
      </c>
      <c r="N1421">
        <v>48.53</v>
      </c>
      <c r="O1421">
        <v>-7</v>
      </c>
      <c r="P1421">
        <v>16</v>
      </c>
    </row>
    <row r="1422" spans="1:16" x14ac:dyDescent="0.25">
      <c r="A1422">
        <v>21600182</v>
      </c>
      <c r="B1422">
        <v>2016</v>
      </c>
      <c r="C1422" t="s">
        <v>32</v>
      </c>
      <c r="D1422" t="s">
        <v>51</v>
      </c>
      <c r="E1422">
        <v>41</v>
      </c>
      <c r="F1422">
        <v>46</v>
      </c>
      <c r="G1422">
        <v>2</v>
      </c>
      <c r="H1422" s="1">
        <v>1.7592592592592592E-3</v>
      </c>
      <c r="I1422" t="s">
        <v>18</v>
      </c>
      <c r="J1422" s="2" t="str">
        <f>HYPERLINK("https://www.nba.com/stats/events?CFID=&amp;CFPARAMS=&amp;GameEventID=214&amp;GameID=0021600182&amp;Season=2016-17&amp;flag=1&amp;title=Leonard%202'%20Reverse%20Layup%20(6%20PTS)", "Leonard 2' Reverse Layup (6 PTS)")</f>
        <v>Leonard 2' Reverse Layup (6 PTS)</v>
      </c>
      <c r="K1422" s="2" t="str">
        <f>HYPERLINK("https://www.nba.com/game/...-vs-...-0021600182/play-by-play?watchFullGame=true", "SAS vs LAL - Q2 02:32.00")</f>
        <v>SAS vs LAL - Q2 02:32.00</v>
      </c>
      <c r="L1422">
        <v>2</v>
      </c>
      <c r="M1422">
        <v>-7</v>
      </c>
      <c r="N1422">
        <v>16</v>
      </c>
      <c r="O1422">
        <v>-7</v>
      </c>
      <c r="P1422">
        <v>16</v>
      </c>
    </row>
    <row r="1423" spans="1:16" x14ac:dyDescent="0.25">
      <c r="A1423">
        <v>41500236</v>
      </c>
      <c r="B1423" t="s">
        <v>25</v>
      </c>
      <c r="C1423" t="s">
        <v>32</v>
      </c>
      <c r="D1423" t="s">
        <v>49</v>
      </c>
      <c r="E1423">
        <v>66</v>
      </c>
      <c r="F1423">
        <v>40</v>
      </c>
      <c r="G1423">
        <v>3</v>
      </c>
      <c r="H1423" s="1">
        <v>6.1111111111111114E-3</v>
      </c>
      <c r="I1423" t="s">
        <v>18</v>
      </c>
      <c r="J1423" s="2" t="str">
        <f>HYPERLINK("https://www.nba.com/stats/events?CFID=&amp;CFPARAMS=&amp;GameEventID=274&amp;GameID=0041500236&amp;Season=2015-16&amp;flag=1&amp;title=Leonard%202'%20Driving%20Layup%20(9%20PTS)", "Leonard 2' Driving Layup (9 PTS)")</f>
        <v>Leonard 2' Driving Layup (9 PTS)</v>
      </c>
      <c r="K1423" s="2" t="str">
        <f>HYPERLINK("https://www.nba.com/game/...-vs-...-0041500236/play-by-play?watchFullGame=true", "SAS vs OKC - Q3 08:48.00")</f>
        <v>SAS vs OKC - Q3 08:48.00</v>
      </c>
      <c r="L1423">
        <v>2</v>
      </c>
      <c r="M1423">
        <v>-7</v>
      </c>
      <c r="N1423">
        <v>16</v>
      </c>
      <c r="O1423">
        <v>-7</v>
      </c>
      <c r="P1423">
        <v>16</v>
      </c>
    </row>
    <row r="1424" spans="1:16" x14ac:dyDescent="0.25">
      <c r="A1424">
        <v>41200232</v>
      </c>
      <c r="B1424" t="s">
        <v>27</v>
      </c>
      <c r="C1424" t="s">
        <v>32</v>
      </c>
      <c r="D1424" t="s">
        <v>57</v>
      </c>
      <c r="E1424">
        <v>36</v>
      </c>
      <c r="F1424">
        <v>44</v>
      </c>
      <c r="G1424">
        <v>2</v>
      </c>
      <c r="H1424" s="1">
        <v>4.8495370370370368E-3</v>
      </c>
      <c r="I1424" t="s">
        <v>18</v>
      </c>
      <c r="J1424" s="2" t="str">
        <f>HYPERLINK("https://www.nba.com/stats/events?CFID=&amp;CFPARAMS=&amp;GameEventID=182&amp;GameID=0041200232&amp;Season=2012-13&amp;flag=1&amp;title=Leonard%202'%20Layup%20(5%20PTS)%20(Parker%202%20AST)", "Leonard 2' Layup (5 PTS) (Parker 2 AST)")</f>
        <v>Leonard 2' Layup (5 PTS) (Parker 2 AST)</v>
      </c>
      <c r="K1424" s="2" t="str">
        <f>HYPERLINK("https://www.nba.com/game/...-vs-...-0041200232/play-by-play?watchFullGame=true", "SAS vs GSW - Q2 06:59.00")</f>
        <v>SAS vs GSW - Q2 06:59.00</v>
      </c>
      <c r="L1424">
        <v>2</v>
      </c>
      <c r="M1424">
        <v>-7</v>
      </c>
      <c r="N1424">
        <v>17</v>
      </c>
      <c r="O1424">
        <v>-7</v>
      </c>
      <c r="P1424">
        <v>17</v>
      </c>
    </row>
    <row r="1425" spans="1:16" x14ac:dyDescent="0.25">
      <c r="A1425">
        <v>22200604</v>
      </c>
      <c r="B1425">
        <v>2022</v>
      </c>
      <c r="C1425" t="s">
        <v>32</v>
      </c>
      <c r="D1425" t="s">
        <v>48</v>
      </c>
      <c r="E1425">
        <v>24</v>
      </c>
      <c r="F1425">
        <v>19</v>
      </c>
      <c r="G1425">
        <v>1</v>
      </c>
      <c r="H1425" s="1">
        <v>2.3263888888888887E-3</v>
      </c>
      <c r="I1425" t="s">
        <v>23</v>
      </c>
      <c r="J1425" s="2" t="str">
        <f>HYPERLINK("https://www.nba.com/stats/events?CFID=&amp;CFPARAMS=&amp;GameEventID=108&amp;GameID=0022200604&amp;Season=2022-23&amp;flag=1&amp;title=Leonard%20running%20DUNK%20(6%20PTS)%20(N.%20Powell%202%20AST)", "Running DUNK (6 PTS) (N. Powell 2 AST)")</f>
        <v>Running DUNK (6 PTS) (N. Powell 2 AST)</v>
      </c>
      <c r="K1425" s="2" t="str">
        <f>HYPERLINK("https://www.nba.com/game/...-vs-...-0022200604/play-by-play?watchFullGame=true", "LAC vs ATL - Q1 03:21.00")</f>
        <v>LAC vs ATL - Q1 03:21.00</v>
      </c>
      <c r="L1425">
        <v>1.89</v>
      </c>
      <c r="M1425">
        <v>92.56</v>
      </c>
      <c r="N1425">
        <v>48.53</v>
      </c>
      <c r="O1425">
        <v>-7</v>
      </c>
      <c r="P1425">
        <v>17</v>
      </c>
    </row>
    <row r="1426" spans="1:16" x14ac:dyDescent="0.25">
      <c r="A1426">
        <v>41300311</v>
      </c>
      <c r="B1426" t="s">
        <v>26</v>
      </c>
      <c r="C1426" t="s">
        <v>32</v>
      </c>
      <c r="D1426" t="s">
        <v>57</v>
      </c>
      <c r="E1426">
        <v>106</v>
      </c>
      <c r="F1426">
        <v>93</v>
      </c>
      <c r="G1426">
        <v>4</v>
      </c>
      <c r="H1426" s="1">
        <v>3.5300925925925925E-3</v>
      </c>
      <c r="I1426" t="s">
        <v>18</v>
      </c>
      <c r="J1426" s="2" t="str">
        <f>HYPERLINK("https://www.nba.com/stats/events?CFID=&amp;CFPARAMS=&amp;GameEventID=441&amp;GameID=0041300311&amp;Season=2013-14&amp;flag=1&amp;title=Leonard%202'%20Layup%20(16%20PTS)", "Leonard 2' Layup (16 PTS)")</f>
        <v>Leonard 2' Layup (16 PTS)</v>
      </c>
      <c r="K1426" s="2" t="str">
        <f>HYPERLINK("https://www.nba.com/game/...-vs-...-0041300311/play-by-play?watchFullGame=true", "SAS vs OKC - Q4 05:05.00")</f>
        <v>SAS vs OKC - Q4 05:05.00</v>
      </c>
      <c r="L1426">
        <v>2</v>
      </c>
      <c r="M1426">
        <v>-7</v>
      </c>
      <c r="N1426">
        <v>19</v>
      </c>
      <c r="O1426">
        <v>-7</v>
      </c>
      <c r="P1426">
        <v>19</v>
      </c>
    </row>
    <row r="1427" spans="1:16" x14ac:dyDescent="0.25">
      <c r="A1427">
        <v>41600311</v>
      </c>
      <c r="B1427" t="s">
        <v>30</v>
      </c>
      <c r="C1427" t="s">
        <v>32</v>
      </c>
      <c r="D1427" t="s">
        <v>49</v>
      </c>
      <c r="E1427">
        <v>35</v>
      </c>
      <c r="F1427">
        <v>54</v>
      </c>
      <c r="G1427">
        <v>2</v>
      </c>
      <c r="H1427" s="1">
        <v>1.6782407407407408E-3</v>
      </c>
      <c r="I1427" t="s">
        <v>18</v>
      </c>
      <c r="J1427" s="2" t="str">
        <f>HYPERLINK("https://www.nba.com/stats/events?CFID=&amp;CFPARAMS=&amp;GameEventID=241&amp;GameID=0041600311&amp;Season=2016-17&amp;flag=1&amp;title=Leonard%202'%20Driving%20Layup%20(17%20PTS)", "Leonard 2' Driving Layup (17 PTS)")</f>
        <v>Leonard 2' Driving Layup (17 PTS)</v>
      </c>
      <c r="K1427" s="2" t="str">
        <f>HYPERLINK("https://www.nba.com/game/...-vs-...-0041600311/play-by-play?watchFullGame=true", "SAS vs GSW - Q2 02:25.00")</f>
        <v>SAS vs GSW - Q2 02:25.00</v>
      </c>
      <c r="L1427">
        <v>2</v>
      </c>
      <c r="M1427">
        <v>-7</v>
      </c>
      <c r="N1427">
        <v>21</v>
      </c>
      <c r="O1427">
        <v>-7</v>
      </c>
      <c r="P1427">
        <v>21</v>
      </c>
    </row>
    <row r="1428" spans="1:16" x14ac:dyDescent="0.25">
      <c r="A1428">
        <v>22300304</v>
      </c>
      <c r="B1428">
        <v>2023</v>
      </c>
      <c r="C1428" t="s">
        <v>32</v>
      </c>
      <c r="D1428" t="s">
        <v>47</v>
      </c>
      <c r="E1428">
        <v>19</v>
      </c>
      <c r="F1428">
        <v>7</v>
      </c>
      <c r="G1428">
        <v>1</v>
      </c>
      <c r="H1428" s="1">
        <v>5.0000000000000001E-3</v>
      </c>
      <c r="I1428" t="s">
        <v>23</v>
      </c>
      <c r="J1428" s="2" t="str">
        <f>HYPERLINK("https://www.nba.com/stats/events?CFID=&amp;CFPARAMS=&amp;GameEventID=43&amp;GameID=0022300304&amp;Season=2023-24&amp;flag=1&amp;title=Leonard%20running%20finger%20roll%20Layup%20(4%20PTS)%20(P.%20George%203%20AST)", "Running finger roll Layup (4 PTS) (P. George 3 AST)")</f>
        <v>Running finger roll Layup (4 PTS) (P. George 3 AST)</v>
      </c>
      <c r="K1428" s="2" t="str">
        <f>HYPERLINK("https://www.nba.com/game/...-vs-...-0022300304/play-by-play?watchFullGame=true", "LAC vs POR - Q1 07:12.00")</f>
        <v>LAC vs POR - Q1 07:12.00</v>
      </c>
      <c r="L1428">
        <v>2.2400000000000002</v>
      </c>
      <c r="M1428">
        <v>92.16</v>
      </c>
      <c r="N1428">
        <v>48.53</v>
      </c>
      <c r="O1428">
        <v>-7</v>
      </c>
      <c r="P1428">
        <v>21</v>
      </c>
    </row>
    <row r="1429" spans="1:16" x14ac:dyDescent="0.25">
      <c r="A1429">
        <v>22201041</v>
      </c>
      <c r="B1429">
        <v>2022</v>
      </c>
      <c r="C1429" t="s">
        <v>32</v>
      </c>
      <c r="D1429" t="s">
        <v>48</v>
      </c>
      <c r="E1429">
        <v>54</v>
      </c>
      <c r="F1429">
        <v>46</v>
      </c>
      <c r="G1429">
        <v>2</v>
      </c>
      <c r="H1429" s="1">
        <v>1.7708333333333332E-3</v>
      </c>
      <c r="I1429" t="s">
        <v>23</v>
      </c>
      <c r="J1429" s="2" t="str">
        <f>HYPERLINK("https://www.nba.com/stats/events?CFID=&amp;CFPARAMS=&amp;GameEventID=292&amp;GameID=0022201041&amp;Season=2022-23&amp;flag=1&amp;title=Leonard%20running%20alley-oop%20DUNK%20(17%20PTS)%20(P.%20George%203%20AST)", "Running alley-oop DUNK (17 PTS) (P. George 3 AST)")</f>
        <v>Running alley-oop DUNK (17 PTS) (P. George 3 AST)</v>
      </c>
      <c r="K1429" s="2" t="str">
        <f>HYPERLINK("https://www.nba.com/game/...-vs-...-0022201041/play-by-play?watchFullGame=true", "LAC vs GSW - Q2 02:33.00")</f>
        <v>LAC vs GSW - Q2 02:33.00</v>
      </c>
      <c r="L1429">
        <v>2.56</v>
      </c>
      <c r="M1429">
        <v>8.1999999999999993</v>
      </c>
      <c r="N1429">
        <v>51.47</v>
      </c>
      <c r="O1429">
        <v>-7</v>
      </c>
      <c r="P1429">
        <v>25</v>
      </c>
    </row>
    <row r="1430" spans="1:16" x14ac:dyDescent="0.25">
      <c r="A1430">
        <v>22301052</v>
      </c>
      <c r="B1430">
        <v>2023</v>
      </c>
      <c r="C1430" t="s">
        <v>32</v>
      </c>
      <c r="D1430" t="s">
        <v>47</v>
      </c>
      <c r="E1430">
        <v>107</v>
      </c>
      <c r="F1430">
        <v>107</v>
      </c>
      <c r="G1430">
        <v>4</v>
      </c>
      <c r="H1430" s="1">
        <v>1.8171296296296295E-4</v>
      </c>
      <c r="I1430" t="s">
        <v>23</v>
      </c>
      <c r="J1430" s="2" t="str">
        <f>HYPERLINK("https://www.nba.com/stats/events?CFID=&amp;CFPARAMS=&amp;GameEventID=599&amp;GameID=0022301052&amp;Season=2023-24&amp;flag=1&amp;title=Leonard%20driving%20reverse%20Layup%20(16%20PTS)%20(A.%20Coffey%203%20AST)", "Driving reverse Layup (16 PTS) (A. Coffey 3 AST)")</f>
        <v>Driving reverse Layup (16 PTS) (A. Coffey 3 AST)</v>
      </c>
      <c r="K1430" s="2" t="str">
        <f>HYPERLINK("https://www.nba.com/game/...-vs-...-0022301052/play-by-play?watchFullGame=true", "LAC vs PHI - Q4 00:15.70")</f>
        <v>LAC vs PHI - Q4 00:15.70</v>
      </c>
      <c r="L1430">
        <v>3.04</v>
      </c>
      <c r="M1430">
        <v>8.7200000000000006</v>
      </c>
      <c r="N1430">
        <v>51.47</v>
      </c>
      <c r="O1430">
        <v>-7</v>
      </c>
      <c r="P1430">
        <v>29</v>
      </c>
    </row>
    <row r="1431" spans="1:16" x14ac:dyDescent="0.25">
      <c r="A1431">
        <v>21301017</v>
      </c>
      <c r="B1431">
        <v>2013</v>
      </c>
      <c r="C1431" t="s">
        <v>32</v>
      </c>
      <c r="D1431" t="s">
        <v>57</v>
      </c>
      <c r="E1431">
        <v>104</v>
      </c>
      <c r="F1431">
        <v>121</v>
      </c>
      <c r="G1431">
        <v>4</v>
      </c>
      <c r="H1431" s="1">
        <v>1.1805555555555556E-3</v>
      </c>
      <c r="I1431" t="s">
        <v>18</v>
      </c>
      <c r="J1431" s="2" t="str">
        <f>HYPERLINK("https://www.nba.com/stats/events?CFID=&amp;CFPARAMS=&amp;GameEventID=509&amp;GameID=0021301017&amp;Season=2013-14&amp;flag=1&amp;title=Leonard%203'%20Layup%20(22%20PTS)", "Leonard 3' Layup (22 PTS)")</f>
        <v>Leonard 3' Layup (22 PTS)</v>
      </c>
      <c r="K1431" s="2" t="str">
        <f>HYPERLINK("https://www.nba.com/game/...-vs-...-0021301017/play-by-play?watchFullGame=true", "SAS vs LAL - Q4 01:42.00")</f>
        <v>SAS vs LAL - Q4 01:42.00</v>
      </c>
      <c r="L1431">
        <v>3</v>
      </c>
      <c r="M1431">
        <v>-7</v>
      </c>
      <c r="N1431">
        <v>31</v>
      </c>
      <c r="O1431">
        <v>-7</v>
      </c>
      <c r="P1431">
        <v>31</v>
      </c>
    </row>
    <row r="1432" spans="1:16" x14ac:dyDescent="0.25">
      <c r="A1432">
        <v>21300100</v>
      </c>
      <c r="B1432">
        <v>2013</v>
      </c>
      <c r="C1432" t="s">
        <v>32</v>
      </c>
      <c r="D1432" t="s">
        <v>39</v>
      </c>
      <c r="E1432">
        <v>40</v>
      </c>
      <c r="F1432">
        <v>61</v>
      </c>
      <c r="G1432">
        <v>3</v>
      </c>
      <c r="H1432" s="1">
        <v>7.0254629629629634E-3</v>
      </c>
      <c r="I1432" t="s">
        <v>18</v>
      </c>
      <c r="J1432" s="2" t="str">
        <f>HYPERLINK("https://www.nba.com/stats/events?CFID=&amp;CFPARAMS=&amp;GameEventID=238&amp;GameID=0021300100&amp;Season=2013-14&amp;flag=1&amp;title=Leonard%203'%20Running%20Bank%20Shot%20(6%20PTS)%20(Parker%207%20AST)", "Leonard 3' Running Bank Shot (6 PTS) (Parker 7 AST)")</f>
        <v>Leonard 3' Running Bank Shot (6 PTS) (Parker 7 AST)</v>
      </c>
      <c r="K1432" s="2" t="str">
        <f>HYPERLINK("https://www.nba.com/game/...-vs-...-0021300100/play-by-play?watchFullGame=true", "SAS vs PHI - Q3 10:07.00")</f>
        <v>SAS vs PHI - Q3 10:07.00</v>
      </c>
      <c r="L1432">
        <v>3</v>
      </c>
      <c r="M1432">
        <v>-7</v>
      </c>
      <c r="N1432">
        <v>33</v>
      </c>
      <c r="O1432">
        <v>-7</v>
      </c>
      <c r="P1432">
        <v>33</v>
      </c>
    </row>
    <row r="1433" spans="1:16" x14ac:dyDescent="0.25">
      <c r="A1433">
        <v>21300421</v>
      </c>
      <c r="B1433">
        <v>2013</v>
      </c>
      <c r="C1433" t="s">
        <v>32</v>
      </c>
      <c r="D1433" t="s">
        <v>19</v>
      </c>
      <c r="E1433">
        <v>58</v>
      </c>
      <c r="F1433">
        <v>67</v>
      </c>
      <c r="G1433">
        <v>3</v>
      </c>
      <c r="H1433" s="1">
        <v>6.122685185185185E-3</v>
      </c>
      <c r="I1433" t="s">
        <v>18</v>
      </c>
      <c r="J1433" s="2" t="str">
        <f>HYPERLINK("https://www.nba.com/stats/events?CFID=&amp;CFPARAMS=&amp;GameEventID=276&amp;GameID=0021300421&amp;Season=2013-14&amp;flag=1&amp;title=Leonard%204'%20Jump%20Shot%20(4%20PTS)", "Leonard 4' Jump Shot (4 PTS)")</f>
        <v>Leonard 4' Jump Shot (4 PTS)</v>
      </c>
      <c r="K1433" s="2" t="str">
        <f>HYPERLINK("https://www.nba.com/game/...-vs-...-0021300421/play-by-play?watchFullGame=true", "SAS vs HOU - Q3 08:49.00")</f>
        <v>SAS vs HOU - Q3 08:49.00</v>
      </c>
      <c r="L1433">
        <v>4</v>
      </c>
      <c r="M1433">
        <v>-7</v>
      </c>
      <c r="N1433">
        <v>42</v>
      </c>
      <c r="O1433">
        <v>-7</v>
      </c>
      <c r="P1433">
        <v>42</v>
      </c>
    </row>
    <row r="1434" spans="1:16" x14ac:dyDescent="0.25">
      <c r="A1434">
        <v>21400875</v>
      </c>
      <c r="B1434">
        <v>2014</v>
      </c>
      <c r="C1434" t="s">
        <v>32</v>
      </c>
      <c r="D1434" t="s">
        <v>39</v>
      </c>
      <c r="E1434">
        <v>62</v>
      </c>
      <c r="F1434">
        <v>85</v>
      </c>
      <c r="G1434">
        <v>4</v>
      </c>
      <c r="H1434" s="1">
        <v>3.1134259259259257E-3</v>
      </c>
      <c r="I1434" t="s">
        <v>18</v>
      </c>
      <c r="J1434" s="2" t="str">
        <f>HYPERLINK("https://www.nba.com/stats/events?CFID=&amp;CFPARAMS=&amp;GameEventID=505&amp;GameID=0021400875&amp;Season=2014-15&amp;flag=1&amp;title=Leonard%205'%20Running%20Bank%20Shot%20(21%20PTS)", "Leonard 5' Running Bank Shot (21 PTS)")</f>
        <v>Leonard 5' Running Bank Shot (21 PTS)</v>
      </c>
      <c r="K1434" s="2" t="str">
        <f>HYPERLINK("https://www.nba.com/game/...-vs-...-0021400875/play-by-play?watchFullGame=true", "SAS vs PHX - Q4 04:29.00")</f>
        <v>SAS vs PHX - Q4 04:29.00</v>
      </c>
      <c r="L1434">
        <v>5</v>
      </c>
      <c r="M1434">
        <v>-7</v>
      </c>
      <c r="N1434">
        <v>48</v>
      </c>
      <c r="O1434">
        <v>-7</v>
      </c>
      <c r="P1434">
        <v>48</v>
      </c>
    </row>
    <row r="1435" spans="1:16" x14ac:dyDescent="0.25">
      <c r="A1435">
        <v>21400637</v>
      </c>
      <c r="B1435">
        <v>2014</v>
      </c>
      <c r="C1435" t="s">
        <v>32</v>
      </c>
      <c r="D1435" t="s">
        <v>40</v>
      </c>
      <c r="E1435">
        <v>37</v>
      </c>
      <c r="F1435">
        <v>33</v>
      </c>
      <c r="G1435">
        <v>2</v>
      </c>
      <c r="H1435" s="1">
        <v>2.8819444444444444E-3</v>
      </c>
      <c r="I1435" t="s">
        <v>18</v>
      </c>
      <c r="J1435" s="2" t="str">
        <f>HYPERLINK("https://www.nba.com/stats/events?CFID=&amp;CFPARAMS=&amp;GameEventID=197&amp;GameID=0021400637&amp;Season=2014-15&amp;flag=1&amp;title=Leonard%206'%20Hook%20Shot%20(9%20PTS)", "Leonard 6' Hook Shot (9 PTS)")</f>
        <v>Leonard 6' Hook Shot (9 PTS)</v>
      </c>
      <c r="K1435" s="2" t="str">
        <f>HYPERLINK("https://www.nba.com/game/...-vs-...-0021400637/play-by-play?watchFullGame=true", "SAS vs CHI - Q2 04:09.00")</f>
        <v>SAS vs CHI - Q2 04:09.00</v>
      </c>
      <c r="L1435">
        <v>6</v>
      </c>
      <c r="M1435">
        <v>-7</v>
      </c>
      <c r="N1435">
        <v>61</v>
      </c>
      <c r="O1435">
        <v>-7</v>
      </c>
      <c r="P1435">
        <v>61</v>
      </c>
    </row>
    <row r="1436" spans="1:16" x14ac:dyDescent="0.25">
      <c r="A1436">
        <v>21600917</v>
      </c>
      <c r="B1436">
        <v>2016</v>
      </c>
      <c r="C1436" t="s">
        <v>32</v>
      </c>
      <c r="D1436" t="s">
        <v>37</v>
      </c>
      <c r="E1436">
        <v>40</v>
      </c>
      <c r="F1436">
        <v>36</v>
      </c>
      <c r="G1436">
        <v>2</v>
      </c>
      <c r="H1436" s="1">
        <v>3.6805555555555554E-3</v>
      </c>
      <c r="I1436" t="s">
        <v>18</v>
      </c>
      <c r="J1436" s="2" t="str">
        <f>HYPERLINK("https://www.nba.com/stats/events?CFID=&amp;CFPARAMS=&amp;GameEventID=189&amp;GameID=0021600917&amp;Season=2016-17&amp;flag=1&amp;title=Leonard%206'%20Floating%20Jump%20Shot%20(16%20PTS)", "Leonard 6' Floating Jump Shot (16 PTS)")</f>
        <v>Leonard 6' Floating Jump Shot (16 PTS)</v>
      </c>
      <c r="K1436" s="2" t="str">
        <f>HYPERLINK("https://www.nba.com/game/...-vs-...-0021600917/play-by-play?watchFullGame=true", "SAS vs NOP - Q2 05:18.00")</f>
        <v>SAS vs NOP - Q2 05:18.00</v>
      </c>
      <c r="L1436">
        <v>6</v>
      </c>
      <c r="M1436">
        <v>-7</v>
      </c>
      <c r="N1436">
        <v>61</v>
      </c>
      <c r="O1436">
        <v>-7</v>
      </c>
      <c r="P1436">
        <v>61</v>
      </c>
    </row>
    <row r="1437" spans="1:16" x14ac:dyDescent="0.25">
      <c r="A1437">
        <v>21500257</v>
      </c>
      <c r="B1437">
        <v>2015</v>
      </c>
      <c r="C1437" t="s">
        <v>32</v>
      </c>
      <c r="D1437" t="s">
        <v>35</v>
      </c>
      <c r="E1437">
        <v>58</v>
      </c>
      <c r="F1437">
        <v>59</v>
      </c>
      <c r="G1437">
        <v>3</v>
      </c>
      <c r="H1437" s="1">
        <v>5.162037037037037E-3</v>
      </c>
      <c r="I1437" t="s">
        <v>18</v>
      </c>
      <c r="J1437" s="2" t="str">
        <f>HYPERLINK("https://www.nba.com/stats/events?CFID=&amp;CFPARAMS=&amp;GameEventID=274&amp;GameID=0021500257&amp;Season=2015-16&amp;flag=1&amp;title=Leonard%207'%20Driving%20Floating%20Jump%20Shot%20(15%20PTS)", "Leonard 7' Driving Floating Jump Shot (15 PTS)")</f>
        <v>Leonard 7' Driving Floating Jump Shot (15 PTS)</v>
      </c>
      <c r="K1437" s="2" t="str">
        <f>HYPERLINK("https://www.nba.com/game/...-vs-...-0021500257/play-by-play?watchFullGame=true", "SAS vs CHI - Q3 07:26.00")</f>
        <v>SAS vs CHI - Q3 07:26.00</v>
      </c>
      <c r="L1437">
        <v>7</v>
      </c>
      <c r="M1437">
        <v>-7</v>
      </c>
      <c r="N1437">
        <v>65</v>
      </c>
      <c r="O1437">
        <v>-7</v>
      </c>
      <c r="P1437">
        <v>65</v>
      </c>
    </row>
    <row r="1438" spans="1:16" x14ac:dyDescent="0.25">
      <c r="A1438">
        <v>41200406</v>
      </c>
      <c r="B1438" t="s">
        <v>27</v>
      </c>
      <c r="C1438" t="s">
        <v>32</v>
      </c>
      <c r="D1438" t="s">
        <v>42</v>
      </c>
      <c r="E1438">
        <v>85</v>
      </c>
      <c r="F1438">
        <v>84</v>
      </c>
      <c r="G1438">
        <v>4</v>
      </c>
      <c r="H1438" s="1">
        <v>3.5532407407407409E-3</v>
      </c>
      <c r="I1438" t="s">
        <v>18</v>
      </c>
      <c r="J1438" s="2" t="str">
        <f>HYPERLINK("https://www.nba.com/stats/events?CFID=&amp;CFPARAMS=&amp;GameEventID=439&amp;GameID=0041200406&amp;Season=2012-13&amp;flag=1&amp;title=Leonard%207'%20Driving%20Jump%20Shot%20(17%20PTS)", "Leonard 7' Driving Jump Shot (17 PTS)")</f>
        <v>Leonard 7' Driving Jump Shot (17 PTS)</v>
      </c>
      <c r="K1438" s="2" t="str">
        <f>HYPERLINK("https://www.nba.com/game/...-vs-...-0041200406/play-by-play?watchFullGame=true", "SAS vs MIA - Q4 05:07.00")</f>
        <v>SAS vs MIA - Q4 05:07.00</v>
      </c>
      <c r="L1438">
        <v>7</v>
      </c>
      <c r="M1438">
        <v>-7</v>
      </c>
      <c r="N1438">
        <v>67</v>
      </c>
      <c r="O1438">
        <v>-7</v>
      </c>
      <c r="P1438">
        <v>67</v>
      </c>
    </row>
    <row r="1439" spans="1:16" x14ac:dyDescent="0.25">
      <c r="A1439">
        <v>41500232</v>
      </c>
      <c r="B1439" t="s">
        <v>25</v>
      </c>
      <c r="C1439" t="s">
        <v>32</v>
      </c>
      <c r="D1439" t="s">
        <v>35</v>
      </c>
      <c r="E1439">
        <v>37</v>
      </c>
      <c r="F1439">
        <v>37</v>
      </c>
      <c r="G1439">
        <v>2</v>
      </c>
      <c r="H1439" s="1">
        <v>5.115740740740741E-3</v>
      </c>
      <c r="I1439" t="s">
        <v>18</v>
      </c>
      <c r="J1439" s="2" t="str">
        <f>HYPERLINK("https://www.nba.com/stats/events?CFID=&amp;CFPARAMS=&amp;GameEventID=191&amp;GameID=0041500232&amp;Season=2015-16&amp;flag=1&amp;title=Leonard%207'%20Driving%20Floating%20Jump%20Shot%20(4%20PTS)", "Leonard 7' Driving Floating Jump Shot (4 PTS)")</f>
        <v>Leonard 7' Driving Floating Jump Shot (4 PTS)</v>
      </c>
      <c r="K1439" s="2" t="str">
        <f>HYPERLINK("https://www.nba.com/game/...-vs-...-0041500232/play-by-play?watchFullGame=true", "SAS vs OKC - Q2 07:22.00")</f>
        <v>SAS vs OKC - Q2 07:22.00</v>
      </c>
      <c r="L1439">
        <v>7</v>
      </c>
      <c r="M1439">
        <v>-7</v>
      </c>
      <c r="N1439">
        <v>70</v>
      </c>
      <c r="O1439">
        <v>-7</v>
      </c>
      <c r="P1439">
        <v>70</v>
      </c>
    </row>
    <row r="1440" spans="1:16" x14ac:dyDescent="0.25">
      <c r="A1440">
        <v>41300143</v>
      </c>
      <c r="B1440" t="s">
        <v>26</v>
      </c>
      <c r="C1440" t="s">
        <v>32</v>
      </c>
      <c r="D1440" t="s">
        <v>43</v>
      </c>
      <c r="E1440">
        <v>67</v>
      </c>
      <c r="F1440">
        <v>63</v>
      </c>
      <c r="G1440">
        <v>3</v>
      </c>
      <c r="H1440" s="1">
        <v>4.5023148148148149E-3</v>
      </c>
      <c r="I1440" t="s">
        <v>18</v>
      </c>
      <c r="J1440" s="2" t="str">
        <f>HYPERLINK("https://www.nba.com/stats/events?CFID=&amp;CFPARAMS=&amp;GameEventID=256&amp;GameID=0041300143&amp;Season=2013-14&amp;flag=1&amp;title=Leonard%207'%20Turnaround%20Hook%20Shot%20(9%20PTS)", "Leonard 7' Turnaround Hook Shot (9 PTS)")</f>
        <v>Leonard 7' Turnaround Hook Shot (9 PTS)</v>
      </c>
      <c r="K1440" s="2" t="str">
        <f>HYPERLINK("https://www.nba.com/game/...-vs-...-0041300143/play-by-play?watchFullGame=true", "SAS vs DAL - Q3 06:29.00")</f>
        <v>SAS vs DAL - Q3 06:29.00</v>
      </c>
      <c r="L1440">
        <v>7</v>
      </c>
      <c r="M1440">
        <v>-7</v>
      </c>
      <c r="N1440">
        <v>72</v>
      </c>
      <c r="O1440">
        <v>-7</v>
      </c>
      <c r="P1440">
        <v>72</v>
      </c>
    </row>
    <row r="1441" spans="1:16" x14ac:dyDescent="0.25">
      <c r="A1441">
        <v>21601161</v>
      </c>
      <c r="B1441">
        <v>2016</v>
      </c>
      <c r="C1441" t="s">
        <v>32</v>
      </c>
      <c r="D1441" t="s">
        <v>19</v>
      </c>
      <c r="E1441">
        <v>31</v>
      </c>
      <c r="F1441">
        <v>30</v>
      </c>
      <c r="G1441">
        <v>2</v>
      </c>
      <c r="H1441" s="1">
        <v>1.4467592592592592E-3</v>
      </c>
      <c r="I1441" t="s">
        <v>18</v>
      </c>
      <c r="J1441" s="2" t="str">
        <f>HYPERLINK("https://www.nba.com/stats/events?CFID=&amp;CFPARAMS=&amp;GameEventID=214&amp;GameID=0021601161&amp;Season=2016-17&amp;flag=1&amp;title=Leonard%208'%20Jump%20Shot%20(9%20PTS)", "Leonard 8' Jump Shot (9 PTS)")</f>
        <v>Leonard 8' Jump Shot (9 PTS)</v>
      </c>
      <c r="K1441" s="2" t="str">
        <f>HYPERLINK("https://www.nba.com/game/...-vs-...-0021601161/play-by-play?watchFullGame=true", "SAS vs MEM - Q2 02:05.00")</f>
        <v>SAS vs MEM - Q2 02:05.00</v>
      </c>
      <c r="L1441">
        <v>8</v>
      </c>
      <c r="M1441">
        <v>-7</v>
      </c>
      <c r="N1441">
        <v>80</v>
      </c>
      <c r="O1441">
        <v>-7</v>
      </c>
      <c r="P1441">
        <v>80</v>
      </c>
    </row>
    <row r="1442" spans="1:16" x14ac:dyDescent="0.25">
      <c r="A1442">
        <v>21500905</v>
      </c>
      <c r="B1442">
        <v>2015</v>
      </c>
      <c r="C1442" t="s">
        <v>32</v>
      </c>
      <c r="D1442" t="s">
        <v>24</v>
      </c>
      <c r="E1442">
        <v>52</v>
      </c>
      <c r="F1442">
        <v>51</v>
      </c>
      <c r="G1442">
        <v>2</v>
      </c>
      <c r="H1442" s="1">
        <v>1.4467592592592592E-4</v>
      </c>
      <c r="I1442" t="s">
        <v>18</v>
      </c>
      <c r="J1442" s="2" t="str">
        <f>HYPERLINK("https://www.nba.com/stats/events?CFID=&amp;CFPARAMS=&amp;GameEventID=203&amp;GameID=0021500905&amp;Season=2015-16&amp;flag=1&amp;title=Leonard%208'%20Turnaround%20Jump%20Shot%20(17%20PTS)", "Leonard 8' Turnaround Jump Shot (17 PTS)")</f>
        <v>Leonard 8' Turnaround Jump Shot (17 PTS)</v>
      </c>
      <c r="K1442" s="2" t="str">
        <f>HYPERLINK("https://www.nba.com/game/...-vs-...-0021500905/play-by-play?watchFullGame=true", "SAS vs DET - Q2 00:12.50")</f>
        <v>SAS vs DET - Q2 00:12.50</v>
      </c>
      <c r="L1442">
        <v>8</v>
      </c>
      <c r="M1442">
        <v>-7</v>
      </c>
      <c r="N1442">
        <v>80</v>
      </c>
      <c r="O1442">
        <v>-7</v>
      </c>
      <c r="P1442">
        <v>80</v>
      </c>
    </row>
    <row r="1443" spans="1:16" x14ac:dyDescent="0.25">
      <c r="A1443">
        <v>41800216</v>
      </c>
      <c r="B1443" t="s">
        <v>20</v>
      </c>
      <c r="C1443" t="s">
        <v>32</v>
      </c>
      <c r="D1443" t="s">
        <v>35</v>
      </c>
      <c r="E1443">
        <v>62</v>
      </c>
      <c r="F1443">
        <v>48</v>
      </c>
      <c r="G1443">
        <v>3</v>
      </c>
      <c r="H1443" s="1">
        <v>6.4467592592592588E-3</v>
      </c>
      <c r="I1443" t="s">
        <v>21</v>
      </c>
      <c r="J1443" s="2" t="str">
        <f>HYPERLINK("https://www.nba.com/stats/events?CFID=&amp;CFPARAMS=&amp;GameEventID=345&amp;GameID=0041800216&amp;Season=2018-19&amp;flag=1&amp;title=Leonard%208'%20Driving%20Floating%20Jump%20Shot%20(16%20PTS)", "Leonard 8' Driving Floating Jump Shot (16 PTS)")</f>
        <v>Leonard 8' Driving Floating Jump Shot (16 PTS)</v>
      </c>
      <c r="K1443" s="2" t="str">
        <f>HYPERLINK("https://www.nba.com/game/...-vs-...-0041800216/play-by-play?watchFullGame=true", "TOR vs PHI - Q3 09:17.00")</f>
        <v>TOR vs PHI - Q3 09:17.00</v>
      </c>
      <c r="L1443">
        <v>8</v>
      </c>
      <c r="M1443">
        <v>-7</v>
      </c>
      <c r="N1443">
        <v>84</v>
      </c>
      <c r="O1443">
        <v>-7</v>
      </c>
      <c r="P1443">
        <v>84</v>
      </c>
    </row>
    <row r="1444" spans="1:16" x14ac:dyDescent="0.25">
      <c r="A1444">
        <v>21500928</v>
      </c>
      <c r="B1444">
        <v>2015</v>
      </c>
      <c r="C1444" t="s">
        <v>32</v>
      </c>
      <c r="D1444" t="s">
        <v>43</v>
      </c>
      <c r="E1444">
        <v>43</v>
      </c>
      <c r="F1444">
        <v>41</v>
      </c>
      <c r="G1444">
        <v>2</v>
      </c>
      <c r="H1444" s="1">
        <v>3.1250000000000002E-3</v>
      </c>
      <c r="I1444" t="s">
        <v>18</v>
      </c>
      <c r="J1444" s="2" t="str">
        <f>HYPERLINK("https://www.nba.com/stats/events?CFID=&amp;CFPARAMS=&amp;GameEventID=210&amp;GameID=0021500928&amp;Season=2015-16&amp;flag=1&amp;title=Leonard%2010'%20Turnaround%20Hook%20Shot%20(7%20PTS)", "Leonard 10' Turnaround Hook Shot (7 PTS)")</f>
        <v>Leonard 10' Turnaround Hook Shot (7 PTS)</v>
      </c>
      <c r="K1444" s="2" t="str">
        <f>HYPERLINK("https://www.nba.com/game/...-vs-...-0021500928/play-by-play?watchFullGame=true", "SAS vs SAC - Q2 04:30.00")</f>
        <v>SAS vs SAC - Q2 04:30.00</v>
      </c>
      <c r="L1444">
        <v>10</v>
      </c>
      <c r="M1444">
        <v>-7</v>
      </c>
      <c r="N1444">
        <v>97</v>
      </c>
      <c r="O1444">
        <v>-7</v>
      </c>
      <c r="P1444">
        <v>97</v>
      </c>
    </row>
    <row r="1445" spans="1:16" x14ac:dyDescent="0.25">
      <c r="A1445">
        <v>21900016</v>
      </c>
      <c r="B1445">
        <v>2019</v>
      </c>
      <c r="C1445" t="s">
        <v>32</v>
      </c>
      <c r="D1445" t="s">
        <v>22</v>
      </c>
      <c r="E1445">
        <v>60</v>
      </c>
      <c r="F1445">
        <v>83</v>
      </c>
      <c r="G1445">
        <v>3</v>
      </c>
      <c r="H1445" s="1">
        <v>5.6597222222222222E-3</v>
      </c>
      <c r="I1445" t="s">
        <v>23</v>
      </c>
      <c r="J1445" s="2" t="str">
        <f>HYPERLINK("https://www.nba.com/stats/events?CFID=&amp;CFPARAMS=&amp;GameEventID=434&amp;GameID=0021900016&amp;Season=2019-20&amp;flag=1&amp;title=[LAC]%20Leonard%20jumpshot:%20Made%20(18%20PTS)%20assist:%20Zubac%20(1%20AST)", "[LAC] Leonard jumpshot: Made (18 PTS) assist: Zubac (1 AST)")</f>
        <v>[LAC] Leonard jumpshot: Made (18 PTS) assist: Zubac (1 AST)</v>
      </c>
      <c r="K1445" s="2" t="str">
        <f>HYPERLINK("https://www.nba.com/game/...-vs-...-0021900016/play-by-play?watchFullGame=true", "LAC vs GSW - Q3 08:09.00")</f>
        <v>LAC vs GSW - Q3 08:09.00</v>
      </c>
      <c r="L1445">
        <v>13.4</v>
      </c>
      <c r="M1445">
        <v>80.77</v>
      </c>
      <c r="N1445">
        <v>48.6</v>
      </c>
      <c r="O1445">
        <v>-7</v>
      </c>
      <c r="P1445">
        <v>128</v>
      </c>
    </row>
    <row r="1446" spans="1:16" x14ac:dyDescent="0.25">
      <c r="A1446">
        <v>41600156</v>
      </c>
      <c r="B1446" t="s">
        <v>30</v>
      </c>
      <c r="C1446" t="s">
        <v>32</v>
      </c>
      <c r="D1446" t="s">
        <v>31</v>
      </c>
      <c r="E1446">
        <v>85</v>
      </c>
      <c r="F1446">
        <v>81</v>
      </c>
      <c r="G1446">
        <v>4</v>
      </c>
      <c r="H1446" s="1">
        <v>4.7337962962962967E-3</v>
      </c>
      <c r="I1446" t="s">
        <v>18</v>
      </c>
      <c r="J1446" s="2" t="str">
        <f>HYPERLINK("https://www.nba.com/stats/events?CFID=&amp;CFPARAMS=&amp;GameEventID=402&amp;GameID=0041600156&amp;Season=2016-17&amp;flag=1&amp;title=Leonard%2013'%20Step%20Back%20Jump%20Shot%20(21%20PTS)", "Leonard 13' Step Back Jump Shot (21 PTS)")</f>
        <v>Leonard 13' Step Back Jump Shot (21 PTS)</v>
      </c>
      <c r="K1446" s="2" t="str">
        <f>HYPERLINK("https://www.nba.com/game/...-vs-...-0041600156/play-by-play?watchFullGame=true", "SAS vs MEM - Q4 06:49.00")</f>
        <v>SAS vs MEM - Q4 06:49.00</v>
      </c>
      <c r="L1446">
        <v>13</v>
      </c>
      <c r="M1446">
        <v>-7</v>
      </c>
      <c r="N1446">
        <v>129</v>
      </c>
      <c r="O1446">
        <v>-7</v>
      </c>
      <c r="P1446">
        <v>129</v>
      </c>
    </row>
    <row r="1447" spans="1:16" x14ac:dyDescent="0.25">
      <c r="A1447">
        <v>41600152</v>
      </c>
      <c r="B1447" t="s">
        <v>30</v>
      </c>
      <c r="C1447" t="s">
        <v>32</v>
      </c>
      <c r="D1447" t="s">
        <v>29</v>
      </c>
      <c r="E1447">
        <v>15</v>
      </c>
      <c r="F1447">
        <v>10</v>
      </c>
      <c r="G1447">
        <v>1</v>
      </c>
      <c r="H1447" s="1">
        <v>4.9305555555555552E-3</v>
      </c>
      <c r="I1447" t="s">
        <v>18</v>
      </c>
      <c r="J1447" s="2" t="str">
        <f>HYPERLINK("https://www.nba.com/stats/events?CFID=&amp;CFPARAMS=&amp;GameEventID=51&amp;GameID=0041600152&amp;Season=2016-17&amp;flag=1&amp;title=Leonard%2013'%20Pullup%20Jump%20Shot%20(4%20PTS)", "Leonard 13' Pullup Jump Shot (4 PTS)")</f>
        <v>Leonard 13' Pullup Jump Shot (4 PTS)</v>
      </c>
      <c r="K1447" s="2" t="str">
        <f>HYPERLINK("https://www.nba.com/game/...-vs-...-0041600152/play-by-play?watchFullGame=true", "SAS vs MEM - Q1 07:06.00")</f>
        <v>SAS vs MEM - Q1 07:06.00</v>
      </c>
      <c r="L1447">
        <v>13</v>
      </c>
      <c r="M1447">
        <v>-7</v>
      </c>
      <c r="N1447">
        <v>129</v>
      </c>
      <c r="O1447">
        <v>-7</v>
      </c>
      <c r="P1447">
        <v>129</v>
      </c>
    </row>
    <row r="1448" spans="1:16" x14ac:dyDescent="0.25">
      <c r="A1448">
        <v>21400949</v>
      </c>
      <c r="B1448">
        <v>2014</v>
      </c>
      <c r="C1448" t="s">
        <v>32</v>
      </c>
      <c r="D1448" t="s">
        <v>19</v>
      </c>
      <c r="E1448">
        <v>67</v>
      </c>
      <c r="F1448">
        <v>43</v>
      </c>
      <c r="G1448">
        <v>3</v>
      </c>
      <c r="H1448" s="1">
        <v>6.7592592592592591E-3</v>
      </c>
      <c r="I1448" t="s">
        <v>18</v>
      </c>
      <c r="J1448" s="2" t="str">
        <f>HYPERLINK("https://www.nba.com/stats/events?CFID=&amp;CFPARAMS=&amp;GameEventID=274&amp;GameID=0021400949&amp;Season=2014-15&amp;flag=1&amp;title=Leonard%2013'%20Jump%20Shot%20(12%20PTS)", "Leonard 13' Jump Shot (12 PTS)")</f>
        <v>Leonard 13' Jump Shot (12 PTS)</v>
      </c>
      <c r="K1448" s="2" t="str">
        <f>HYPERLINK("https://www.nba.com/game/...-vs-...-0021400949/play-by-play?watchFullGame=true", "SAS vs TOR - Q3 09:44.00")</f>
        <v>SAS vs TOR - Q3 09:44.00</v>
      </c>
      <c r="L1448">
        <v>13</v>
      </c>
      <c r="M1448">
        <v>-7</v>
      </c>
      <c r="N1448">
        <v>134</v>
      </c>
      <c r="O1448">
        <v>-7</v>
      </c>
      <c r="P1448">
        <v>134</v>
      </c>
    </row>
    <row r="1449" spans="1:16" x14ac:dyDescent="0.25">
      <c r="A1449">
        <v>22000457</v>
      </c>
      <c r="B1449">
        <v>2020</v>
      </c>
      <c r="C1449" t="s">
        <v>32</v>
      </c>
      <c r="D1449" t="s">
        <v>19</v>
      </c>
      <c r="E1449">
        <v>77</v>
      </c>
      <c r="F1449">
        <v>73</v>
      </c>
      <c r="G1449">
        <v>3</v>
      </c>
      <c r="H1449" s="1">
        <v>9.9537037037037042E-4</v>
      </c>
      <c r="I1449" t="s">
        <v>23</v>
      </c>
      <c r="J1449" s="2" t="str">
        <f>HYPERLINK("https://www.nba.com/stats/events?CFID=&amp;CFPARAMS=&amp;GameEventID=432&amp;GameID=0022000457&amp;Season=2020-21&amp;flag=1&amp;title=Leonard%2014'%20pullup%20Jump%20Shot%20(22%20PTS)", "14' pullup Jump Shot (22 PTS)")</f>
        <v>14' pullup Jump Shot (22 PTS)</v>
      </c>
      <c r="K1449" s="2" t="str">
        <f>HYPERLINK("https://www.nba.com/game/...-vs-...-0022000457/play-by-play?watchFullGame=true", "LAC vs UTA - Q3 01:26.00")</f>
        <v>LAC vs UTA - Q3 01:26.00</v>
      </c>
      <c r="L1449">
        <v>14.33</v>
      </c>
      <c r="M1449">
        <v>79.19</v>
      </c>
      <c r="N1449">
        <v>48.6</v>
      </c>
      <c r="O1449">
        <v>-7</v>
      </c>
      <c r="P1449">
        <v>143</v>
      </c>
    </row>
    <row r="1450" spans="1:16" x14ac:dyDescent="0.25">
      <c r="A1450">
        <v>21500172</v>
      </c>
      <c r="B1450">
        <v>2015</v>
      </c>
      <c r="C1450" t="s">
        <v>32</v>
      </c>
      <c r="D1450" t="s">
        <v>29</v>
      </c>
      <c r="E1450">
        <v>77</v>
      </c>
      <c r="F1450">
        <v>66</v>
      </c>
      <c r="G1450">
        <v>3</v>
      </c>
      <c r="H1450" s="1">
        <v>4.9305555555555552E-3</v>
      </c>
      <c r="I1450" t="s">
        <v>18</v>
      </c>
      <c r="J1450" s="2" t="str">
        <f>HYPERLINK("https://www.nba.com/stats/events?CFID=&amp;CFPARAMS=&amp;GameEventID=301&amp;GameID=0021500172&amp;Season=2015-16&amp;flag=1&amp;title=Leonard%2015'%20Pullup%20Jump%20Shot%20(13%20PTS)%20(Duncan%204%20AST)", "Leonard 15' Pullup Jump Shot (13 PTS) (Duncan 4 AST)")</f>
        <v>Leonard 15' Pullup Jump Shot (13 PTS) (Duncan 4 AST)</v>
      </c>
      <c r="K1450" s="2" t="str">
        <f>HYPERLINK("https://www.nba.com/game/...-vs-...-0021500172/play-by-play?watchFullGame=true", "SAS vs DEN - Q3 07:06.00")</f>
        <v>SAS vs DEN - Q3 07:06.00</v>
      </c>
      <c r="L1450">
        <v>15</v>
      </c>
      <c r="M1450">
        <v>-7</v>
      </c>
      <c r="N1450">
        <v>149</v>
      </c>
      <c r="O1450">
        <v>-7</v>
      </c>
      <c r="P1450">
        <v>149</v>
      </c>
    </row>
    <row r="1451" spans="1:16" x14ac:dyDescent="0.25">
      <c r="A1451">
        <v>22201096</v>
      </c>
      <c r="B1451">
        <v>2022</v>
      </c>
      <c r="C1451" t="s">
        <v>32</v>
      </c>
      <c r="D1451" t="s">
        <v>19</v>
      </c>
      <c r="E1451">
        <v>70</v>
      </c>
      <c r="F1451">
        <v>68</v>
      </c>
      <c r="G1451">
        <v>3</v>
      </c>
      <c r="H1451" s="1">
        <v>4.6180555555555558E-3</v>
      </c>
      <c r="I1451" t="s">
        <v>23</v>
      </c>
      <c r="J1451" s="2" t="str">
        <f>HYPERLINK("https://www.nba.com/stats/events?CFID=&amp;CFPARAMS=&amp;GameEventID=399&amp;GameID=0022201096&amp;Season=2022-23&amp;flag=1&amp;title=Leonard%2016'%20pullup%20Jump%20Shot%20(21%20PTS)", "16' pullup Jump Shot (21 PTS)")</f>
        <v>16' pullup Jump Shot (21 PTS)</v>
      </c>
      <c r="K1451" s="2" t="str">
        <f>HYPERLINK("https://www.nba.com/game/...-vs-...-0022201096/play-by-play?watchFullGame=true", "LAC vs OKC - Q3 06:39.00")</f>
        <v>LAC vs OKC - Q3 06:39.00</v>
      </c>
      <c r="L1451">
        <v>16.68</v>
      </c>
      <c r="M1451">
        <v>23.31</v>
      </c>
      <c r="N1451">
        <v>51.47</v>
      </c>
      <c r="O1451">
        <v>-7</v>
      </c>
      <c r="P1451">
        <v>167</v>
      </c>
    </row>
    <row r="1452" spans="1:16" x14ac:dyDescent="0.25">
      <c r="A1452">
        <v>22300676</v>
      </c>
      <c r="B1452">
        <v>2023</v>
      </c>
      <c r="C1452" t="s">
        <v>32</v>
      </c>
      <c r="D1452" t="s">
        <v>19</v>
      </c>
      <c r="E1452">
        <v>70</v>
      </c>
      <c r="F1452">
        <v>91</v>
      </c>
      <c r="G1452">
        <v>3</v>
      </c>
      <c r="H1452" s="1">
        <v>2.4652777777777776E-3</v>
      </c>
      <c r="I1452" t="s">
        <v>23</v>
      </c>
      <c r="J1452" s="2" t="str">
        <f>HYPERLINK("https://www.nba.com/stats/events?CFID=&amp;CFPARAMS=&amp;GameEventID=424&amp;GameID=0022300676&amp;Season=2023-24&amp;flag=1&amp;title=Leonard%2017'%20step%20back%20Jump%20Shot%20(27%20PTS)", "17' step back Jump Shot (27 PTS)")</f>
        <v>17' step back Jump Shot (27 PTS)</v>
      </c>
      <c r="K1452" s="2" t="str">
        <f>HYPERLINK("https://www.nba.com/game/...-vs-...-0022300676/play-by-play?watchFullGame=true", "LAC vs WAS - Q3 03:33.00")</f>
        <v>LAC vs WAS - Q3 03:33.00</v>
      </c>
      <c r="L1452">
        <v>17.7</v>
      </c>
      <c r="M1452">
        <v>24.39</v>
      </c>
      <c r="N1452">
        <v>51.47</v>
      </c>
      <c r="O1452">
        <v>-7</v>
      </c>
      <c r="P1452">
        <v>177</v>
      </c>
    </row>
    <row r="1453" spans="1:16" x14ac:dyDescent="0.25">
      <c r="A1453">
        <v>21300082</v>
      </c>
      <c r="B1453">
        <v>2013</v>
      </c>
      <c r="C1453" t="s">
        <v>32</v>
      </c>
      <c r="D1453" t="s">
        <v>31</v>
      </c>
      <c r="E1453">
        <v>46</v>
      </c>
      <c r="F1453">
        <v>40</v>
      </c>
      <c r="G1453">
        <v>3</v>
      </c>
      <c r="H1453" s="1">
        <v>6.7245370370370367E-3</v>
      </c>
      <c r="I1453" t="s">
        <v>18</v>
      </c>
      <c r="J1453" s="2" t="str">
        <f>HYPERLINK("https://www.nba.com/stats/events?CFID=&amp;CFPARAMS=&amp;GameEventID=246&amp;GameID=0021300082&amp;Season=2013-14&amp;flag=1&amp;title=Leonard%2018'%20Step%20Back%20Jump%20Shot%20(11%20PTS)", "Leonard 18' Step Back Jump Shot (11 PTS)")</f>
        <v>Leonard 18' Step Back Jump Shot (11 PTS)</v>
      </c>
      <c r="K1453" s="2" t="str">
        <f>HYPERLINK("https://www.nba.com/game/...-vs-...-0021300082/play-by-play?watchFullGame=true", "SAS vs GSW - Q3 09:41.00")</f>
        <v>SAS vs GSW - Q3 09:41.00</v>
      </c>
      <c r="L1453">
        <v>18</v>
      </c>
      <c r="M1453">
        <v>-7</v>
      </c>
      <c r="N1453">
        <v>179</v>
      </c>
      <c r="O1453">
        <v>-7</v>
      </c>
      <c r="P1453">
        <v>179</v>
      </c>
    </row>
    <row r="1454" spans="1:16" x14ac:dyDescent="0.25">
      <c r="A1454">
        <v>21600289</v>
      </c>
      <c r="B1454">
        <v>2016</v>
      </c>
      <c r="C1454" t="s">
        <v>32</v>
      </c>
      <c r="D1454" t="s">
        <v>19</v>
      </c>
      <c r="E1454">
        <v>2</v>
      </c>
      <c r="F1454">
        <v>0</v>
      </c>
      <c r="G1454">
        <v>1</v>
      </c>
      <c r="H1454" s="1">
        <v>8.1828703703703699E-3</v>
      </c>
      <c r="I1454" t="s">
        <v>18</v>
      </c>
      <c r="J1454" s="2" t="str">
        <f>HYPERLINK("https://www.nba.com/stats/events?CFID=&amp;CFPARAMS=&amp;GameEventID=3&amp;GameID=0021600289&amp;Season=2016-17&amp;flag=1&amp;title=Leonard%2020'%20Jump%20Shot%20(2%20PTS)%20(Gasol%201%20AST)", "Leonard 20' Jump Shot (2 PTS) (Gasol 1 AST)")</f>
        <v>Leonard 20' Jump Shot (2 PTS) (Gasol 1 AST)</v>
      </c>
      <c r="K1454" s="2" t="str">
        <f>HYPERLINK("https://www.nba.com/game/...-vs-...-0021600289/play-by-play?watchFullGame=true", "SAS vs WAS - Q1 11:47.00")</f>
        <v>SAS vs WAS - Q1 11:47.00</v>
      </c>
      <c r="L1454">
        <v>20</v>
      </c>
      <c r="M1454">
        <v>-7</v>
      </c>
      <c r="N1454">
        <v>200</v>
      </c>
      <c r="O1454">
        <v>-7</v>
      </c>
      <c r="P1454">
        <v>200</v>
      </c>
    </row>
    <row r="1455" spans="1:16" x14ac:dyDescent="0.25">
      <c r="A1455">
        <v>22000799</v>
      </c>
      <c r="B1455">
        <v>2020</v>
      </c>
      <c r="C1455" t="s">
        <v>32</v>
      </c>
      <c r="D1455" t="s">
        <v>48</v>
      </c>
      <c r="E1455">
        <v>94</v>
      </c>
      <c r="F1455">
        <v>76</v>
      </c>
      <c r="G1455">
        <v>3</v>
      </c>
      <c r="H1455" s="1">
        <v>5.1736111111111112E-4</v>
      </c>
      <c r="I1455" t="s">
        <v>23</v>
      </c>
      <c r="J1455" s="2" t="str">
        <f>HYPERLINK("https://www.nba.com/stats/events?CFID=&amp;CFPARAMS=&amp;GameEventID=490&amp;GameID=0022000799&amp;Season=2020-21&amp;flag=1&amp;title=Leonard%20driving%20DUNK%20(23%20PTS)%20(T.%20Mann%208%20AST)", "Driving DUNK (23 PTS) (T. Mann 8 AST)")</f>
        <v>Driving DUNK (23 PTS) (T. Mann 8 AST)</v>
      </c>
      <c r="K1455" s="2" t="str">
        <f>HYPERLINK("https://www.nba.com/game/...-vs-...-0022000799/play-by-play?watchFullGame=true", "LAC vs HOU - Q3 00:44.70")</f>
        <v>LAC vs HOU - Q3 00:44.70</v>
      </c>
      <c r="L1455">
        <v>0.98</v>
      </c>
      <c r="M1455">
        <v>4.8099999999999996</v>
      </c>
      <c r="N1455">
        <v>51.29</v>
      </c>
      <c r="O1455">
        <v>-6</v>
      </c>
      <c r="P1455">
        <v>-7</v>
      </c>
    </row>
    <row r="1456" spans="1:16" x14ac:dyDescent="0.25">
      <c r="A1456">
        <v>22200363</v>
      </c>
      <c r="B1456">
        <v>2022</v>
      </c>
      <c r="C1456" t="s">
        <v>32</v>
      </c>
      <c r="D1456" t="s">
        <v>48</v>
      </c>
      <c r="E1456">
        <v>28</v>
      </c>
      <c r="F1456">
        <v>41</v>
      </c>
      <c r="G1456">
        <v>2</v>
      </c>
      <c r="H1456" s="1">
        <v>3.7499999999999999E-3</v>
      </c>
      <c r="I1456" t="s">
        <v>23</v>
      </c>
      <c r="J1456" s="2" t="str">
        <f>HYPERLINK("https://www.nba.com/stats/events?CFID=&amp;CFPARAMS=&amp;GameEventID=260&amp;GameID=0022200363&amp;Season=2022-23&amp;flag=1&amp;title=Leonard%20running%20DUNK%20(9%20PTS)%20(T.%20Mann%203%20AST)", "Running DUNK (9 PTS) (T. Mann 3 AST)")</f>
        <v>Running DUNK (9 PTS) (T. Mann 3 AST)</v>
      </c>
      <c r="K1456" s="2" t="str">
        <f>HYPERLINK("https://www.nba.com/game/...-vs-...-0022200363/play-by-play?watchFullGame=true", "LAC vs ORL - Q2 05:24.00")</f>
        <v>LAC vs ORL - Q2 05:24.00</v>
      </c>
      <c r="L1456">
        <v>0.86</v>
      </c>
      <c r="M1456">
        <v>4.9400000000000004</v>
      </c>
      <c r="N1456">
        <v>51.23</v>
      </c>
      <c r="O1456">
        <v>-6</v>
      </c>
      <c r="P1456">
        <v>-6</v>
      </c>
    </row>
    <row r="1457" spans="1:16" x14ac:dyDescent="0.25">
      <c r="A1457">
        <v>22000400</v>
      </c>
      <c r="B1457">
        <v>2020</v>
      </c>
      <c r="C1457" t="s">
        <v>32</v>
      </c>
      <c r="D1457" t="s">
        <v>48</v>
      </c>
      <c r="E1457">
        <v>74</v>
      </c>
      <c r="F1457">
        <v>80</v>
      </c>
      <c r="G1457">
        <v>3</v>
      </c>
      <c r="H1457" s="1">
        <v>2.9398148148148148E-3</v>
      </c>
      <c r="I1457" t="s">
        <v>23</v>
      </c>
      <c r="J1457" s="2" t="str">
        <f>HYPERLINK("https://www.nba.com/stats/events?CFID=&amp;CFPARAMS=&amp;GameEventID=387&amp;GameID=0022000400&amp;Season=2020-21&amp;flag=1&amp;title=Leonard%20cutting%20DUNK%20(22%20PTS)%20(I.%20Zubac%201%20AST)", "Cutting DUNK (22 PTS) (I. Zubac 1 AST)")</f>
        <v>Cutting DUNK (22 PTS) (I. Zubac 1 AST)</v>
      </c>
      <c r="K1457" s="2" t="str">
        <f>HYPERLINK("https://www.nba.com/game/...-vs-...-0022000400/play-by-play?watchFullGame=true", "LAC vs CHI - Q3 04:14.00")</f>
        <v>LAC vs CHI - Q3 04:14.00</v>
      </c>
      <c r="L1457">
        <v>0.74</v>
      </c>
      <c r="M1457">
        <v>5.21</v>
      </c>
      <c r="N1457">
        <v>51.29</v>
      </c>
      <c r="O1457">
        <v>-6</v>
      </c>
      <c r="P1457">
        <v>-4</v>
      </c>
    </row>
    <row r="1458" spans="1:16" x14ac:dyDescent="0.25">
      <c r="A1458">
        <v>41600234</v>
      </c>
      <c r="B1458" t="s">
        <v>30</v>
      </c>
      <c r="C1458" t="s">
        <v>32</v>
      </c>
      <c r="D1458" t="s">
        <v>70</v>
      </c>
      <c r="E1458">
        <v>37</v>
      </c>
      <c r="F1458">
        <v>24</v>
      </c>
      <c r="G1458">
        <v>2</v>
      </c>
      <c r="H1458" s="1">
        <v>7.5925925925925926E-3</v>
      </c>
      <c r="I1458" t="s">
        <v>18</v>
      </c>
      <c r="J1458" s="2" t="str">
        <f>HYPERLINK("https://www.nba.com/stats/events?CFID=&amp;CFPARAMS=&amp;GameEventID=152&amp;GameID=0041600234&amp;Season=2016-17&amp;flag=1&amp;title=Leonard%201'%20Driving%20Hook%20Shot%20(5%20PTS)", "Leonard 1' Driving Hook Shot (5 PTS)")</f>
        <v>Leonard 1' Driving Hook Shot (5 PTS)</v>
      </c>
      <c r="K1458" s="2" t="str">
        <f>HYPERLINK("https://www.nba.com/game/...-vs-...-0041600234/play-by-play?watchFullGame=true", "SAS vs HOU - Q2 10:56.00")</f>
        <v>SAS vs HOU - Q2 10:56.00</v>
      </c>
      <c r="L1458">
        <v>1</v>
      </c>
      <c r="M1458">
        <v>-6</v>
      </c>
      <c r="N1458">
        <v>-1</v>
      </c>
      <c r="O1458">
        <v>-6</v>
      </c>
      <c r="P1458">
        <v>-1</v>
      </c>
    </row>
    <row r="1459" spans="1:16" x14ac:dyDescent="0.25">
      <c r="A1459">
        <v>22300600</v>
      </c>
      <c r="B1459">
        <v>2023</v>
      </c>
      <c r="C1459" t="s">
        <v>32</v>
      </c>
      <c r="D1459" t="s">
        <v>48</v>
      </c>
      <c r="E1459">
        <v>49</v>
      </c>
      <c r="F1459">
        <v>57</v>
      </c>
      <c r="G1459">
        <v>2</v>
      </c>
      <c r="H1459" s="1">
        <v>7.291666666666667E-4</v>
      </c>
      <c r="I1459" t="s">
        <v>23</v>
      </c>
      <c r="J1459" s="2" t="str">
        <f>HYPERLINK("https://www.nba.com/stats/events?CFID=&amp;CFPARAMS=&amp;GameEventID=294&amp;GameID=0022300600&amp;Season=2023-24&amp;flag=1&amp;title=Leonard%20running%20DUNK%20(7%20PTS)", "Running DUNK (7 PTS)")</f>
        <v>Running DUNK (7 PTS)</v>
      </c>
      <c r="K1459" s="2" t="str">
        <f>HYPERLINK("https://www.nba.com/game/...-vs-...-0022300600/play-by-play?watchFullGame=true", "LAC vs BKN - Q2 01:03.00")</f>
        <v>LAC vs BKN - Q2 01:03.00</v>
      </c>
      <c r="L1459">
        <v>0.65</v>
      </c>
      <c r="M1459">
        <v>5.83</v>
      </c>
      <c r="N1459">
        <v>51.23</v>
      </c>
      <c r="O1459">
        <v>-6</v>
      </c>
      <c r="P1459">
        <v>2</v>
      </c>
    </row>
    <row r="1460" spans="1:16" x14ac:dyDescent="0.25">
      <c r="A1460">
        <v>21600387</v>
      </c>
      <c r="B1460">
        <v>2016</v>
      </c>
      <c r="C1460" t="s">
        <v>32</v>
      </c>
      <c r="D1460" t="s">
        <v>63</v>
      </c>
      <c r="E1460">
        <v>42</v>
      </c>
      <c r="F1460">
        <v>46</v>
      </c>
      <c r="G1460">
        <v>2</v>
      </c>
      <c r="H1460" s="1">
        <v>9.3749999999999997E-4</v>
      </c>
      <c r="I1460" t="s">
        <v>18</v>
      </c>
      <c r="J1460" s="2" t="str">
        <f>HYPERLINK("https://www.nba.com/stats/events?CFID=&amp;CFPARAMS=&amp;GameEventID=230&amp;GameID=0021600387&amp;Season=2016-17&amp;flag=1&amp;title=Leonard%201'%20Running%20Dunk%20(9%20PTS)", "Leonard 1' Running Dunk (9 PTS)")</f>
        <v>Leonard 1' Running Dunk (9 PTS)</v>
      </c>
      <c r="K1460" s="2" t="str">
        <f>HYPERLINK("https://www.nba.com/game/...-vs-...-0021600387/play-by-play?watchFullGame=true", "SAS vs PHX - Q2 01:21.00")</f>
        <v>SAS vs PHX - Q2 01:21.00</v>
      </c>
      <c r="L1460">
        <v>1</v>
      </c>
      <c r="M1460">
        <v>-6</v>
      </c>
      <c r="N1460">
        <v>3</v>
      </c>
      <c r="O1460">
        <v>-6</v>
      </c>
      <c r="P1460">
        <v>3</v>
      </c>
    </row>
    <row r="1461" spans="1:16" x14ac:dyDescent="0.25">
      <c r="A1461">
        <v>22200701</v>
      </c>
      <c r="B1461">
        <v>2022</v>
      </c>
      <c r="C1461" t="s">
        <v>32</v>
      </c>
      <c r="D1461" t="s">
        <v>47</v>
      </c>
      <c r="E1461">
        <v>60</v>
      </c>
      <c r="F1461">
        <v>65</v>
      </c>
      <c r="G1461">
        <v>3</v>
      </c>
      <c r="H1461" s="1">
        <v>4.8263888888888887E-3</v>
      </c>
      <c r="I1461" t="s">
        <v>23</v>
      </c>
      <c r="J1461" s="2" t="str">
        <f>HYPERLINK("https://www.nba.com/stats/events?CFID=&amp;CFPARAMS=&amp;GameEventID=371&amp;GameID=0022200701&amp;Season=2022-23&amp;flag=1&amp;title=Leonard%20running%20finger%20roll%20Layup%20(17%20PTS)%20(P.%20George%204%20AST)", "Running finger roll Layup (17 PTS) (P. George 4 AST)")</f>
        <v>Running finger roll Layup (17 PTS) (P. George 4 AST)</v>
      </c>
      <c r="K1461" s="2" t="str">
        <f>HYPERLINK("https://www.nba.com/game/...-vs-...-0022200701/play-by-play?watchFullGame=true", "LAC vs DAL - Q3 06:57.00")</f>
        <v>LAC vs DAL - Q3 06:57.00</v>
      </c>
      <c r="L1461">
        <v>0.72</v>
      </c>
      <c r="M1461">
        <v>6</v>
      </c>
      <c r="N1461">
        <v>51.23</v>
      </c>
      <c r="O1461">
        <v>-6</v>
      </c>
      <c r="P1461">
        <v>4</v>
      </c>
    </row>
    <row r="1462" spans="1:16" x14ac:dyDescent="0.25">
      <c r="A1462">
        <v>22201004</v>
      </c>
      <c r="B1462">
        <v>2022</v>
      </c>
      <c r="C1462" t="s">
        <v>32</v>
      </c>
      <c r="D1462" t="s">
        <v>48</v>
      </c>
      <c r="E1462">
        <v>73</v>
      </c>
      <c r="F1462">
        <v>70</v>
      </c>
      <c r="G1462">
        <v>3</v>
      </c>
      <c r="H1462" s="1">
        <v>1.9328703703703704E-3</v>
      </c>
      <c r="I1462" t="s">
        <v>23</v>
      </c>
      <c r="J1462" s="2" t="str">
        <f>HYPERLINK("https://www.nba.com/stats/events?CFID=&amp;CFPARAMS=&amp;GameEventID=411&amp;GameID=0022201004&amp;Season=2022-23&amp;flag=1&amp;title=Leonard%20running%20alley-oop%20DUNK%20(28%20PTS)%20(P.%20George%206%20AST)", "Running alley-oop DUNK (28 PTS) (P. George 6 AST)")</f>
        <v>Running alley-oop DUNK (28 PTS) (P. George 6 AST)</v>
      </c>
      <c r="K1462" s="2" t="str">
        <f>HYPERLINK("https://www.nba.com/game/...-vs-...-0022201004/play-by-play?watchFullGame=true", "LAC vs NYK - Q3 02:47.00")</f>
        <v>LAC vs NYK - Q3 02:47.00</v>
      </c>
      <c r="L1462">
        <v>0.78</v>
      </c>
      <c r="M1462">
        <v>6.09</v>
      </c>
      <c r="N1462">
        <v>51.23</v>
      </c>
      <c r="O1462">
        <v>-6</v>
      </c>
      <c r="P1462">
        <v>5</v>
      </c>
    </row>
    <row r="1463" spans="1:16" x14ac:dyDescent="0.25">
      <c r="A1463">
        <v>21900603</v>
      </c>
      <c r="B1463">
        <v>2019</v>
      </c>
      <c r="C1463" t="s">
        <v>32</v>
      </c>
      <c r="D1463" t="s">
        <v>65</v>
      </c>
      <c r="E1463">
        <v>65</v>
      </c>
      <c r="F1463">
        <v>50</v>
      </c>
      <c r="G1463">
        <v>2</v>
      </c>
      <c r="H1463" s="1">
        <v>2.4305555555555558E-5</v>
      </c>
      <c r="I1463" t="s">
        <v>23</v>
      </c>
      <c r="J1463" s="2" t="str">
        <f>HYPERLINK("https://www.nba.com/stats/events?CFID=&amp;CFPARAMS=&amp;GameEventID=300&amp;GameID=0021900603&amp;Season=2019-20&amp;flag=1&amp;title=Leonard%20dunk%20(25%20PTS)", "Dunk (25 PTS)")</f>
        <v>Dunk (25 PTS)</v>
      </c>
      <c r="K1463" s="2" t="str">
        <f>HYPERLINK("https://www.nba.com/game/...-vs-...-0021900603/play-by-play?watchFullGame=true", "LAC vs CLE - Q2 00:02.10")</f>
        <v>LAC vs CLE - Q2 00:02.10</v>
      </c>
      <c r="L1463">
        <v>1.18</v>
      </c>
      <c r="M1463">
        <v>6.09</v>
      </c>
      <c r="N1463">
        <v>51.16</v>
      </c>
      <c r="O1463">
        <v>-6</v>
      </c>
      <c r="P1463">
        <v>5</v>
      </c>
    </row>
    <row r="1464" spans="1:16" x14ac:dyDescent="0.25">
      <c r="A1464">
        <v>21600425</v>
      </c>
      <c r="B1464">
        <v>2016</v>
      </c>
      <c r="C1464" t="s">
        <v>32</v>
      </c>
      <c r="D1464" t="s">
        <v>55</v>
      </c>
      <c r="E1464">
        <v>51</v>
      </c>
      <c r="F1464">
        <v>57</v>
      </c>
      <c r="G1464">
        <v>3</v>
      </c>
      <c r="H1464" s="1">
        <v>6.3078703703703708E-3</v>
      </c>
      <c r="I1464" t="s">
        <v>18</v>
      </c>
      <c r="J1464" s="2" t="str">
        <f>HYPERLINK("https://www.nba.com/stats/events?CFID=&amp;CFPARAMS=&amp;GameEventID=287&amp;GameID=0021600425&amp;Season=2016-17&amp;flag=1&amp;title=Leonard%201'%20Driving%20Reverse%20Layup%20(13%20PTS)", "Leonard 1' Driving Reverse Layup (13 PTS)")</f>
        <v>Leonard 1' Driving Reverse Layup (13 PTS)</v>
      </c>
      <c r="K1464" s="2" t="str">
        <f>HYPERLINK("https://www.nba.com/game/...-vs-...-0021600425/play-by-play?watchFullGame=true", "SAS vs HOU - Q3 09:05.00")</f>
        <v>SAS vs HOU - Q3 09:05.00</v>
      </c>
      <c r="L1464">
        <v>1</v>
      </c>
      <c r="M1464">
        <v>-6</v>
      </c>
      <c r="N1464">
        <v>7</v>
      </c>
      <c r="O1464">
        <v>-6</v>
      </c>
      <c r="P1464">
        <v>7</v>
      </c>
    </row>
    <row r="1465" spans="1:16" x14ac:dyDescent="0.25">
      <c r="A1465">
        <v>21900603</v>
      </c>
      <c r="B1465">
        <v>2019</v>
      </c>
      <c r="C1465" t="s">
        <v>32</v>
      </c>
      <c r="D1465" t="s">
        <v>65</v>
      </c>
      <c r="E1465">
        <v>7</v>
      </c>
      <c r="F1465">
        <v>5</v>
      </c>
      <c r="G1465">
        <v>1</v>
      </c>
      <c r="H1465" s="1">
        <v>6.4930555555555557E-3</v>
      </c>
      <c r="I1465" t="s">
        <v>23</v>
      </c>
      <c r="J1465" s="2" t="str">
        <f>HYPERLINK("https://www.nba.com/stats/events?CFID=&amp;CFPARAMS=&amp;GameEventID=27&amp;GameID=0021900603&amp;Season=2019-20&amp;flag=1&amp;title=Leonard%20dunk%20(2%20PTS)%20(P.%20Beverley%202%20AST)", "Dunk (2 PTS) (P. Beverley 2 AST)")</f>
        <v>Dunk (2 PTS) (P. Beverley 2 AST)</v>
      </c>
      <c r="K1465" s="2" t="str">
        <f>HYPERLINK("https://www.nba.com/game/...-vs-...-0021900603/play-by-play?watchFullGame=true", "LAC vs CLE - Q1 09:21.00")</f>
        <v>LAC vs CLE - Q1 09:21.00</v>
      </c>
      <c r="L1465">
        <v>1.52</v>
      </c>
      <c r="M1465">
        <v>6.49</v>
      </c>
      <c r="N1465">
        <v>51.16</v>
      </c>
      <c r="O1465">
        <v>-6</v>
      </c>
      <c r="P1465">
        <v>8</v>
      </c>
    </row>
    <row r="1466" spans="1:16" x14ac:dyDescent="0.25">
      <c r="A1466">
        <v>22000720</v>
      </c>
      <c r="B1466">
        <v>2020</v>
      </c>
      <c r="C1466" t="s">
        <v>32</v>
      </c>
      <c r="D1466" t="s">
        <v>48</v>
      </c>
      <c r="E1466">
        <v>5</v>
      </c>
      <c r="F1466">
        <v>0</v>
      </c>
      <c r="G1466">
        <v>1</v>
      </c>
      <c r="H1466" s="1">
        <v>7.7314814814814815E-3</v>
      </c>
      <c r="I1466" t="s">
        <v>23</v>
      </c>
      <c r="J1466" s="2" t="str">
        <f>HYPERLINK("https://www.nba.com/stats/events?CFID=&amp;CFPARAMS=&amp;GameEventID=10&amp;GameID=0022000720&amp;Season=2020-21&amp;flag=1&amp;title=Leonard%20driving%20DUNK%20(2%20PTS)%20(N.%20Batum%201%20AST)", "Driving DUNK (2 PTS) (N. Batum 1 AST)")</f>
        <v>Driving DUNK (2 PTS) (N. Batum 1 AST)</v>
      </c>
      <c r="K1466" s="2" t="str">
        <f>HYPERLINK("https://www.nba.com/game/...-vs-...-0022000720/play-by-play?watchFullGame=true", "LAC vs ORL - Q1 11:08.00")</f>
        <v>LAC vs ORL - Q1 11:08.00</v>
      </c>
      <c r="L1466">
        <v>1.0900000000000001</v>
      </c>
      <c r="M1466">
        <v>6.52</v>
      </c>
      <c r="N1466">
        <v>51.29</v>
      </c>
      <c r="O1466">
        <v>-6</v>
      </c>
      <c r="P1466">
        <v>9</v>
      </c>
    </row>
    <row r="1467" spans="1:16" x14ac:dyDescent="0.25">
      <c r="A1467">
        <v>22200255</v>
      </c>
      <c r="B1467">
        <v>2022</v>
      </c>
      <c r="C1467" t="s">
        <v>32</v>
      </c>
      <c r="D1467" t="s">
        <v>48</v>
      </c>
      <c r="E1467">
        <v>76</v>
      </c>
      <c r="F1467">
        <v>68</v>
      </c>
      <c r="G1467">
        <v>3</v>
      </c>
      <c r="H1467" s="1">
        <v>5.185185185185185E-3</v>
      </c>
      <c r="I1467" t="s">
        <v>23</v>
      </c>
      <c r="J1467" s="2" t="str">
        <f>HYPERLINK("https://www.nba.com/stats/events?CFID=&amp;CFPARAMS=&amp;GameEventID=379&amp;GameID=0022200255&amp;Season=2022-23&amp;flag=1&amp;title=Leonard%20cutting%20DUNK%20(4%20PTS)%20(M.%20Morris%20Sr.%201%20AST)", "Cutting DUNK (4 PTS) (M. Morris Sr. 1 AST)")</f>
        <v>Cutting DUNK (4 PTS) (M. Morris Sr. 1 AST)</v>
      </c>
      <c r="K1467" s="2" t="str">
        <f>HYPERLINK("https://www.nba.com/game/...-vs-...-0022200255/play-by-play?watchFullGame=true", "LAC vs UTA - Q3 07:28.00")</f>
        <v>LAC vs UTA - Q3 07:28.00</v>
      </c>
      <c r="L1467">
        <v>1.07</v>
      </c>
      <c r="M1467">
        <v>93.48</v>
      </c>
      <c r="N1467">
        <v>48.77</v>
      </c>
      <c r="O1467">
        <v>-6</v>
      </c>
      <c r="P1467">
        <v>9</v>
      </c>
    </row>
    <row r="1468" spans="1:16" x14ac:dyDescent="0.25">
      <c r="A1468">
        <v>22000202</v>
      </c>
      <c r="B1468">
        <v>2020</v>
      </c>
      <c r="C1468" t="s">
        <v>32</v>
      </c>
      <c r="D1468" t="s">
        <v>48</v>
      </c>
      <c r="E1468">
        <v>73</v>
      </c>
      <c r="F1468">
        <v>62</v>
      </c>
      <c r="G1468">
        <v>3</v>
      </c>
      <c r="H1468" s="1">
        <v>5.7523148148148151E-3</v>
      </c>
      <c r="I1468" t="s">
        <v>23</v>
      </c>
      <c r="J1468" s="2" t="str">
        <f>HYPERLINK("https://www.nba.com/stats/events?CFID=&amp;CFPARAMS=&amp;GameEventID=353&amp;GameID=0022000202&amp;Season=2020-21&amp;flag=1&amp;title=Leonard%20driving%20DUNK%20(8%20PTS)", "Driving DUNK (8 PTS)")</f>
        <v>Driving DUNK (8 PTS)</v>
      </c>
      <c r="K1468" s="2" t="str">
        <f>HYPERLINK("https://www.nba.com/game/...-vs-...-0022000202/play-by-play?watchFullGame=true", "LAC vs IND - Q3 08:17.00")</f>
        <v>LAC vs IND - Q3 08:17.00</v>
      </c>
      <c r="L1468">
        <v>1.19</v>
      </c>
      <c r="M1468">
        <v>6.65</v>
      </c>
      <c r="N1468">
        <v>51.29</v>
      </c>
      <c r="O1468">
        <v>-6</v>
      </c>
      <c r="P1468">
        <v>10</v>
      </c>
    </row>
    <row r="1469" spans="1:16" x14ac:dyDescent="0.25">
      <c r="A1469">
        <v>21900576</v>
      </c>
      <c r="B1469">
        <v>2019</v>
      </c>
      <c r="C1469" t="s">
        <v>32</v>
      </c>
      <c r="D1469" t="s">
        <v>65</v>
      </c>
      <c r="E1469">
        <v>62</v>
      </c>
      <c r="F1469">
        <v>65</v>
      </c>
      <c r="G1469">
        <v>3</v>
      </c>
      <c r="H1469" s="1">
        <v>4.8263888888888887E-3</v>
      </c>
      <c r="I1469" t="s">
        <v>23</v>
      </c>
      <c r="J1469" s="2" t="str">
        <f>HYPERLINK("https://www.nba.com/stats/events?CFID=&amp;CFPARAMS=&amp;GameEventID=417&amp;GameID=0021900576&amp;Season=2019-20&amp;flag=1&amp;title=Leonard%20dunk%20(24%20PTS)%20(M.%20Harrell%201%20AST)", "Dunk (24 PTS) (M. Harrell 1 AST)")</f>
        <v>Dunk (24 PTS) (M. Harrell 1 AST)</v>
      </c>
      <c r="K1469" s="2" t="str">
        <f>HYPERLINK("https://www.nba.com/game/...-vs-...-0021900576/play-by-play?watchFullGame=true", "LAC vs GSW - Q3 06:57.00")</f>
        <v>LAC vs GSW - Q3 06:57.00</v>
      </c>
      <c r="L1469">
        <v>1.75</v>
      </c>
      <c r="M1469">
        <v>6.75</v>
      </c>
      <c r="N1469">
        <v>51.16</v>
      </c>
      <c r="O1469">
        <v>-6</v>
      </c>
      <c r="P1469">
        <v>11</v>
      </c>
    </row>
    <row r="1470" spans="1:16" x14ac:dyDescent="0.25">
      <c r="A1470">
        <v>21900576</v>
      </c>
      <c r="B1470">
        <v>2019</v>
      </c>
      <c r="C1470" t="s">
        <v>32</v>
      </c>
      <c r="D1470" t="s">
        <v>50</v>
      </c>
      <c r="E1470">
        <v>64</v>
      </c>
      <c r="F1470">
        <v>70</v>
      </c>
      <c r="G1470">
        <v>3</v>
      </c>
      <c r="H1470" s="1">
        <v>4.2361111111111115E-3</v>
      </c>
      <c r="I1470" t="s">
        <v>23</v>
      </c>
      <c r="J1470" s="2" t="str">
        <f>HYPERLINK("https://www.nba.com/stats/events?CFID=&amp;CFPARAMS=&amp;GameEventID=428&amp;GameID=0021900576&amp;Season=2019-20&amp;flag=1&amp;title=Leonard%20layup%20(26%20PTS)", "Layup (26 PTS)")</f>
        <v>Layup (26 PTS)</v>
      </c>
      <c r="K1470" s="2" t="str">
        <f>HYPERLINK("https://www.nba.com/game/...-vs-...-0021900576/play-by-play?watchFullGame=true", "LAC vs GSW - Q3 06:06.00")</f>
        <v>LAC vs GSW - Q3 06:06.00</v>
      </c>
      <c r="L1470">
        <v>1.86</v>
      </c>
      <c r="M1470">
        <v>6.88</v>
      </c>
      <c r="N1470">
        <v>51.16</v>
      </c>
      <c r="O1470">
        <v>-6</v>
      </c>
      <c r="P1470">
        <v>12</v>
      </c>
    </row>
    <row r="1471" spans="1:16" x14ac:dyDescent="0.25">
      <c r="A1471">
        <v>22000251</v>
      </c>
      <c r="B1471">
        <v>2020</v>
      </c>
      <c r="C1471" t="s">
        <v>32</v>
      </c>
      <c r="D1471" t="s">
        <v>48</v>
      </c>
      <c r="E1471">
        <v>104</v>
      </c>
      <c r="F1471">
        <v>96</v>
      </c>
      <c r="G1471">
        <v>4</v>
      </c>
      <c r="H1471" s="1">
        <v>4.918981481481481E-4</v>
      </c>
      <c r="I1471" t="s">
        <v>23</v>
      </c>
      <c r="J1471" s="2" t="str">
        <f>HYPERLINK("https://www.nba.com/stats/events?CFID=&amp;CFPARAMS=&amp;GameEventID=596&amp;GameID=0022000251&amp;Season=2020-21&amp;flag=1&amp;title=Leonard%20driving%20DUNK%20(34%20PTS)%20(L.%20Kennard%204%20AST)", "Driving DUNK (34 PTS) (L. Kennard 4 AST)")</f>
        <v>Driving DUNK (34 PTS) (L. Kennard 4 AST)</v>
      </c>
      <c r="K1471" s="2" t="str">
        <f>HYPERLINK("https://www.nba.com/game/...-vs-...-0022000251/play-by-play?watchFullGame=true", "LAC vs OKC - Q4 00:42.50")</f>
        <v>LAC vs OKC - Q4 00:42.50</v>
      </c>
      <c r="L1471">
        <v>1.41</v>
      </c>
      <c r="M1471">
        <v>6.92</v>
      </c>
      <c r="N1471">
        <v>51.29</v>
      </c>
      <c r="O1471">
        <v>-6</v>
      </c>
      <c r="P1471">
        <v>13</v>
      </c>
    </row>
    <row r="1472" spans="1:16" x14ac:dyDescent="0.25">
      <c r="A1472">
        <v>41800305</v>
      </c>
      <c r="B1472" t="s">
        <v>20</v>
      </c>
      <c r="C1472" t="s">
        <v>32</v>
      </c>
      <c r="D1472" t="s">
        <v>49</v>
      </c>
      <c r="E1472">
        <v>53</v>
      </c>
      <c r="F1472">
        <v>51</v>
      </c>
      <c r="G1472">
        <v>3</v>
      </c>
      <c r="H1472" s="1">
        <v>6.9212962962962961E-3</v>
      </c>
      <c r="I1472" t="s">
        <v>21</v>
      </c>
      <c r="J1472" s="2" t="str">
        <f>HYPERLINK("https://www.nba.com/stats/events?CFID=&amp;CFPARAMS=&amp;GameEventID=355&amp;GameID=0041800305&amp;Season=2018-19&amp;flag=1&amp;title=Leonard%202'%20Driving%20Layup%20(15%20PTS)", "Leonard 2' Driving Layup (15 PTS)")</f>
        <v>Leonard 2' Driving Layup (15 PTS)</v>
      </c>
      <c r="K1472" s="2" t="str">
        <f>HYPERLINK("https://www.nba.com/game/...-vs-...-0041800305/play-by-play?watchFullGame=true", "TOR vs MIL - Q3 09:58.00")</f>
        <v>TOR vs MIL - Q3 09:58.00</v>
      </c>
      <c r="L1472">
        <v>2</v>
      </c>
      <c r="M1472">
        <v>-6</v>
      </c>
      <c r="N1472">
        <v>15</v>
      </c>
      <c r="O1472">
        <v>-6</v>
      </c>
      <c r="P1472">
        <v>15</v>
      </c>
    </row>
    <row r="1473" spans="1:16" x14ac:dyDescent="0.25">
      <c r="A1473">
        <v>41800302</v>
      </c>
      <c r="B1473" t="s">
        <v>20</v>
      </c>
      <c r="C1473" t="s">
        <v>32</v>
      </c>
      <c r="D1473" t="s">
        <v>59</v>
      </c>
      <c r="E1473">
        <v>67</v>
      </c>
      <c r="F1473">
        <v>43</v>
      </c>
      <c r="G1473">
        <v>3</v>
      </c>
      <c r="H1473" s="1">
        <v>6.7476851851851856E-3</v>
      </c>
      <c r="I1473" t="s">
        <v>21</v>
      </c>
      <c r="J1473" s="2" t="str">
        <f>HYPERLINK("https://www.nba.com/stats/events?CFID=&amp;CFPARAMS=&amp;GameEventID=380&amp;GameID=0041800302&amp;Season=2018-19&amp;flag=1&amp;title=Leonard%202'%20Putback%20Layup%20(13%20PTS)", "Leonard 2' Putback Layup (13 PTS)")</f>
        <v>Leonard 2' Putback Layup (13 PTS)</v>
      </c>
      <c r="K1473" s="2" t="str">
        <f>HYPERLINK("https://www.nba.com/game/...-vs-...-0041800302/play-by-play?watchFullGame=true", "TOR vs MIL - Q3 09:43.00")</f>
        <v>TOR vs MIL - Q3 09:43.00</v>
      </c>
      <c r="L1473">
        <v>2</v>
      </c>
      <c r="M1473">
        <v>-6</v>
      </c>
      <c r="N1473">
        <v>15</v>
      </c>
      <c r="O1473">
        <v>-6</v>
      </c>
      <c r="P1473">
        <v>15</v>
      </c>
    </row>
    <row r="1474" spans="1:16" x14ac:dyDescent="0.25">
      <c r="A1474">
        <v>22300074</v>
      </c>
      <c r="B1474">
        <v>2023</v>
      </c>
      <c r="C1474" t="s">
        <v>32</v>
      </c>
      <c r="D1474" t="s">
        <v>48</v>
      </c>
      <c r="E1474">
        <v>2</v>
      </c>
      <c r="F1474">
        <v>0</v>
      </c>
      <c r="G1474">
        <v>1</v>
      </c>
      <c r="H1474" s="1">
        <v>7.5925925925925926E-3</v>
      </c>
      <c r="I1474" t="s">
        <v>23</v>
      </c>
      <c r="J1474" s="2" t="str">
        <f>HYPERLINK("https://www.nba.com/stats/events?CFID=&amp;CFPARAMS=&amp;GameEventID=17&amp;GameID=0022300074&amp;Season=2023-24&amp;flag=1&amp;title=Leonard%20cutting%20DUNK%20(2%20PTS)%20(P.%20George%201%20AST)", "Cutting DUNK (2 PTS) (P. George 1 AST)")</f>
        <v>Cutting DUNK (2 PTS) (P. George 1 AST)</v>
      </c>
      <c r="K1474" s="2" t="str">
        <f>HYPERLINK("https://www.nba.com/game/...-vs-...-0022300074/play-by-play?watchFullGame=true", "LAC vs POR - Q1 10:56.00")</f>
        <v>LAC vs POR - Q1 10:56.00</v>
      </c>
      <c r="L1474">
        <v>1.73</v>
      </c>
      <c r="M1474">
        <v>92.69</v>
      </c>
      <c r="N1474">
        <v>48.77</v>
      </c>
      <c r="O1474">
        <v>-6</v>
      </c>
      <c r="P1474">
        <v>16</v>
      </c>
    </row>
    <row r="1475" spans="1:16" x14ac:dyDescent="0.25">
      <c r="A1475">
        <v>21501063</v>
      </c>
      <c r="B1475">
        <v>2015</v>
      </c>
      <c r="C1475" t="s">
        <v>32</v>
      </c>
      <c r="D1475" t="s">
        <v>61</v>
      </c>
      <c r="E1475">
        <v>54</v>
      </c>
      <c r="F1475">
        <v>45</v>
      </c>
      <c r="G1475">
        <v>2</v>
      </c>
      <c r="H1475" s="1">
        <v>6.9328703703703707E-4</v>
      </c>
      <c r="I1475" t="s">
        <v>18</v>
      </c>
      <c r="J1475" s="2" t="str">
        <f>HYPERLINK("https://www.nba.com/stats/events?CFID=&amp;CFPARAMS=&amp;GameEventID=225&amp;GameID=0021501063&amp;Season=2015-16&amp;flag=1&amp;title=Leonard%202'%20Driving%20Finger%20Roll%20Layup%20(22%20PTS)", "Leonard 2' Driving Finger Roll Layup (22 PTS)")</f>
        <v>Leonard 2' Driving Finger Roll Layup (22 PTS)</v>
      </c>
      <c r="K1475" s="2" t="str">
        <f>HYPERLINK("https://www.nba.com/game/...-vs-...-0021501063/play-by-play?watchFullGame=true", "SAS vs MIA - Q2 00:59.90")</f>
        <v>SAS vs MIA - Q2 00:59.90</v>
      </c>
      <c r="L1475">
        <v>2</v>
      </c>
      <c r="M1475">
        <v>-6</v>
      </c>
      <c r="N1475">
        <v>16</v>
      </c>
      <c r="O1475">
        <v>-6</v>
      </c>
      <c r="P1475">
        <v>16</v>
      </c>
    </row>
    <row r="1476" spans="1:16" x14ac:dyDescent="0.25">
      <c r="A1476">
        <v>22300865</v>
      </c>
      <c r="B1476">
        <v>2023</v>
      </c>
      <c r="C1476" t="s">
        <v>32</v>
      </c>
      <c r="D1476" t="s">
        <v>47</v>
      </c>
      <c r="E1476">
        <v>96</v>
      </c>
      <c r="F1476">
        <v>73</v>
      </c>
      <c r="G1476">
        <v>3</v>
      </c>
      <c r="H1476" s="1">
        <v>3.472222222222222E-3</v>
      </c>
      <c r="I1476" t="s">
        <v>23</v>
      </c>
      <c r="J1476" s="2" t="str">
        <f>HYPERLINK("https://www.nba.com/stats/events?CFID=&amp;CFPARAMS=&amp;GameEventID=403&amp;GameID=0022300865&amp;Season=2023-24&amp;flag=1&amp;title=Leonard%20driving%20Layup%20(17%20PTS)%20(J.%20Harden%208%20AST)", "Driving Layup (17 PTS) (J. Harden 8 AST)")</f>
        <v>Driving Layup (17 PTS) (J. Harden 8 AST)</v>
      </c>
      <c r="K1476" s="2" t="str">
        <f>HYPERLINK("https://www.nba.com/game/...-vs-...-0022300865/play-by-play?watchFullGame=true", "LAC vs WAS - Q3 05:00.00")</f>
        <v>LAC vs WAS - Q3 05:00.00</v>
      </c>
      <c r="L1476">
        <v>1.7</v>
      </c>
      <c r="M1476">
        <v>7.28</v>
      </c>
      <c r="N1476">
        <v>51.23</v>
      </c>
      <c r="O1476">
        <v>-6</v>
      </c>
      <c r="P1476">
        <v>16</v>
      </c>
    </row>
    <row r="1477" spans="1:16" x14ac:dyDescent="0.25">
      <c r="A1477">
        <v>21600588</v>
      </c>
      <c r="B1477">
        <v>2016</v>
      </c>
      <c r="C1477" t="s">
        <v>32</v>
      </c>
      <c r="D1477" t="s">
        <v>61</v>
      </c>
      <c r="E1477">
        <v>49</v>
      </c>
      <c r="F1477">
        <v>41</v>
      </c>
      <c r="G1477">
        <v>2</v>
      </c>
      <c r="H1477" s="1">
        <v>4.31712962962963E-3</v>
      </c>
      <c r="I1477" t="s">
        <v>18</v>
      </c>
      <c r="J1477" s="2" t="str">
        <f>HYPERLINK("https://www.nba.com/stats/events?CFID=&amp;CFPARAMS=&amp;GameEventID=201&amp;GameID=0021600588&amp;Season=2016-17&amp;flag=1&amp;title=Leonard%202'%20Driving%20Finger%20Roll%20Layup%20(16%20PTS)%20(Green%202%20AST)", "Leonard 2' Driving Finger Roll Layup (16 PTS) (Green 2 AST)")</f>
        <v>Leonard 2' Driving Finger Roll Layup (16 PTS) (Green 2 AST)</v>
      </c>
      <c r="K1477" s="2" t="str">
        <f>HYPERLINK("https://www.nba.com/game/...-vs-...-0021600588/play-by-play?watchFullGame=true", "SAS vs LAL - Q2 06:13.00")</f>
        <v>SAS vs LAL - Q2 06:13.00</v>
      </c>
      <c r="L1477">
        <v>2</v>
      </c>
      <c r="M1477">
        <v>-6</v>
      </c>
      <c r="N1477">
        <v>18</v>
      </c>
      <c r="O1477">
        <v>-6</v>
      </c>
      <c r="P1477">
        <v>18</v>
      </c>
    </row>
    <row r="1478" spans="1:16" x14ac:dyDescent="0.25">
      <c r="A1478">
        <v>22301079</v>
      </c>
      <c r="B1478">
        <v>2023</v>
      </c>
      <c r="C1478" t="s">
        <v>32</v>
      </c>
      <c r="D1478" t="s">
        <v>48</v>
      </c>
      <c r="E1478">
        <v>15</v>
      </c>
      <c r="F1478">
        <v>22</v>
      </c>
      <c r="G1478">
        <v>1</v>
      </c>
      <c r="H1478" s="1">
        <v>1.8981481481481482E-3</v>
      </c>
      <c r="I1478" t="s">
        <v>23</v>
      </c>
      <c r="J1478" s="2" t="str">
        <f>HYPERLINK("https://www.nba.com/stats/events?CFID=&amp;CFPARAMS=&amp;GameEventID=85&amp;GameID=0022301079&amp;Season=2023-24&amp;flag=1&amp;title=Leonard%20DUNK%20(6%20PTS)%20(I.%20Zubac%201%20AST)", "DUNK (6 PTS) (I. Zubac 1 AST)")</f>
        <v>DUNK (6 PTS) (I. Zubac 1 AST)</v>
      </c>
      <c r="K1478" s="2" t="str">
        <f>HYPERLINK("https://www.nba.com/game/...-vs-...-0022301079/play-by-play?watchFullGame=true", "LAC vs CHA - Q1 02:44.00")</f>
        <v>LAC vs CHA - Q1 02:44.00</v>
      </c>
      <c r="L1478">
        <v>2.17</v>
      </c>
      <c r="M1478">
        <v>92.2</v>
      </c>
      <c r="N1478">
        <v>48.77</v>
      </c>
      <c r="O1478">
        <v>-6</v>
      </c>
      <c r="P1478">
        <v>21</v>
      </c>
    </row>
    <row r="1479" spans="1:16" x14ac:dyDescent="0.25">
      <c r="A1479">
        <v>41800301</v>
      </c>
      <c r="B1479" t="s">
        <v>20</v>
      </c>
      <c r="C1479" t="s">
        <v>32</v>
      </c>
      <c r="D1479" t="s">
        <v>49</v>
      </c>
      <c r="E1479">
        <v>66</v>
      </c>
      <c r="F1479">
        <v>76</v>
      </c>
      <c r="G1479">
        <v>3</v>
      </c>
      <c r="H1479" s="1">
        <v>3.0671296296296297E-3</v>
      </c>
      <c r="I1479" t="s">
        <v>21</v>
      </c>
      <c r="J1479" s="2" t="str">
        <f>HYPERLINK("https://www.nba.com/stats/events?CFID=&amp;CFPARAMS=&amp;GameEventID=432&amp;GameID=0041800301&amp;Season=2018-19&amp;flag=1&amp;title=Leonard%202'%20Driving%20Layup%20(25%20PTS)", "Leonard 2' Driving Layup (25 PTS)")</f>
        <v>Leonard 2' Driving Layup (25 PTS)</v>
      </c>
      <c r="K1479" s="2" t="str">
        <f>HYPERLINK("https://www.nba.com/game/...-vs-...-0041800301/play-by-play?watchFullGame=true", "TOR vs MIL - Q3 04:25.00")</f>
        <v>TOR vs MIL - Q3 04:25.00</v>
      </c>
      <c r="L1479">
        <v>2</v>
      </c>
      <c r="M1479">
        <v>-6</v>
      </c>
      <c r="N1479">
        <v>22</v>
      </c>
      <c r="O1479">
        <v>-6</v>
      </c>
      <c r="P1479">
        <v>22</v>
      </c>
    </row>
    <row r="1480" spans="1:16" x14ac:dyDescent="0.25">
      <c r="A1480">
        <v>21500481</v>
      </c>
      <c r="B1480">
        <v>2015</v>
      </c>
      <c r="C1480" t="s">
        <v>32</v>
      </c>
      <c r="D1480" t="s">
        <v>73</v>
      </c>
      <c r="E1480">
        <v>55</v>
      </c>
      <c r="F1480">
        <v>24</v>
      </c>
      <c r="G1480">
        <v>2</v>
      </c>
      <c r="H1480" s="1">
        <v>1.5509259259259259E-3</v>
      </c>
      <c r="I1480" t="s">
        <v>18</v>
      </c>
      <c r="J1480" s="2" t="str">
        <f>HYPERLINK("https://www.nba.com/stats/events?CFID=&amp;CFPARAMS=&amp;GameEventID=221&amp;GameID=0021500481&amp;Season=2015-16&amp;flag=1&amp;title=Leonard%203'%20Running%20Finger%20Roll%20Layup%20(12%20PTS)", "Leonard 3' Running Finger Roll Layup (12 PTS)")</f>
        <v>Leonard 3' Running Finger Roll Layup (12 PTS)</v>
      </c>
      <c r="K1480" s="2" t="str">
        <f>HYPERLINK("https://www.nba.com/game/...-vs-...-0021500481/play-by-play?watchFullGame=true", "SAS vs PHX - Q2 02:14.00")</f>
        <v>SAS vs PHX - Q2 02:14.00</v>
      </c>
      <c r="L1480">
        <v>3</v>
      </c>
      <c r="M1480">
        <v>-6</v>
      </c>
      <c r="N1480">
        <v>28</v>
      </c>
      <c r="O1480">
        <v>-6</v>
      </c>
      <c r="P1480">
        <v>28</v>
      </c>
    </row>
    <row r="1481" spans="1:16" x14ac:dyDescent="0.25">
      <c r="A1481">
        <v>22301043</v>
      </c>
      <c r="B1481">
        <v>2023</v>
      </c>
      <c r="C1481" t="s">
        <v>32</v>
      </c>
      <c r="D1481" t="s">
        <v>47</v>
      </c>
      <c r="E1481">
        <v>51</v>
      </c>
      <c r="F1481">
        <v>49</v>
      </c>
      <c r="G1481">
        <v>2</v>
      </c>
      <c r="H1481" s="1">
        <v>3.8541666666666668E-3</v>
      </c>
      <c r="I1481" t="s">
        <v>23</v>
      </c>
      <c r="J1481" s="2" t="str">
        <f>HYPERLINK("https://www.nba.com/stats/events?CFID=&amp;CFPARAMS=&amp;GameEventID=233&amp;GameID=0022301043&amp;Season=2023-24&amp;flag=1&amp;title=Leonard%20driving%20finger%20roll%20Layup%20(11%20PTS)", "Driving finger roll Layup (11 PTS)")</f>
        <v>Driving finger roll Layup (11 PTS)</v>
      </c>
      <c r="K1481" s="2" t="str">
        <f>HYPERLINK("https://www.nba.com/game/...-vs-...-0022301043/play-by-play?watchFullGame=true", "LAC vs IND - Q2 05:33.00")</f>
        <v>LAC vs IND - Q2 05:33.00</v>
      </c>
      <c r="L1481">
        <v>3.62</v>
      </c>
      <c r="M1481">
        <v>9.3800000000000008</v>
      </c>
      <c r="N1481">
        <v>51.23</v>
      </c>
      <c r="O1481">
        <v>-6</v>
      </c>
      <c r="P1481">
        <v>36</v>
      </c>
    </row>
    <row r="1482" spans="1:16" x14ac:dyDescent="0.25">
      <c r="A1482">
        <v>22200795</v>
      </c>
      <c r="B1482">
        <v>2022</v>
      </c>
      <c r="C1482" t="s">
        <v>32</v>
      </c>
      <c r="D1482" t="s">
        <v>19</v>
      </c>
      <c r="E1482">
        <v>71</v>
      </c>
      <c r="F1482">
        <v>78</v>
      </c>
      <c r="G1482">
        <v>3</v>
      </c>
      <c r="H1482" s="1">
        <v>4.5717592592592589E-3</v>
      </c>
      <c r="I1482" t="s">
        <v>23</v>
      </c>
      <c r="J1482" s="2" t="str">
        <f>HYPERLINK("https://www.nba.com/stats/events?CFID=&amp;CFPARAMS=&amp;GameEventID=358&amp;GameID=0022200795&amp;Season=2022-23&amp;flag=1&amp;title=Leonard%20driving%20floating%20Jump%20Shot%20(16%20PTS)", "Driving floating Jump Shot (16 PTS)")</f>
        <v>Driving floating Jump Shot (16 PTS)</v>
      </c>
      <c r="K1482" s="2" t="str">
        <f>HYPERLINK("https://www.nba.com/game/...-vs-...-0022200795/play-by-play?watchFullGame=true", "LAC vs NYK - Q3 06:35.00")</f>
        <v>LAC vs NYK - Q3 06:35.00</v>
      </c>
      <c r="L1482">
        <v>4.63</v>
      </c>
      <c r="M1482">
        <v>10.46</v>
      </c>
      <c r="N1482">
        <v>51.23</v>
      </c>
      <c r="O1482">
        <v>-6</v>
      </c>
      <c r="P1482">
        <v>46</v>
      </c>
    </row>
    <row r="1483" spans="1:16" x14ac:dyDescent="0.25">
      <c r="A1483">
        <v>21600701</v>
      </c>
      <c r="B1483">
        <v>2016</v>
      </c>
      <c r="C1483" t="s">
        <v>32</v>
      </c>
      <c r="D1483" t="s">
        <v>19</v>
      </c>
      <c r="E1483">
        <v>29</v>
      </c>
      <c r="F1483">
        <v>28</v>
      </c>
      <c r="G1483">
        <v>2</v>
      </c>
      <c r="H1483" s="1">
        <v>7.1064814814814819E-3</v>
      </c>
      <c r="I1483" t="s">
        <v>18</v>
      </c>
      <c r="J1483" s="2" t="str">
        <f>HYPERLINK("https://www.nba.com/stats/events?CFID=&amp;CFPARAMS=&amp;GameEventID=148&amp;GameID=0021600701&amp;Season=2016-17&amp;flag=1&amp;title=Leonard%207'%20Jump%20Shot%20(2%20PTS)", "Leonard 7' Jump Shot (2 PTS)")</f>
        <v>Leonard 7' Jump Shot (2 PTS)</v>
      </c>
      <c r="K1483" s="2" t="str">
        <f>HYPERLINK("https://www.nba.com/game/...-vs-...-0021600701/play-by-play?watchFullGame=true", "SAS vs NOP - Q2 10:14.00")</f>
        <v>SAS vs NOP - Q2 10:14.00</v>
      </c>
      <c r="L1483">
        <v>7</v>
      </c>
      <c r="M1483">
        <v>-6</v>
      </c>
      <c r="N1483">
        <v>65</v>
      </c>
      <c r="O1483">
        <v>-6</v>
      </c>
      <c r="P1483">
        <v>65</v>
      </c>
    </row>
    <row r="1484" spans="1:16" x14ac:dyDescent="0.25">
      <c r="A1484">
        <v>21600003</v>
      </c>
      <c r="B1484">
        <v>2016</v>
      </c>
      <c r="C1484" t="s">
        <v>32</v>
      </c>
      <c r="D1484" t="s">
        <v>17</v>
      </c>
      <c r="E1484">
        <v>79</v>
      </c>
      <c r="F1484">
        <v>102</v>
      </c>
      <c r="G1484">
        <v>4</v>
      </c>
      <c r="H1484" s="1">
        <v>7.8819444444444449E-3</v>
      </c>
      <c r="I1484" t="s">
        <v>18</v>
      </c>
      <c r="J1484" s="2" t="str">
        <f>HYPERLINK("https://www.nba.com/stats/events?CFID=&amp;CFPARAMS=&amp;GameEventID=407&amp;GameID=0021600003&amp;Season=2016-17&amp;flag=1&amp;title=Leonard%209'%20Running%20Jump%20Shot%20(33%20PTS)", "Leonard 9' Running Jump Shot (33 PTS)")</f>
        <v>Leonard 9' Running Jump Shot (33 PTS)</v>
      </c>
      <c r="K1484" s="2" t="str">
        <f>HYPERLINK("https://www.nba.com/game/...-vs-...-0021600003/play-by-play?watchFullGame=true", "SAS vs GSW - Q4 11:21.00")</f>
        <v>SAS vs GSW - Q4 11:21.00</v>
      </c>
      <c r="L1484">
        <v>9</v>
      </c>
      <c r="M1484">
        <v>-6</v>
      </c>
      <c r="N1484">
        <v>92</v>
      </c>
      <c r="O1484">
        <v>-6</v>
      </c>
      <c r="P1484">
        <v>92</v>
      </c>
    </row>
    <row r="1485" spans="1:16" x14ac:dyDescent="0.25">
      <c r="A1485">
        <v>22300052</v>
      </c>
      <c r="B1485">
        <v>2023</v>
      </c>
      <c r="C1485" t="s">
        <v>32</v>
      </c>
      <c r="D1485" t="s">
        <v>44</v>
      </c>
      <c r="E1485">
        <v>103</v>
      </c>
      <c r="F1485">
        <v>110</v>
      </c>
      <c r="G1485">
        <v>4</v>
      </c>
      <c r="H1485" s="1">
        <v>1.3425925925925925E-3</v>
      </c>
      <c r="I1485" t="s">
        <v>23</v>
      </c>
      <c r="J1485" s="2" t="str">
        <f>HYPERLINK("https://www.nba.com/stats/events?CFID=&amp;CFPARAMS=&amp;GameEventID=670&amp;GameID=0022300052&amp;Season=2023-24&amp;flag=1&amp;title=Leonard%209'%20turnaround%20Hook%20(20%20PTS)", "9' turnaround Hook (20 PTS)")</f>
        <v>9' turnaround Hook (20 PTS)</v>
      </c>
      <c r="K1485" s="2" t="str">
        <f>HYPERLINK("https://www.nba.com/game/...-vs-...-0022300052/play-by-play?watchFullGame=true", "LAC vs NOP - Q4 01:56.00")</f>
        <v>LAC vs NOP - Q4 01:56.00</v>
      </c>
      <c r="L1485">
        <v>9.7899999999999991</v>
      </c>
      <c r="M1485">
        <v>84.02</v>
      </c>
      <c r="N1485">
        <v>48.77</v>
      </c>
      <c r="O1485">
        <v>-6</v>
      </c>
      <c r="P1485">
        <v>98</v>
      </c>
    </row>
    <row r="1486" spans="1:16" x14ac:dyDescent="0.25">
      <c r="A1486">
        <v>21600639</v>
      </c>
      <c r="B1486">
        <v>2016</v>
      </c>
      <c r="C1486" t="s">
        <v>32</v>
      </c>
      <c r="D1486" t="s">
        <v>29</v>
      </c>
      <c r="E1486">
        <v>49</v>
      </c>
      <c r="F1486">
        <v>43</v>
      </c>
      <c r="G1486">
        <v>2</v>
      </c>
      <c r="H1486" s="1">
        <v>2.0601851851851853E-3</v>
      </c>
      <c r="I1486" t="s">
        <v>18</v>
      </c>
      <c r="J1486" s="2" t="str">
        <f>HYPERLINK("https://www.nba.com/stats/events?CFID=&amp;CFPARAMS=&amp;GameEventID=219&amp;GameID=0021600639&amp;Season=2016-17&amp;flag=1&amp;title=Leonard%2014'%20Pullup%20Jump%20Shot%20(13%20PTS)%20(Bertans%201%20AST)", "Leonard 14' Pullup Jump Shot (13 PTS) (Bertans 1 AST)")</f>
        <v>Leonard 14' Pullup Jump Shot (13 PTS) (Bertans 1 AST)</v>
      </c>
      <c r="K1486" s="2" t="str">
        <f>HYPERLINK("https://www.nba.com/game/...-vs-...-0021600639/play-by-play?watchFullGame=true", "SAS vs DEN - Q2 02:58.00")</f>
        <v>SAS vs DEN - Q2 02:58.00</v>
      </c>
      <c r="L1486">
        <v>14</v>
      </c>
      <c r="M1486">
        <v>-6</v>
      </c>
      <c r="N1486">
        <v>141</v>
      </c>
      <c r="O1486">
        <v>-6</v>
      </c>
      <c r="P1486">
        <v>141</v>
      </c>
    </row>
    <row r="1487" spans="1:16" x14ac:dyDescent="0.25">
      <c r="A1487">
        <v>22201112</v>
      </c>
      <c r="B1487">
        <v>2022</v>
      </c>
      <c r="C1487" t="s">
        <v>32</v>
      </c>
      <c r="D1487" t="s">
        <v>19</v>
      </c>
      <c r="E1487">
        <v>26</v>
      </c>
      <c r="F1487">
        <v>37</v>
      </c>
      <c r="G1487">
        <v>1</v>
      </c>
      <c r="H1487" s="1">
        <v>3.1597222222222221E-4</v>
      </c>
      <c r="I1487" t="s">
        <v>23</v>
      </c>
      <c r="J1487" s="2" t="str">
        <f>HYPERLINK("https://www.nba.com/stats/events?CFID=&amp;CFPARAMS=&amp;GameEventID=146&amp;GameID=0022201112&amp;Season=2022-23&amp;flag=1&amp;title=Leonard%2014'%20Jump%20Shot%20(5%20PTS)", "14' Jump Shot (5 PTS)")</f>
        <v>14' Jump Shot (5 PTS)</v>
      </c>
      <c r="K1487" s="2" t="str">
        <f>HYPERLINK("https://www.nba.com/game/...-vs-...-0022201112/play-by-play?watchFullGame=true", "LAC vs NOP - Q1 00:27.30")</f>
        <v>LAC vs NOP - Q1 00:27.30</v>
      </c>
      <c r="L1487">
        <v>14.82</v>
      </c>
      <c r="M1487">
        <v>21.34</v>
      </c>
      <c r="N1487">
        <v>51.23</v>
      </c>
      <c r="O1487">
        <v>-6</v>
      </c>
      <c r="P1487">
        <v>148</v>
      </c>
    </row>
    <row r="1488" spans="1:16" x14ac:dyDescent="0.25">
      <c r="A1488">
        <v>21501201</v>
      </c>
      <c r="B1488">
        <v>2015</v>
      </c>
      <c r="C1488" t="s">
        <v>32</v>
      </c>
      <c r="D1488" t="s">
        <v>19</v>
      </c>
      <c r="E1488">
        <v>31</v>
      </c>
      <c r="F1488">
        <v>26</v>
      </c>
      <c r="G1488">
        <v>2</v>
      </c>
      <c r="H1488" s="1">
        <v>3.2407407407407406E-3</v>
      </c>
      <c r="I1488" t="s">
        <v>18</v>
      </c>
      <c r="J1488" s="2" t="str">
        <f>HYPERLINK("https://www.nba.com/stats/events?CFID=&amp;CFPARAMS=&amp;GameEventID=215&amp;GameID=0021501201&amp;Season=2015-16&amp;flag=1&amp;title=Leonard%2017'%20Jump%20Shot%20(9%20PTS)", "Leonard 17' Jump Shot (9 PTS)")</f>
        <v>Leonard 17' Jump Shot (9 PTS)</v>
      </c>
      <c r="K1488" s="2" t="str">
        <f>HYPERLINK("https://www.nba.com/game/...-vs-...-0021501201/play-by-play?watchFullGame=true", "SAS vs GSW - Q2 04:40.00")</f>
        <v>SAS vs GSW - Q2 04:40.00</v>
      </c>
      <c r="L1488">
        <v>17</v>
      </c>
      <c r="M1488">
        <v>-6</v>
      </c>
      <c r="N1488">
        <v>169</v>
      </c>
      <c r="O1488">
        <v>-6</v>
      </c>
      <c r="P1488">
        <v>169</v>
      </c>
    </row>
    <row r="1489" spans="1:16" x14ac:dyDescent="0.25">
      <c r="A1489">
        <v>21500224</v>
      </c>
      <c r="B1489">
        <v>2015</v>
      </c>
      <c r="C1489" t="s">
        <v>32</v>
      </c>
      <c r="D1489" t="s">
        <v>19</v>
      </c>
      <c r="E1489">
        <v>24</v>
      </c>
      <c r="F1489">
        <v>13</v>
      </c>
      <c r="G1489">
        <v>1</v>
      </c>
      <c r="H1489" s="1">
        <v>9.837962962962962E-4</v>
      </c>
      <c r="I1489" t="s">
        <v>18</v>
      </c>
      <c r="J1489" s="2" t="str">
        <f>HYPERLINK("https://www.nba.com/stats/events?CFID=&amp;CFPARAMS=&amp;GameEventID=107&amp;GameID=0021500224&amp;Season=2015-16&amp;flag=1&amp;title=Leonard%2019'%20Jump%20Shot%20(8%20PTS)%20(Ginobili%201%20AST)", "Leonard 19' Jump Shot (8 PTS) (Ginobili 1 AST)")</f>
        <v>Leonard 19' Jump Shot (8 PTS) (Ginobili 1 AST)</v>
      </c>
      <c r="K1489" s="2" t="str">
        <f>HYPERLINK("https://www.nba.com/game/...-vs-...-0021500224/play-by-play?watchFullGame=true", "SAS vs DAL - Q1 01:25.00")</f>
        <v>SAS vs DAL - Q1 01:25.00</v>
      </c>
      <c r="L1489">
        <v>19</v>
      </c>
      <c r="M1489">
        <v>-6</v>
      </c>
      <c r="N1489">
        <v>193</v>
      </c>
      <c r="O1489">
        <v>-6</v>
      </c>
      <c r="P1489">
        <v>193</v>
      </c>
    </row>
    <row r="1490" spans="1:16" x14ac:dyDescent="0.25">
      <c r="A1490">
        <v>22301225</v>
      </c>
      <c r="B1490">
        <v>2023</v>
      </c>
      <c r="C1490" t="s">
        <v>16</v>
      </c>
      <c r="D1490" t="s">
        <v>19</v>
      </c>
      <c r="E1490">
        <v>6</v>
      </c>
      <c r="F1490">
        <v>13</v>
      </c>
      <c r="G1490">
        <v>1</v>
      </c>
      <c r="H1490" s="1">
        <v>5.4745370370370373E-3</v>
      </c>
      <c r="I1490" t="s">
        <v>23</v>
      </c>
      <c r="J1490" s="2" t="str">
        <f>HYPERLINK("https://www.nba.com/stats/events?CFID=&amp;CFPARAMS=&amp;GameEventID=46&amp;GameID=0022301225&amp;Season=2023-24&amp;flag=1&amp;title=Leonard%2025'%203PT%20%20(9%20PTS)%20(I.%20Zubac%203%20AST)", "25' 3PT  (9 PTS) (I. Zubac 3 AST)")</f>
        <v>25' 3PT  (9 PTS) (I. Zubac 3 AST)</v>
      </c>
      <c r="K1490" s="2" t="str">
        <f>HYPERLINK("https://www.nba.com/game/...-vs-...-0022301225/play-by-play?watchFullGame=true", "LAC vs UTA - Q1 07:53.00")</f>
        <v>LAC vs UTA - Q1 07:53.00</v>
      </c>
      <c r="L1490">
        <v>25.32</v>
      </c>
      <c r="M1490">
        <v>67.489999999999995</v>
      </c>
      <c r="N1490">
        <v>48.77</v>
      </c>
      <c r="O1490">
        <v>-6</v>
      </c>
      <c r="P1490">
        <v>253</v>
      </c>
    </row>
    <row r="1491" spans="1:16" x14ac:dyDescent="0.25">
      <c r="A1491">
        <v>21900239</v>
      </c>
      <c r="B1491">
        <v>2019</v>
      </c>
      <c r="C1491" t="s">
        <v>16</v>
      </c>
      <c r="D1491" t="s">
        <v>22</v>
      </c>
      <c r="E1491">
        <v>9</v>
      </c>
      <c r="F1491">
        <v>10</v>
      </c>
      <c r="G1491">
        <v>1</v>
      </c>
      <c r="H1491" s="1">
        <v>6.0069444444444441E-3</v>
      </c>
      <c r="I1491" t="s">
        <v>23</v>
      </c>
      <c r="J1491" s="2" t="str">
        <f>HYPERLINK("https://www.nba.com/stats/events?CFID=&amp;CFPARAMS=&amp;GameEventID=37&amp;GameID=0021900239&amp;Season=2019-20&amp;flag=1&amp;title=Leonard%2026'%203PT%20%20(5%20PTS)%20(P.%20Beverley%201%20AST)", "26' 3PT  (5 PTS) (P. Beverley 1 AST)")</f>
        <v>26' 3PT  (5 PTS) (P. Beverley 1 AST)</v>
      </c>
      <c r="K1491" s="2" t="str">
        <f>HYPERLINK("https://www.nba.com/game/...-vs-...-0021900239/play-by-play?watchFullGame=true", "LAC vs NOP - Q1 08:39.00")</f>
        <v>LAC vs NOP - Q1 08:39.00</v>
      </c>
      <c r="L1491">
        <v>26.02</v>
      </c>
      <c r="M1491">
        <v>67.33</v>
      </c>
      <c r="N1491">
        <v>48.71</v>
      </c>
      <c r="O1491">
        <v>-6</v>
      </c>
      <c r="P1491">
        <v>255</v>
      </c>
    </row>
    <row r="1492" spans="1:16" x14ac:dyDescent="0.25">
      <c r="A1492">
        <v>22300151</v>
      </c>
      <c r="B1492">
        <v>2023</v>
      </c>
      <c r="C1492" t="s">
        <v>32</v>
      </c>
      <c r="D1492" t="s">
        <v>48</v>
      </c>
      <c r="E1492">
        <v>15</v>
      </c>
      <c r="F1492">
        <v>16</v>
      </c>
      <c r="G1492">
        <v>1</v>
      </c>
      <c r="H1492" s="1">
        <v>2.1875000000000002E-3</v>
      </c>
      <c r="I1492" t="s">
        <v>23</v>
      </c>
      <c r="J1492" s="2" t="str">
        <f>HYPERLINK("https://www.nba.com/stats/events?CFID=&amp;CFPARAMS=&amp;GameEventID=84&amp;GameID=0022300151&amp;Season=2023-24&amp;flag=1&amp;title=Leonard%20cutting%20DUNK%20(4%20PTS)%20(M.%20Plumlee%201%20AST)", "Cutting DUNK (4 PTS) (M. Plumlee 1 AST)")</f>
        <v>Cutting DUNK (4 PTS) (M. Plumlee 1 AST)</v>
      </c>
      <c r="K1492" s="2" t="str">
        <f>HYPERLINK("https://www.nba.com/game/...-vs-...-0022300151/play-by-play?watchFullGame=true", "LAC vs NYK - Q1 03:09.00")</f>
        <v>LAC vs NYK - Q1 03:09.00</v>
      </c>
      <c r="L1492">
        <v>0.71</v>
      </c>
      <c r="M1492">
        <v>94.96</v>
      </c>
      <c r="N1492">
        <v>49.02</v>
      </c>
      <c r="O1492">
        <v>-5</v>
      </c>
      <c r="P1492">
        <v>-5</v>
      </c>
    </row>
    <row r="1493" spans="1:16" x14ac:dyDescent="0.25">
      <c r="A1493">
        <v>21301123</v>
      </c>
      <c r="B1493">
        <v>2013</v>
      </c>
      <c r="C1493" t="s">
        <v>32</v>
      </c>
      <c r="D1493" t="s">
        <v>57</v>
      </c>
      <c r="E1493">
        <v>50</v>
      </c>
      <c r="F1493">
        <v>34</v>
      </c>
      <c r="G1493">
        <v>2</v>
      </c>
      <c r="H1493" s="1">
        <v>2.7662037037037039E-3</v>
      </c>
      <c r="I1493" t="s">
        <v>18</v>
      </c>
      <c r="J1493" s="2" t="str">
        <f>HYPERLINK("https://www.nba.com/stats/events?CFID=&amp;CFPARAMS=&amp;GameEventID=200&amp;GameID=0021301123&amp;Season=2013-14&amp;flag=1&amp;title=Leonard%201'%20Layup%20(6%20PTS)%20(Parker%205%20AST)", "Leonard 1' Layup (6 PTS) (Parker 5 AST)")</f>
        <v>Leonard 1' Layup (6 PTS) (Parker 5 AST)</v>
      </c>
      <c r="K1493" s="2" t="str">
        <f>HYPERLINK("https://www.nba.com/game/...-vs-...-0021301123/play-by-play?watchFullGame=true", "SAS vs GSW - Q2 03:59.00")</f>
        <v>SAS vs GSW - Q2 03:59.00</v>
      </c>
      <c r="L1493">
        <v>1</v>
      </c>
      <c r="M1493">
        <v>-5</v>
      </c>
      <c r="N1493">
        <v>-5</v>
      </c>
      <c r="O1493">
        <v>-5</v>
      </c>
      <c r="P1493">
        <v>-5</v>
      </c>
    </row>
    <row r="1494" spans="1:16" x14ac:dyDescent="0.25">
      <c r="A1494">
        <v>21300898</v>
      </c>
      <c r="B1494">
        <v>2013</v>
      </c>
      <c r="C1494" t="s">
        <v>32</v>
      </c>
      <c r="D1494" t="s">
        <v>49</v>
      </c>
      <c r="E1494">
        <v>75</v>
      </c>
      <c r="F1494">
        <v>100</v>
      </c>
      <c r="G1494">
        <v>4</v>
      </c>
      <c r="H1494" s="1">
        <v>6.0648148148148145E-3</v>
      </c>
      <c r="I1494" t="s">
        <v>18</v>
      </c>
      <c r="J1494" s="2" t="str">
        <f>HYPERLINK("https://www.nba.com/stats/events?CFID=&amp;CFPARAMS=&amp;GameEventID=455&amp;GameID=0021300898&amp;Season=2013-14&amp;flag=1&amp;title=Leonard%201'%20Driving%20Layup%20(16%20PTS)%20(Mills%205%20AST)", "Leonard 1' Driving Layup (16 PTS) (Mills 5 AST)")</f>
        <v>Leonard 1' Driving Layup (16 PTS) (Mills 5 AST)</v>
      </c>
      <c r="K1494" s="2" t="str">
        <f>HYPERLINK("https://www.nba.com/game/...-vs-...-0021300898/play-by-play?watchFullGame=true", "SAS vs CLE - Q4 08:44.00")</f>
        <v>SAS vs CLE - Q4 08:44.00</v>
      </c>
      <c r="L1494">
        <v>1</v>
      </c>
      <c r="M1494">
        <v>-5</v>
      </c>
      <c r="N1494">
        <v>-2</v>
      </c>
      <c r="O1494">
        <v>-5</v>
      </c>
      <c r="P1494">
        <v>-2</v>
      </c>
    </row>
    <row r="1495" spans="1:16" x14ac:dyDescent="0.25">
      <c r="A1495">
        <v>41800211</v>
      </c>
      <c r="B1495" t="s">
        <v>20</v>
      </c>
      <c r="C1495" t="s">
        <v>32</v>
      </c>
      <c r="D1495" t="s">
        <v>67</v>
      </c>
      <c r="E1495">
        <v>4</v>
      </c>
      <c r="F1495">
        <v>7</v>
      </c>
      <c r="G1495">
        <v>1</v>
      </c>
      <c r="H1495" s="1">
        <v>6.5740740740740742E-3</v>
      </c>
      <c r="I1495" t="s">
        <v>21</v>
      </c>
      <c r="J1495" s="2" t="str">
        <f>HYPERLINK("https://www.nba.com/stats/events?CFID=&amp;CFPARAMS=&amp;GameEventID=25&amp;GameID=0041800211&amp;Season=2018-19&amp;flag=1&amp;title=Leonard%201'%20Driving%20Dunk%20(2%20PTS)", "Leonard 1' Driving Dunk (2 PTS)")</f>
        <v>Leonard 1' Driving Dunk (2 PTS)</v>
      </c>
      <c r="K1495" s="2" t="str">
        <f>HYPERLINK("https://www.nba.com/game/...-vs-...-0041800211/play-by-play?watchFullGame=true", "TOR vs PHI - Q1 09:28.00")</f>
        <v>TOR vs PHI - Q1 09:28.00</v>
      </c>
      <c r="L1495">
        <v>1</v>
      </c>
      <c r="M1495">
        <v>-5</v>
      </c>
      <c r="N1495">
        <v>-1</v>
      </c>
      <c r="O1495">
        <v>-5</v>
      </c>
      <c r="P1495">
        <v>-1</v>
      </c>
    </row>
    <row r="1496" spans="1:16" x14ac:dyDescent="0.25">
      <c r="A1496">
        <v>21301054</v>
      </c>
      <c r="B1496">
        <v>2013</v>
      </c>
      <c r="C1496" t="s">
        <v>32</v>
      </c>
      <c r="D1496" t="s">
        <v>59</v>
      </c>
      <c r="E1496">
        <v>26</v>
      </c>
      <c r="F1496">
        <v>22</v>
      </c>
      <c r="G1496">
        <v>1</v>
      </c>
      <c r="H1496" s="1">
        <v>8.1018518518518516E-4</v>
      </c>
      <c r="I1496" t="s">
        <v>18</v>
      </c>
      <c r="J1496" s="2" t="str">
        <f>HYPERLINK("https://www.nba.com/stats/events?CFID=&amp;CFPARAMS=&amp;GameEventID=95&amp;GameID=0021301054&amp;Season=2013-14&amp;flag=1&amp;title=Leonard%201'%20Putback%20Layup%20(8%20PTS)", "Leonard 1' Putback Layup (8 PTS)")</f>
        <v>Leonard 1' Putback Layup (8 PTS)</v>
      </c>
      <c r="K1496" s="2" t="str">
        <f>HYPERLINK("https://www.nba.com/game/...-vs-...-0021301054/play-by-play?watchFullGame=true", "SAS vs PHI - Q1 01:10.00")</f>
        <v>SAS vs PHI - Q1 01:10.00</v>
      </c>
      <c r="L1496">
        <v>1</v>
      </c>
      <c r="M1496">
        <v>-5</v>
      </c>
      <c r="N1496">
        <v>0</v>
      </c>
      <c r="O1496">
        <v>-5</v>
      </c>
      <c r="P1496">
        <v>0</v>
      </c>
    </row>
    <row r="1497" spans="1:16" x14ac:dyDescent="0.25">
      <c r="A1497">
        <v>21400241</v>
      </c>
      <c r="B1497">
        <v>2014</v>
      </c>
      <c r="C1497" t="s">
        <v>32</v>
      </c>
      <c r="D1497" t="s">
        <v>66</v>
      </c>
      <c r="E1497">
        <v>61</v>
      </c>
      <c r="F1497">
        <v>60</v>
      </c>
      <c r="G1497">
        <v>3</v>
      </c>
      <c r="H1497" s="1">
        <v>5.0694444444444441E-3</v>
      </c>
      <c r="I1497" t="s">
        <v>18</v>
      </c>
      <c r="J1497" s="2" t="str">
        <f>HYPERLINK("https://www.nba.com/stats/events?CFID=&amp;CFPARAMS=&amp;GameEventID=271&amp;GameID=0021400241&amp;Season=2014-15&amp;flag=1&amp;title=Leonard%201'%20Running%20Reverse%20Layup%20(7%20PTS)%20(Duncan%202%20AST)", "Leonard 1' Running Reverse Layup (7 PTS) (Duncan 2 AST)")</f>
        <v>Leonard 1' Running Reverse Layup (7 PTS) (Duncan 2 AST)</v>
      </c>
      <c r="K1497" s="2" t="str">
        <f>HYPERLINK("https://www.nba.com/game/...-vs-...-0021400241/play-by-play?watchFullGame=true", "SAS vs BOS - Q3 07:18.00")</f>
        <v>SAS vs BOS - Q3 07:18.00</v>
      </c>
      <c r="L1497">
        <v>1</v>
      </c>
      <c r="M1497">
        <v>-5</v>
      </c>
      <c r="N1497">
        <v>0</v>
      </c>
      <c r="O1497">
        <v>-5</v>
      </c>
      <c r="P1497">
        <v>0</v>
      </c>
    </row>
    <row r="1498" spans="1:16" x14ac:dyDescent="0.25">
      <c r="A1498">
        <v>21300494</v>
      </c>
      <c r="B1498">
        <v>2013</v>
      </c>
      <c r="C1498" t="s">
        <v>32</v>
      </c>
      <c r="D1498" t="s">
        <v>62</v>
      </c>
      <c r="E1498">
        <v>58</v>
      </c>
      <c r="F1498">
        <v>25</v>
      </c>
      <c r="G1498">
        <v>2</v>
      </c>
      <c r="H1498" s="1">
        <v>2.627314814814815E-3</v>
      </c>
      <c r="I1498" t="s">
        <v>18</v>
      </c>
      <c r="J1498" s="2" t="str">
        <f>HYPERLINK("https://www.nba.com/stats/events?CFID=&amp;CFPARAMS=&amp;GameEventID=191&amp;GameID=0021300494&amp;Season=2013-14&amp;flag=1&amp;title=Leonard%201'%20Dunk%20(4%20PTS)%20(Green%202%20AST)", "Leonard 1' Dunk (4 PTS) (Green 2 AST)")</f>
        <v>Leonard 1' Dunk (4 PTS) (Green 2 AST)</v>
      </c>
      <c r="K1498" s="2" t="str">
        <f>HYPERLINK("https://www.nba.com/game/...-vs-...-0021300494/play-by-play?watchFullGame=true", "SAS vs LAC - Q2 03:47.00")</f>
        <v>SAS vs LAC - Q2 03:47.00</v>
      </c>
      <c r="L1498">
        <v>1</v>
      </c>
      <c r="M1498">
        <v>-5</v>
      </c>
      <c r="N1498">
        <v>1</v>
      </c>
      <c r="O1498">
        <v>-5</v>
      </c>
      <c r="P1498">
        <v>1</v>
      </c>
    </row>
    <row r="1499" spans="1:16" x14ac:dyDescent="0.25">
      <c r="A1499">
        <v>22200687</v>
      </c>
      <c r="B1499">
        <v>2022</v>
      </c>
      <c r="C1499" t="s">
        <v>32</v>
      </c>
      <c r="D1499" t="s">
        <v>48</v>
      </c>
      <c r="E1499">
        <v>10</v>
      </c>
      <c r="F1499">
        <v>11</v>
      </c>
      <c r="G1499">
        <v>1</v>
      </c>
      <c r="H1499" s="1">
        <v>5.5324074074074078E-3</v>
      </c>
      <c r="I1499" t="s">
        <v>23</v>
      </c>
      <c r="J1499" s="2" t="str">
        <f>HYPERLINK("https://www.nba.com/stats/events?CFID=&amp;CFPARAMS=&amp;GameEventID=45&amp;GameID=0022200687&amp;Season=2022-23&amp;flag=1&amp;title=Leonard%20DUNK%20(7%20PTS)%20(M.%20Morris%20Sr.%201%20AST)", "DUNK (7 PTS) (M. Morris Sr. 1 AST)")</f>
        <v>DUNK (7 PTS) (M. Morris Sr. 1 AST)</v>
      </c>
      <c r="K1499" s="2" t="str">
        <f>HYPERLINK("https://www.nba.com/game/...-vs-...-0022200687/play-by-play?watchFullGame=true", "LAC vs SAS - Q1 07:58.00")</f>
        <v>LAC vs SAS - Q1 07:58.00</v>
      </c>
      <c r="L1499">
        <v>0.54</v>
      </c>
      <c r="M1499">
        <v>94.17</v>
      </c>
      <c r="N1499">
        <v>49.02</v>
      </c>
      <c r="O1499">
        <v>-5</v>
      </c>
      <c r="P1499">
        <v>2</v>
      </c>
    </row>
    <row r="1500" spans="1:16" x14ac:dyDescent="0.25">
      <c r="A1500">
        <v>21401168</v>
      </c>
      <c r="B1500">
        <v>2014</v>
      </c>
      <c r="C1500" t="s">
        <v>32</v>
      </c>
      <c r="D1500" t="s">
        <v>49</v>
      </c>
      <c r="E1500">
        <v>17</v>
      </c>
      <c r="F1500">
        <v>21</v>
      </c>
      <c r="G1500">
        <v>1</v>
      </c>
      <c r="H1500" s="1">
        <v>3.0208333333333333E-3</v>
      </c>
      <c r="I1500" t="s">
        <v>18</v>
      </c>
      <c r="J1500" s="2" t="str">
        <f>HYPERLINK("https://www.nba.com/stats/events?CFID=&amp;CFPARAMS=&amp;GameEventID=90&amp;GameID=0021401168&amp;Season=2014-15&amp;flag=1&amp;title=Leonard%201'%20Driving%20Layup%20(2%20PTS)%20(Ginobili%201%20AST)", "Leonard 1' Driving Layup (2 PTS) (Ginobili 1 AST)")</f>
        <v>Leonard 1' Driving Layup (2 PTS) (Ginobili 1 AST)</v>
      </c>
      <c r="K1500" s="2" t="str">
        <f>HYPERLINK("https://www.nba.com/game/...-vs-...-0021401168/play-by-play?watchFullGame=true", "SAS vs HOU - Q1 04:21.00")</f>
        <v>SAS vs HOU - Q1 04:21.00</v>
      </c>
      <c r="L1500">
        <v>1</v>
      </c>
      <c r="M1500">
        <v>-5</v>
      </c>
      <c r="N1500">
        <v>3</v>
      </c>
      <c r="O1500">
        <v>-5</v>
      </c>
      <c r="P1500">
        <v>3</v>
      </c>
    </row>
    <row r="1501" spans="1:16" x14ac:dyDescent="0.25">
      <c r="A1501">
        <v>21300514</v>
      </c>
      <c r="B1501">
        <v>2013</v>
      </c>
      <c r="C1501" t="s">
        <v>32</v>
      </c>
      <c r="D1501" t="s">
        <v>62</v>
      </c>
      <c r="E1501">
        <v>6</v>
      </c>
      <c r="F1501">
        <v>10</v>
      </c>
      <c r="G1501">
        <v>1</v>
      </c>
      <c r="H1501" s="1">
        <v>5.3935185185185188E-3</v>
      </c>
      <c r="I1501" t="s">
        <v>18</v>
      </c>
      <c r="J1501" s="2" t="str">
        <f>HYPERLINK("https://www.nba.com/stats/events?CFID=&amp;CFPARAMS=&amp;GameEventID=26&amp;GameID=0021300514&amp;Season=2013-14&amp;flag=1&amp;title=Leonard%201'%20Dunk%20(2%20PTS)%20(Belinelli%202%20AST)", "Leonard 1' Dunk (2 PTS) (Belinelli 2 AST)")</f>
        <v>Leonard 1' Dunk (2 PTS) (Belinelli 2 AST)</v>
      </c>
      <c r="K1501" s="2" t="str">
        <f>HYPERLINK("https://www.nba.com/game/...-vs-...-0021300514/play-by-play?watchFullGame=true", "SAS vs MEM - Q1 07:46.00")</f>
        <v>SAS vs MEM - Q1 07:46.00</v>
      </c>
      <c r="L1501">
        <v>1</v>
      </c>
      <c r="M1501">
        <v>-5</v>
      </c>
      <c r="N1501">
        <v>3</v>
      </c>
      <c r="O1501">
        <v>-5</v>
      </c>
      <c r="P1501">
        <v>3</v>
      </c>
    </row>
    <row r="1502" spans="1:16" x14ac:dyDescent="0.25">
      <c r="A1502">
        <v>21400064</v>
      </c>
      <c r="B1502">
        <v>2014</v>
      </c>
      <c r="C1502" t="s">
        <v>32</v>
      </c>
      <c r="D1502" t="s">
        <v>57</v>
      </c>
      <c r="E1502">
        <v>81</v>
      </c>
      <c r="F1502">
        <v>76</v>
      </c>
      <c r="G1502">
        <v>4</v>
      </c>
      <c r="H1502" s="1">
        <v>5.1736111111111115E-3</v>
      </c>
      <c r="I1502" t="s">
        <v>18</v>
      </c>
      <c r="J1502" s="2" t="str">
        <f>HYPERLINK("https://www.nba.com/stats/events?CFID=&amp;CFPARAMS=&amp;GameEventID=422&amp;GameID=0021400064&amp;Season=2014-15&amp;flag=1&amp;title=Leonard%201'%20Layup%20(11%20PTS)%20(Duncan%204%20AST)", "Leonard 1' Layup (11 PTS) (Duncan 4 AST)")</f>
        <v>Leonard 1' Layup (11 PTS) (Duncan 4 AST)</v>
      </c>
      <c r="K1502" s="2" t="str">
        <f>HYPERLINK("https://www.nba.com/game/...-vs-...-0021400064/play-by-play?watchFullGame=true", "SAS vs ATL - Q4 07:27.00")</f>
        <v>SAS vs ATL - Q4 07:27.00</v>
      </c>
      <c r="L1502">
        <v>1</v>
      </c>
      <c r="M1502">
        <v>-5</v>
      </c>
      <c r="N1502">
        <v>3</v>
      </c>
      <c r="O1502">
        <v>-5</v>
      </c>
      <c r="P1502">
        <v>3</v>
      </c>
    </row>
    <row r="1503" spans="1:16" x14ac:dyDescent="0.25">
      <c r="A1503">
        <v>41800303</v>
      </c>
      <c r="B1503" t="s">
        <v>20</v>
      </c>
      <c r="C1503" t="s">
        <v>32</v>
      </c>
      <c r="D1503" t="s">
        <v>63</v>
      </c>
      <c r="E1503">
        <v>108</v>
      </c>
      <c r="F1503">
        <v>105</v>
      </c>
      <c r="G1503">
        <v>6</v>
      </c>
      <c r="H1503" s="1">
        <v>2.2337962962962962E-3</v>
      </c>
      <c r="I1503" t="s">
        <v>21</v>
      </c>
      <c r="J1503" s="2" t="str">
        <f>HYPERLINK("https://www.nba.com/stats/events?CFID=&amp;CFPARAMS=&amp;GameEventID=826&amp;GameID=0041800303&amp;Season=2018-19&amp;flag=1&amp;title=Leonard%201'%20Running%20Dunk%20(30%20PTS)", "Leonard 1' Running Dunk (30 PTS)")</f>
        <v>Leonard 1' Running Dunk (30 PTS)</v>
      </c>
      <c r="K1503" s="2" t="str">
        <f>HYPERLINK("https://www.nba.com/game/...-vs-...-0041800303/play-by-play?watchFullGame=true", "TOR vs MIL - Q6 03:13.00")</f>
        <v>TOR vs MIL - Q6 03:13.00</v>
      </c>
      <c r="L1503">
        <v>1</v>
      </c>
      <c r="M1503">
        <v>-5</v>
      </c>
      <c r="N1503">
        <v>4</v>
      </c>
      <c r="O1503">
        <v>-5</v>
      </c>
      <c r="P1503">
        <v>4</v>
      </c>
    </row>
    <row r="1504" spans="1:16" x14ac:dyDescent="0.25">
      <c r="A1504">
        <v>22300151</v>
      </c>
      <c r="B1504">
        <v>2023</v>
      </c>
      <c r="C1504" t="s">
        <v>32</v>
      </c>
      <c r="D1504" t="s">
        <v>48</v>
      </c>
      <c r="E1504">
        <v>62</v>
      </c>
      <c r="F1504">
        <v>66</v>
      </c>
      <c r="G1504">
        <v>3</v>
      </c>
      <c r="H1504" s="1">
        <v>3.0092592592592593E-3</v>
      </c>
      <c r="I1504" t="s">
        <v>23</v>
      </c>
      <c r="J1504" s="2" t="str">
        <f>HYPERLINK("https://www.nba.com/stats/events?CFID=&amp;CFPARAMS=&amp;GameEventID=374&amp;GameID=0022300151&amp;Season=2023-24&amp;flag=1&amp;title=Leonard%20running%20DUNK%20(15%20PTS)%20(R.%20Westbrook%204%20AST)", "Running DUNK (15 PTS) (R. Westbrook 4 AST)")</f>
        <v>Running DUNK (15 PTS) (R. Westbrook 4 AST)</v>
      </c>
      <c r="K1504" s="2" t="str">
        <f>HYPERLINK("https://www.nba.com/game/...-vs-...-0022300151/play-by-play?watchFullGame=true", "LAC vs NYK - Q3 04:20.00")</f>
        <v>LAC vs NYK - Q3 04:20.00</v>
      </c>
      <c r="L1504">
        <v>0.71</v>
      </c>
      <c r="M1504">
        <v>6.13</v>
      </c>
      <c r="N1504">
        <v>50.98</v>
      </c>
      <c r="O1504">
        <v>-5</v>
      </c>
      <c r="P1504">
        <v>5</v>
      </c>
    </row>
    <row r="1505" spans="1:16" x14ac:dyDescent="0.25">
      <c r="A1505">
        <v>21300859</v>
      </c>
      <c r="B1505">
        <v>2013</v>
      </c>
      <c r="C1505" t="s">
        <v>32</v>
      </c>
      <c r="D1505" t="s">
        <v>62</v>
      </c>
      <c r="E1505">
        <v>118</v>
      </c>
      <c r="F1505">
        <v>103</v>
      </c>
      <c r="G1505">
        <v>4</v>
      </c>
      <c r="H1505" s="1">
        <v>1.3773148148148147E-3</v>
      </c>
      <c r="I1505" t="s">
        <v>18</v>
      </c>
      <c r="J1505" s="2" t="str">
        <f>HYPERLINK("https://www.nba.com/stats/events?CFID=&amp;CFPARAMS=&amp;GameEventID=474&amp;GameID=0021300859&amp;Season=2013-14&amp;flag=1&amp;title=Leonard%201'%20Dunk%20(15%20PTS)%20(Ginobili%209%20AST)", "Leonard 1' Dunk (15 PTS) (Ginobili 9 AST)")</f>
        <v>Leonard 1' Dunk (15 PTS) (Ginobili 9 AST)</v>
      </c>
      <c r="K1505" s="2" t="str">
        <f>HYPERLINK("https://www.nba.com/game/...-vs-...-0021300859/play-by-play?watchFullGame=true", "SAS vs DET - Q4 01:59.00")</f>
        <v>SAS vs DET - Q4 01:59.00</v>
      </c>
      <c r="L1505">
        <v>1</v>
      </c>
      <c r="M1505">
        <v>-5</v>
      </c>
      <c r="N1505">
        <v>6</v>
      </c>
      <c r="O1505">
        <v>-5</v>
      </c>
      <c r="P1505">
        <v>6</v>
      </c>
    </row>
    <row r="1506" spans="1:16" x14ac:dyDescent="0.25">
      <c r="A1506">
        <v>41300144</v>
      </c>
      <c r="B1506" t="s">
        <v>26</v>
      </c>
      <c r="C1506" t="s">
        <v>32</v>
      </c>
      <c r="D1506" t="s">
        <v>61</v>
      </c>
      <c r="E1506">
        <v>31</v>
      </c>
      <c r="F1506">
        <v>41</v>
      </c>
      <c r="G1506">
        <v>2</v>
      </c>
      <c r="H1506" s="1">
        <v>2.5925925925925925E-3</v>
      </c>
      <c r="I1506" t="s">
        <v>18</v>
      </c>
      <c r="J1506" s="2" t="str">
        <f>HYPERLINK("https://www.nba.com/stats/events?CFID=&amp;CFPARAMS=&amp;GameEventID=220&amp;GameID=0041300144&amp;Season=2013-14&amp;flag=1&amp;title=Leonard%201'%20Driving%20Finger%20Roll%20Layup%20(4%20PTS)%20(Diaw%204%20AST)", "Leonard 1' Driving Finger Roll Layup (4 PTS) (Diaw 4 AST)")</f>
        <v>Leonard 1' Driving Finger Roll Layup (4 PTS) (Diaw 4 AST)</v>
      </c>
      <c r="K1506" s="2" t="str">
        <f>HYPERLINK("https://www.nba.com/game/...-vs-...-0041300144/play-by-play?watchFullGame=true", "SAS vs DAL - Q2 03:44.00")</f>
        <v>SAS vs DAL - Q2 03:44.00</v>
      </c>
      <c r="L1506">
        <v>1</v>
      </c>
      <c r="M1506">
        <v>-5</v>
      </c>
      <c r="N1506">
        <v>6</v>
      </c>
      <c r="O1506">
        <v>-5</v>
      </c>
      <c r="P1506">
        <v>6</v>
      </c>
    </row>
    <row r="1507" spans="1:16" x14ac:dyDescent="0.25">
      <c r="A1507">
        <v>41300401</v>
      </c>
      <c r="B1507" t="s">
        <v>26</v>
      </c>
      <c r="C1507" t="s">
        <v>32</v>
      </c>
      <c r="D1507" t="s">
        <v>57</v>
      </c>
      <c r="E1507">
        <v>56</v>
      </c>
      <c r="F1507">
        <v>49</v>
      </c>
      <c r="G1507">
        <v>3</v>
      </c>
      <c r="H1507" s="1">
        <v>8.1828703703703699E-3</v>
      </c>
      <c r="I1507" t="s">
        <v>18</v>
      </c>
      <c r="J1507" s="2" t="str">
        <f>HYPERLINK("https://www.nba.com/stats/events?CFID=&amp;CFPARAMS=&amp;GameEventID=250&amp;GameID=0041300401&amp;Season=2013-14&amp;flag=1&amp;title=Leonard%201'%20Layup%20(2%20PTS)", "Leonard 1' Layup (2 PTS)")</f>
        <v>Leonard 1' Layup (2 PTS)</v>
      </c>
      <c r="K1507" s="2" t="str">
        <f>HYPERLINK("https://www.nba.com/game/...-vs-...-0041300401/play-by-play?watchFullGame=true", "SAS vs MIA - Q3 11:47.00")</f>
        <v>SAS vs MIA - Q3 11:47.00</v>
      </c>
      <c r="L1507">
        <v>1</v>
      </c>
      <c r="M1507">
        <v>-5</v>
      </c>
      <c r="N1507">
        <v>7</v>
      </c>
      <c r="O1507">
        <v>-5</v>
      </c>
      <c r="P1507">
        <v>7</v>
      </c>
    </row>
    <row r="1508" spans="1:16" x14ac:dyDescent="0.25">
      <c r="A1508">
        <v>22400679</v>
      </c>
      <c r="B1508">
        <v>2024</v>
      </c>
      <c r="C1508" t="s">
        <v>32</v>
      </c>
      <c r="D1508" t="s">
        <v>48</v>
      </c>
      <c r="E1508">
        <v>99</v>
      </c>
      <c r="F1508">
        <v>110</v>
      </c>
      <c r="G1508">
        <v>4</v>
      </c>
      <c r="H1508" s="1">
        <v>1.2152777777777778E-3</v>
      </c>
      <c r="I1508" t="s">
        <v>23</v>
      </c>
      <c r="J1508" s="2" t="str">
        <f>HYPERLINK("https://www.nba.com/stats/events?CFID=&amp;CFPARAMS=&amp;GameEventID=621&amp;GameID=0022400679&amp;Season=2024-25&amp;flag=1&amp;title=Leonard%20running%20DUNK%20(21%20PTS)", "Running DUNK (21 PTS)")</f>
        <v>Running DUNK (21 PTS)</v>
      </c>
      <c r="K1508" s="2" t="str">
        <f>HYPERLINK("https://www.nba.com/game/...-vs-...-0022400679/play-by-play?watchFullGame=true", "LAC vs CHA - Q4 01:45.00")</f>
        <v>LAC vs CHA - Q4 01:45.00</v>
      </c>
      <c r="L1508">
        <v>0.9</v>
      </c>
      <c r="M1508">
        <v>6.39</v>
      </c>
      <c r="N1508">
        <v>50.98</v>
      </c>
      <c r="O1508">
        <v>-5</v>
      </c>
      <c r="P1508">
        <v>8</v>
      </c>
    </row>
    <row r="1509" spans="1:16" x14ac:dyDescent="0.25">
      <c r="A1509">
        <v>21900292</v>
      </c>
      <c r="B1509">
        <v>2019</v>
      </c>
      <c r="C1509" t="s">
        <v>32</v>
      </c>
      <c r="D1509" t="s">
        <v>65</v>
      </c>
      <c r="E1509">
        <v>133</v>
      </c>
      <c r="F1509">
        <v>107</v>
      </c>
      <c r="G1509">
        <v>4</v>
      </c>
      <c r="H1509" s="1">
        <v>4.9421296296296297E-3</v>
      </c>
      <c r="I1509" t="s">
        <v>23</v>
      </c>
      <c r="J1509" s="2" t="str">
        <f>HYPERLINK("https://www.nba.com/stats/events?CFID=&amp;CFPARAMS=&amp;GameEventID=642&amp;GameID=0021900292&amp;Season=2019-20&amp;flag=1&amp;title=Leonard%20dunk%20(31%20PTS)", "Dunk (31 PTS)")</f>
        <v>Dunk (31 PTS)</v>
      </c>
      <c r="K1509" s="2" t="str">
        <f>HYPERLINK("https://www.nba.com/game/...-vs-...-0021900292/play-by-play?watchFullGame=true", "LAC vs WAS - Q4 07:07.00")</f>
        <v>LAC vs WAS - Q4 07:07.00</v>
      </c>
      <c r="L1509">
        <v>1.47</v>
      </c>
      <c r="M1509">
        <v>6.49</v>
      </c>
      <c r="N1509">
        <v>50.91</v>
      </c>
      <c r="O1509">
        <v>-5</v>
      </c>
      <c r="P1509">
        <v>8</v>
      </c>
    </row>
    <row r="1510" spans="1:16" x14ac:dyDescent="0.25">
      <c r="A1510">
        <v>22300372</v>
      </c>
      <c r="B1510">
        <v>2023</v>
      </c>
      <c r="C1510" t="s">
        <v>32</v>
      </c>
      <c r="D1510" t="s">
        <v>47</v>
      </c>
      <c r="E1510">
        <v>110</v>
      </c>
      <c r="F1510">
        <v>118</v>
      </c>
      <c r="G1510">
        <v>4</v>
      </c>
      <c r="H1510" s="1">
        <v>9.837962962962962E-4</v>
      </c>
      <c r="I1510" t="s">
        <v>23</v>
      </c>
      <c r="J1510" s="2" t="str">
        <f>HYPERLINK("https://www.nba.com/stats/events?CFID=&amp;CFPARAMS=&amp;GameEventID=597&amp;GameID=0022300372&amp;Season=2023-24&amp;flag=1&amp;title=Leonard%20driving%20finger%20roll%20Layup%20(28%20PTS)", "Driving finger roll Layup (28 PTS)")</f>
        <v>Driving finger roll Layup (28 PTS)</v>
      </c>
      <c r="K1510" s="2" t="str">
        <f>HYPERLINK("https://www.nba.com/game/...-vs-...-0022300372/play-by-play?watchFullGame=true", "LAC vs DAL - Q4 01:25.00")</f>
        <v>LAC vs DAL - Q4 01:25.00</v>
      </c>
      <c r="L1510">
        <v>1.1100000000000001</v>
      </c>
      <c r="M1510">
        <v>6.65</v>
      </c>
      <c r="N1510">
        <v>50.98</v>
      </c>
      <c r="O1510">
        <v>-5</v>
      </c>
      <c r="P1510">
        <v>10</v>
      </c>
    </row>
    <row r="1511" spans="1:16" x14ac:dyDescent="0.25">
      <c r="A1511">
        <v>41800215</v>
      </c>
      <c r="B1511" t="s">
        <v>20</v>
      </c>
      <c r="C1511" t="s">
        <v>32</v>
      </c>
      <c r="D1511" t="s">
        <v>67</v>
      </c>
      <c r="E1511">
        <v>92</v>
      </c>
      <c r="F1511">
        <v>70</v>
      </c>
      <c r="G1511">
        <v>3</v>
      </c>
      <c r="H1511" s="1">
        <v>4.7569444444444444E-4</v>
      </c>
      <c r="I1511" t="s">
        <v>21</v>
      </c>
      <c r="J1511" s="2" t="str">
        <f>HYPERLINK("https://www.nba.com/stats/events?CFID=&amp;CFPARAMS=&amp;GameEventID=497&amp;GameID=0041800215&amp;Season=2018-19&amp;flag=1&amp;title=Leonard%201'%20Driving%20Dunk%20(19%20PTS)", "Leonard 1' Driving Dunk (19 PTS)")</f>
        <v>Leonard 1' Driving Dunk (19 PTS)</v>
      </c>
      <c r="K1511" s="2" t="str">
        <f>HYPERLINK("https://www.nba.com/game/...-vs-...-0041800215/play-by-play?watchFullGame=true", "TOR vs PHI - Q3 00:41.10")</f>
        <v>TOR vs PHI - Q3 00:41.10</v>
      </c>
      <c r="L1511">
        <v>1</v>
      </c>
      <c r="M1511">
        <v>-5</v>
      </c>
      <c r="N1511">
        <v>11</v>
      </c>
      <c r="O1511">
        <v>-5</v>
      </c>
      <c r="P1511">
        <v>11</v>
      </c>
    </row>
    <row r="1512" spans="1:16" x14ac:dyDescent="0.25">
      <c r="A1512">
        <v>22300511</v>
      </c>
      <c r="B1512">
        <v>2023</v>
      </c>
      <c r="C1512" t="s">
        <v>32</v>
      </c>
      <c r="D1512" t="s">
        <v>47</v>
      </c>
      <c r="E1512">
        <v>11</v>
      </c>
      <c r="F1512">
        <v>8</v>
      </c>
      <c r="G1512">
        <v>1</v>
      </c>
      <c r="H1512" s="1">
        <v>5.9490740740740745E-3</v>
      </c>
      <c r="I1512" t="s">
        <v>23</v>
      </c>
      <c r="J1512" s="2" t="str">
        <f>HYPERLINK("https://www.nba.com/stats/events?CFID=&amp;CFPARAMS=&amp;GameEventID=42&amp;GameID=0022300511&amp;Season=2023-24&amp;flag=1&amp;title=Leonard%20Layup%20(2%20PTS)%20(J.%20Harden%205%20AST)", "Layup (2 PTS) (J. Harden 5 AST)")</f>
        <v>Layup (2 PTS) (J. Harden 5 AST)</v>
      </c>
      <c r="K1512" s="2" t="str">
        <f>HYPERLINK("https://www.nba.com/game/...-vs-...-0022300511/play-by-play?watchFullGame=true", "LAC vs PHX - Q1 08:34.00")</f>
        <v>LAC vs PHX - Q1 08:34.00</v>
      </c>
      <c r="L1512">
        <v>1.23</v>
      </c>
      <c r="M1512">
        <v>93.22</v>
      </c>
      <c r="N1512">
        <v>49.02</v>
      </c>
      <c r="O1512">
        <v>-5</v>
      </c>
      <c r="P1512">
        <v>11</v>
      </c>
    </row>
    <row r="1513" spans="1:16" x14ac:dyDescent="0.25">
      <c r="A1513">
        <v>22000644</v>
      </c>
      <c r="B1513">
        <v>2020</v>
      </c>
      <c r="C1513" t="s">
        <v>32</v>
      </c>
      <c r="D1513" t="s">
        <v>48</v>
      </c>
      <c r="E1513">
        <v>50</v>
      </c>
      <c r="F1513">
        <v>30</v>
      </c>
      <c r="G1513">
        <v>2</v>
      </c>
      <c r="H1513" s="1">
        <v>4.7685185185185183E-3</v>
      </c>
      <c r="I1513" t="s">
        <v>23</v>
      </c>
      <c r="J1513" s="2" t="str">
        <f>HYPERLINK("https://www.nba.com/stats/events?CFID=&amp;CFPARAMS=&amp;GameEventID=221&amp;GameID=0022000644&amp;Season=2020-21&amp;flag=1&amp;title=Leonard%20running%20alley-oop%20DUNK%20(6%20PTS)%20(P.%20George%205%20AST)", "Running alley-oop DUNK (6 PTS) (P. George 5 AST)")</f>
        <v>Running alley-oop DUNK (6 PTS) (P. George 5 AST)</v>
      </c>
      <c r="K1513" s="2" t="str">
        <f>HYPERLINK("https://www.nba.com/game/...-vs-...-0022000644/play-by-play?watchFullGame=true", "LAC vs CHA - Q2 06:52.00")</f>
        <v>LAC vs CHA - Q2 06:52.00</v>
      </c>
      <c r="L1513">
        <v>1.42</v>
      </c>
      <c r="M1513">
        <v>92.99</v>
      </c>
      <c r="N1513">
        <v>49.09</v>
      </c>
      <c r="O1513">
        <v>-5</v>
      </c>
      <c r="P1513">
        <v>13</v>
      </c>
    </row>
    <row r="1514" spans="1:16" x14ac:dyDescent="0.25">
      <c r="A1514">
        <v>22300897</v>
      </c>
      <c r="B1514">
        <v>2023</v>
      </c>
      <c r="C1514" t="s">
        <v>32</v>
      </c>
      <c r="D1514" t="s">
        <v>47</v>
      </c>
      <c r="E1514">
        <v>57</v>
      </c>
      <c r="F1514">
        <v>44</v>
      </c>
      <c r="G1514">
        <v>2</v>
      </c>
      <c r="H1514" s="1">
        <v>3.8773148148148147E-4</v>
      </c>
      <c r="I1514" t="s">
        <v>23</v>
      </c>
      <c r="J1514" s="2" t="str">
        <f>HYPERLINK("https://www.nba.com/stats/events?CFID=&amp;CFPARAMS=&amp;GameEventID=293&amp;GameID=0022300897&amp;Season=2023-24&amp;flag=1&amp;title=Leonard%20driving%20finger%20roll%20Layup%20(12%20PTS)", "Driving finger roll Layup (12 PTS)")</f>
        <v>Driving finger roll Layup (12 PTS)</v>
      </c>
      <c r="K1514" s="2" t="str">
        <f>HYPERLINK("https://www.nba.com/game/...-vs-...-0022300897/play-by-play?watchFullGame=true", "LAC vs HOU - Q2 00:33.50")</f>
        <v>LAC vs HOU - Q2 00:33.50</v>
      </c>
      <c r="L1514">
        <v>1.55</v>
      </c>
      <c r="M1514">
        <v>92.85</v>
      </c>
      <c r="N1514">
        <v>49.02</v>
      </c>
      <c r="O1514">
        <v>-5</v>
      </c>
      <c r="P1514">
        <v>15</v>
      </c>
    </row>
    <row r="1515" spans="1:16" x14ac:dyDescent="0.25">
      <c r="A1515">
        <v>22300350</v>
      </c>
      <c r="B1515">
        <v>2023</v>
      </c>
      <c r="C1515" t="s">
        <v>32</v>
      </c>
      <c r="D1515" t="s">
        <v>48</v>
      </c>
      <c r="E1515">
        <v>81</v>
      </c>
      <c r="F1515">
        <v>102</v>
      </c>
      <c r="G1515">
        <v>3</v>
      </c>
      <c r="H1515" s="1">
        <v>2.7083333333333334E-3</v>
      </c>
      <c r="I1515" t="s">
        <v>23</v>
      </c>
      <c r="J1515" s="2" t="str">
        <f>HYPERLINK("https://www.nba.com/stats/events?CFID=&amp;CFPARAMS=&amp;GameEventID=457&amp;GameID=0022300350&amp;Season=2023-24&amp;flag=1&amp;title=Leonard%20cutting%20DUNK%20(26%20PTS)%20(I.%20Zubac%203%20AST)", "Cutting DUNK (26 PTS) (I. Zubac 3 AST)")</f>
        <v>Cutting DUNK (26 PTS) (I. Zubac 3 AST)</v>
      </c>
      <c r="K1515" s="2" t="str">
        <f>HYPERLINK("https://www.nba.com/game/...-vs-...-0022300350/play-by-play?watchFullGame=true", "LAC vs IND - Q3 03:54.00")</f>
        <v>LAC vs IND - Q3 03:54.00</v>
      </c>
      <c r="L1515">
        <v>1.81</v>
      </c>
      <c r="M1515">
        <v>7.44</v>
      </c>
      <c r="N1515">
        <v>50.98</v>
      </c>
      <c r="O1515">
        <v>-5</v>
      </c>
      <c r="P1515">
        <v>17</v>
      </c>
    </row>
    <row r="1516" spans="1:16" x14ac:dyDescent="0.25">
      <c r="A1516">
        <v>41800403</v>
      </c>
      <c r="B1516" t="s">
        <v>20</v>
      </c>
      <c r="C1516" t="s">
        <v>32</v>
      </c>
      <c r="D1516" t="s">
        <v>67</v>
      </c>
      <c r="E1516">
        <v>23</v>
      </c>
      <c r="F1516">
        <v>32</v>
      </c>
      <c r="G1516">
        <v>1</v>
      </c>
      <c r="H1516" s="1">
        <v>6.4467592592592593E-4</v>
      </c>
      <c r="I1516" t="s">
        <v>21</v>
      </c>
      <c r="J1516" s="2" t="str">
        <f>HYPERLINK("https://www.nba.com/stats/events?CFID=&amp;CFPARAMS=&amp;GameEventID=143&amp;GameID=0041800403&amp;Season=2018-19&amp;flag=1&amp;title=Leonard%202'%20Driving%20Dunk%20(8%20PTS)", "Leonard 2' Driving Dunk (8 PTS)")</f>
        <v>Leonard 2' Driving Dunk (8 PTS)</v>
      </c>
      <c r="K1516" s="2" t="str">
        <f>HYPERLINK("https://www.nba.com/game/...-vs-...-0041800403/play-by-play?watchFullGame=true", "TOR vs GSW - Q1 00:55.70")</f>
        <v>TOR vs GSW - Q1 00:55.70</v>
      </c>
      <c r="L1516">
        <v>2</v>
      </c>
      <c r="M1516">
        <v>-5</v>
      </c>
      <c r="N1516">
        <v>18</v>
      </c>
      <c r="O1516">
        <v>-5</v>
      </c>
      <c r="P1516">
        <v>18</v>
      </c>
    </row>
    <row r="1517" spans="1:16" x14ac:dyDescent="0.25">
      <c r="A1517">
        <v>22300873</v>
      </c>
      <c r="B1517">
        <v>2023</v>
      </c>
      <c r="C1517" t="s">
        <v>32</v>
      </c>
      <c r="D1517" t="s">
        <v>47</v>
      </c>
      <c r="E1517">
        <v>46</v>
      </c>
      <c r="F1517">
        <v>49</v>
      </c>
      <c r="G1517">
        <v>2</v>
      </c>
      <c r="H1517" s="1">
        <v>2.9050925925925929E-4</v>
      </c>
      <c r="I1517" t="s">
        <v>23</v>
      </c>
      <c r="J1517" s="2" t="str">
        <f>HYPERLINK("https://www.nba.com/stats/events?CFID=&amp;CFPARAMS=&amp;GameEventID=267&amp;GameID=0022300873&amp;Season=2023-24&amp;flag=1&amp;title=Leonard%20putback%20Layup%20(15%20PTS)", "Putback Layup (15 PTS)")</f>
        <v>Putback Layup (15 PTS)</v>
      </c>
      <c r="K1517" s="2" t="str">
        <f>HYPERLINK("https://www.nba.com/game/...-vs-...-0022300873/play-by-play?watchFullGame=true", "LAC vs MIN - Q2 00:25.10")</f>
        <v>LAC vs MIN - Q2 00:25.10</v>
      </c>
      <c r="L1517">
        <v>1.93</v>
      </c>
      <c r="M1517">
        <v>7.57</v>
      </c>
      <c r="N1517">
        <v>50.98</v>
      </c>
      <c r="O1517">
        <v>-5</v>
      </c>
      <c r="P1517">
        <v>19</v>
      </c>
    </row>
    <row r="1518" spans="1:16" x14ac:dyDescent="0.25">
      <c r="A1518">
        <v>21300194</v>
      </c>
      <c r="B1518">
        <v>2013</v>
      </c>
      <c r="C1518" t="s">
        <v>32</v>
      </c>
      <c r="D1518" t="s">
        <v>62</v>
      </c>
      <c r="E1518">
        <v>55</v>
      </c>
      <c r="F1518">
        <v>28</v>
      </c>
      <c r="G1518">
        <v>2</v>
      </c>
      <c r="H1518" s="1">
        <v>3.1365740740740742E-3</v>
      </c>
      <c r="I1518" t="s">
        <v>18</v>
      </c>
      <c r="J1518" s="2" t="str">
        <f>HYPERLINK("https://www.nba.com/stats/events?CFID=&amp;CFPARAMS=&amp;GameEventID=189&amp;GameID=0021300194&amp;Season=2013-14&amp;flag=1&amp;title=Leonard%202'%20Dunk%20(7%20PTS)%20(Parker%204%20AST)", "Leonard 2' Dunk (7 PTS) (Parker 4 AST)")</f>
        <v>Leonard 2' Dunk (7 PTS) (Parker 4 AST)</v>
      </c>
      <c r="K1518" s="2" t="str">
        <f>HYPERLINK("https://www.nba.com/game/...-vs-...-0021300194/play-by-play?watchFullGame=true", "SAS vs CLE - Q2 04:31.00")</f>
        <v>SAS vs CLE - Q2 04:31.00</v>
      </c>
      <c r="L1518">
        <v>2</v>
      </c>
      <c r="M1518">
        <v>-5</v>
      </c>
      <c r="N1518">
        <v>20</v>
      </c>
      <c r="O1518">
        <v>-5</v>
      </c>
      <c r="P1518">
        <v>20</v>
      </c>
    </row>
    <row r="1519" spans="1:16" x14ac:dyDescent="0.25">
      <c r="A1519">
        <v>22300325</v>
      </c>
      <c r="B1519">
        <v>2023</v>
      </c>
      <c r="C1519" t="s">
        <v>32</v>
      </c>
      <c r="D1519" t="s">
        <v>48</v>
      </c>
      <c r="E1519">
        <v>90</v>
      </c>
      <c r="F1519">
        <v>79</v>
      </c>
      <c r="G1519">
        <v>3</v>
      </c>
      <c r="H1519" s="1">
        <v>3.5532407407407409E-3</v>
      </c>
      <c r="I1519" t="s">
        <v>23</v>
      </c>
      <c r="J1519" s="2" t="str">
        <f>HYPERLINK("https://www.nba.com/stats/events?CFID=&amp;CFPARAMS=&amp;GameEventID=429&amp;GameID=0022300325&amp;Season=2023-24&amp;flag=1&amp;title=Leonard%20running%20DUNK%20(23%20PTS)%20(J.%20Harden%2014%20AST)", "Running DUNK (23 PTS) (J. Harden 14 AST)")</f>
        <v>Running DUNK (23 PTS) (J. Harden 14 AST)</v>
      </c>
      <c r="K1519" s="2" t="str">
        <f>HYPERLINK("https://www.nba.com/game/...-vs-...-0022300325/play-by-play?watchFullGame=true", "LAC vs GSW - Q3 05:07.00")</f>
        <v>LAC vs GSW - Q3 05:07.00</v>
      </c>
      <c r="L1519">
        <v>2.0499999999999998</v>
      </c>
      <c r="M1519">
        <v>92.3</v>
      </c>
      <c r="N1519">
        <v>49.02</v>
      </c>
      <c r="O1519">
        <v>-5</v>
      </c>
      <c r="P1519">
        <v>20</v>
      </c>
    </row>
    <row r="1520" spans="1:16" x14ac:dyDescent="0.25">
      <c r="A1520">
        <v>21300229</v>
      </c>
      <c r="B1520">
        <v>2013</v>
      </c>
      <c r="C1520" t="s">
        <v>32</v>
      </c>
      <c r="D1520" t="s">
        <v>57</v>
      </c>
      <c r="E1520">
        <v>6</v>
      </c>
      <c r="F1520">
        <v>8</v>
      </c>
      <c r="G1520">
        <v>1</v>
      </c>
      <c r="H1520" s="1">
        <v>6.4583333333333333E-3</v>
      </c>
      <c r="I1520" t="s">
        <v>18</v>
      </c>
      <c r="J1520" s="2" t="str">
        <f>HYPERLINK("https://www.nba.com/stats/events?CFID=&amp;CFPARAMS=&amp;GameEventID=21&amp;GameID=0021300229&amp;Season=2013-14&amp;flag=1&amp;title=Leonard%202'%20Layup%20(2%20PTS)", "Leonard 2' Layup (2 PTS)")</f>
        <v>Leonard 2' Layup (2 PTS)</v>
      </c>
      <c r="K1520" s="2" t="str">
        <f>HYPERLINK("https://www.nba.com/game/...-vs-...-0021300229/play-by-play?watchFullGame=true", "SAS vs ORL - Q1 09:18.00")</f>
        <v>SAS vs ORL - Q1 09:18.00</v>
      </c>
      <c r="L1520">
        <v>2</v>
      </c>
      <c r="M1520">
        <v>-5</v>
      </c>
      <c r="N1520">
        <v>22</v>
      </c>
      <c r="O1520">
        <v>-5</v>
      </c>
      <c r="P1520">
        <v>22</v>
      </c>
    </row>
    <row r="1521" spans="1:16" x14ac:dyDescent="0.25">
      <c r="A1521">
        <v>22300264</v>
      </c>
      <c r="B1521">
        <v>2023</v>
      </c>
      <c r="C1521" t="s">
        <v>32</v>
      </c>
      <c r="D1521" t="s">
        <v>48</v>
      </c>
      <c r="E1521">
        <v>77</v>
      </c>
      <c r="F1521">
        <v>98</v>
      </c>
      <c r="G1521">
        <v>3</v>
      </c>
      <c r="H1521" s="1">
        <v>1.0648148148148149E-3</v>
      </c>
      <c r="I1521" t="s">
        <v>23</v>
      </c>
      <c r="J1521" s="2" t="str">
        <f>HYPERLINK("https://www.nba.com/stats/events?CFID=&amp;CFPARAMS=&amp;GameEventID=470&amp;GameID=0022300264&amp;Season=2023-24&amp;flag=1&amp;title=Leonard%20driving%20DUNK%20(25%20PTS)", "Driving DUNK (25 PTS)")</f>
        <v>Driving DUNK (25 PTS)</v>
      </c>
      <c r="K1521" s="2" t="str">
        <f>HYPERLINK("https://www.nba.com/game/...-vs-...-0022300264/play-by-play?watchFullGame=true", "LAC vs SAC - Q3 01:32.00")</f>
        <v>LAC vs SAC - Q3 01:32.00</v>
      </c>
      <c r="L1521">
        <v>2.38</v>
      </c>
      <c r="M1521">
        <v>91.93</v>
      </c>
      <c r="N1521">
        <v>49.02</v>
      </c>
      <c r="O1521">
        <v>-5</v>
      </c>
      <c r="P1521">
        <v>23</v>
      </c>
    </row>
    <row r="1522" spans="1:16" x14ac:dyDescent="0.25">
      <c r="A1522">
        <v>22300309</v>
      </c>
      <c r="B1522">
        <v>2023</v>
      </c>
      <c r="C1522" t="s">
        <v>32</v>
      </c>
      <c r="D1522" t="s">
        <v>47</v>
      </c>
      <c r="E1522">
        <v>78</v>
      </c>
      <c r="F1522">
        <v>54</v>
      </c>
      <c r="G1522">
        <v>3</v>
      </c>
      <c r="H1522" s="1">
        <v>4.409722222222222E-3</v>
      </c>
      <c r="I1522" t="s">
        <v>23</v>
      </c>
      <c r="J1522" s="2" t="str">
        <f>HYPERLINK("https://www.nba.com/stats/events?CFID=&amp;CFPARAMS=&amp;GameEventID=400&amp;GameID=0022300309&amp;Season=2023-24&amp;flag=1&amp;title=Leonard%20driving%20Layup%20(21%20PTS)", "Driving Layup (21 PTS)")</f>
        <v>Driving Layup (21 PTS)</v>
      </c>
      <c r="K1522" s="2" t="str">
        <f>HYPERLINK("https://www.nba.com/game/...-vs-...-0022300309/play-by-play?watchFullGame=true", "LAC vs SAC - Q3 06:21.00")</f>
        <v>LAC vs SAC - Q3 06:21.00</v>
      </c>
      <c r="L1522">
        <v>2.5</v>
      </c>
      <c r="M1522">
        <v>8.1999999999999993</v>
      </c>
      <c r="N1522">
        <v>50.98</v>
      </c>
      <c r="O1522">
        <v>-5</v>
      </c>
      <c r="P1522">
        <v>25</v>
      </c>
    </row>
    <row r="1523" spans="1:16" x14ac:dyDescent="0.25">
      <c r="A1523">
        <v>22200687</v>
      </c>
      <c r="B1523">
        <v>2022</v>
      </c>
      <c r="C1523" t="s">
        <v>32</v>
      </c>
      <c r="D1523" t="s">
        <v>19</v>
      </c>
      <c r="E1523">
        <v>72</v>
      </c>
      <c r="F1523">
        <v>65</v>
      </c>
      <c r="G1523">
        <v>2</v>
      </c>
      <c r="H1523" s="1">
        <v>0</v>
      </c>
      <c r="I1523" t="s">
        <v>23</v>
      </c>
      <c r="J1523" s="2" t="str">
        <f>HYPERLINK("https://www.nba.com/stats/events?CFID=&amp;CFPARAMS=&amp;GameEventID=285&amp;GameID=0022200687&amp;Season=2022-23&amp;flag=1&amp;title=Leonard%20driving%20floating%20Jump%20Shot%20(15%20PTS)", "Driving floating Jump Shot (15 PTS)")</f>
        <v>Driving floating Jump Shot (15 PTS)</v>
      </c>
      <c r="K1523" s="2" t="str">
        <f>HYPERLINK("https://www.nba.com/game/...-vs-...-0022200687/play-by-play?watchFullGame=true", "LAC vs SAS - Q2 00:00.00")</f>
        <v>LAC vs SAS - Q2 00:00.00</v>
      </c>
      <c r="L1523">
        <v>2.63</v>
      </c>
      <c r="M1523">
        <v>91.67</v>
      </c>
      <c r="N1523">
        <v>49.02</v>
      </c>
      <c r="O1523">
        <v>-5</v>
      </c>
      <c r="P1523">
        <v>26</v>
      </c>
    </row>
    <row r="1524" spans="1:16" x14ac:dyDescent="0.25">
      <c r="A1524">
        <v>22301052</v>
      </c>
      <c r="B1524">
        <v>2023</v>
      </c>
      <c r="C1524" t="s">
        <v>32</v>
      </c>
      <c r="D1524" t="s">
        <v>47</v>
      </c>
      <c r="E1524">
        <v>42</v>
      </c>
      <c r="F1524">
        <v>33</v>
      </c>
      <c r="G1524">
        <v>2</v>
      </c>
      <c r="H1524" s="1">
        <v>4.0972222222222226E-3</v>
      </c>
      <c r="I1524" t="s">
        <v>23</v>
      </c>
      <c r="J1524" s="2" t="str">
        <f>HYPERLINK("https://www.nba.com/stats/events?CFID=&amp;CFPARAMS=&amp;GameEventID=238&amp;GameID=0022301052&amp;Season=2023-24&amp;flag=1&amp;title=Leonard%20cutting%20Layup%20(2%20PTS)%20(J.%20Harden%204%20AST)", "Cutting Layup (2 PTS) (J. Harden 4 AST)")</f>
        <v>Cutting Layup (2 PTS) (J. Harden 4 AST)</v>
      </c>
      <c r="K1524" s="2" t="str">
        <f>HYPERLINK("https://www.nba.com/game/...-vs-...-0022301052/play-by-play?watchFullGame=true", "LAC vs PHI - Q2 05:54.00")</f>
        <v>LAC vs PHI - Q2 05:54.00</v>
      </c>
      <c r="L1524">
        <v>0.49</v>
      </c>
      <c r="M1524">
        <v>94.4</v>
      </c>
      <c r="N1524">
        <v>49.02</v>
      </c>
      <c r="O1524">
        <v>-5</v>
      </c>
      <c r="P1524">
        <v>49</v>
      </c>
    </row>
    <row r="1525" spans="1:16" x14ac:dyDescent="0.25">
      <c r="A1525">
        <v>22300099</v>
      </c>
      <c r="B1525">
        <v>2023</v>
      </c>
      <c r="C1525" t="s">
        <v>32</v>
      </c>
      <c r="D1525" t="s">
        <v>19</v>
      </c>
      <c r="E1525">
        <v>46</v>
      </c>
      <c r="F1525">
        <v>26</v>
      </c>
      <c r="G1525">
        <v>2</v>
      </c>
      <c r="H1525" s="1">
        <v>3.0902777777777777E-3</v>
      </c>
      <c r="I1525" t="s">
        <v>23</v>
      </c>
      <c r="J1525" s="2" t="str">
        <f>HYPERLINK("https://www.nba.com/stats/events?CFID=&amp;CFPARAMS=&amp;GameEventID=287&amp;GameID=0022300099&amp;Season=2023-24&amp;flag=1&amp;title=Leonard%206'%20fadeaway%20Jump%20Shot%20(10%20PTS)", "6' fadeaway Jump Shot (10 PTS)")</f>
        <v>6' fadeaway Jump Shot (10 PTS)</v>
      </c>
      <c r="K1525" s="2" t="str">
        <f>HYPERLINK("https://www.nba.com/game/...-vs-...-0022300099/play-by-play?watchFullGame=true", "LAC vs SAS - Q2 04:27.00")</f>
        <v>LAC vs SAS - Q2 04:27.00</v>
      </c>
      <c r="L1525">
        <v>6.71</v>
      </c>
      <c r="M1525">
        <v>87.3</v>
      </c>
      <c r="N1525">
        <v>49.02</v>
      </c>
      <c r="O1525">
        <v>-5</v>
      </c>
      <c r="P1525">
        <v>67</v>
      </c>
    </row>
    <row r="1526" spans="1:16" x14ac:dyDescent="0.25">
      <c r="A1526">
        <v>21900485</v>
      </c>
      <c r="B1526">
        <v>2019</v>
      </c>
      <c r="C1526" t="s">
        <v>32</v>
      </c>
      <c r="D1526" t="s">
        <v>53</v>
      </c>
      <c r="E1526">
        <v>102</v>
      </c>
      <c r="F1526">
        <v>103</v>
      </c>
      <c r="G1526">
        <v>4</v>
      </c>
      <c r="H1526" s="1">
        <v>4.9652777777777777E-3</v>
      </c>
      <c r="I1526" t="s">
        <v>23</v>
      </c>
      <c r="J1526" s="2" t="str">
        <f>HYPERLINK("https://www.nba.com/stats/events?CFID=&amp;CFPARAMS=&amp;GameEventID=571&amp;GameID=0021900485&amp;Season=2019-20&amp;flag=1&amp;title=Leonard%208'%20hook%20(19%20PTS)", "8' hook (19 PTS)")</f>
        <v>8' hook (19 PTS)</v>
      </c>
      <c r="K1526" s="2" t="str">
        <f>HYPERLINK("https://www.nba.com/game/...-vs-...-0021900485/play-by-play?watchFullGame=true", "LAC vs UTA - Q4 07:09.00")</f>
        <v>LAC vs UTA - Q4 07:09.00</v>
      </c>
      <c r="L1526">
        <v>7.87</v>
      </c>
      <c r="M1526">
        <v>86.65</v>
      </c>
      <c r="N1526">
        <v>48.95</v>
      </c>
      <c r="O1526">
        <v>-5</v>
      </c>
      <c r="P1526">
        <v>73</v>
      </c>
    </row>
    <row r="1527" spans="1:16" x14ac:dyDescent="0.25">
      <c r="A1527">
        <v>22300280</v>
      </c>
      <c r="B1527">
        <v>2023</v>
      </c>
      <c r="C1527" t="s">
        <v>32</v>
      </c>
      <c r="D1527" t="s">
        <v>19</v>
      </c>
      <c r="E1527">
        <v>42</v>
      </c>
      <c r="F1527">
        <v>55</v>
      </c>
      <c r="G1527">
        <v>2</v>
      </c>
      <c r="H1527" s="1">
        <v>2.8240740740740739E-3</v>
      </c>
      <c r="I1527" t="s">
        <v>23</v>
      </c>
      <c r="J1527" s="2" t="str">
        <f>HYPERLINK("https://www.nba.com/stats/events?CFID=&amp;CFPARAMS=&amp;GameEventID=257&amp;GameID=0022300280&amp;Season=2023-24&amp;flag=1&amp;title=Leonard%207'%20driving%20floating%20Jump%20Shot%20(9%20PTS)", "7' driving floating Jump Shot (9 PTS)")</f>
        <v>7' driving floating Jump Shot (9 PTS)</v>
      </c>
      <c r="K1527" s="2" t="str">
        <f>HYPERLINK("https://www.nba.com/game/...-vs-...-0022300280/play-by-play?watchFullGame=true", "LAC vs GSW - Q2 04:04.00")</f>
        <v>LAC vs GSW - Q2 04:04.00</v>
      </c>
      <c r="L1527">
        <v>7.91</v>
      </c>
      <c r="M1527">
        <v>13.98</v>
      </c>
      <c r="N1527">
        <v>50.98</v>
      </c>
      <c r="O1527">
        <v>-5</v>
      </c>
      <c r="P1527">
        <v>79</v>
      </c>
    </row>
    <row r="1528" spans="1:16" x14ac:dyDescent="0.25">
      <c r="A1528">
        <v>22301017</v>
      </c>
      <c r="B1528">
        <v>2023</v>
      </c>
      <c r="C1528" t="s">
        <v>32</v>
      </c>
      <c r="D1528" t="s">
        <v>19</v>
      </c>
      <c r="E1528">
        <v>13</v>
      </c>
      <c r="F1528">
        <v>26</v>
      </c>
      <c r="G1528">
        <v>1</v>
      </c>
      <c r="H1528" s="1">
        <v>3.2291666666666666E-3</v>
      </c>
      <c r="I1528" t="s">
        <v>23</v>
      </c>
      <c r="J1528" s="2" t="str">
        <f>HYPERLINK("https://www.nba.com/stats/events?CFID=&amp;CFPARAMS=&amp;GameEventID=93&amp;GameID=0022301017&amp;Season=2023-24&amp;flag=1&amp;title=Leonard%208'%20pullup%20Jump%20Shot%20(10%20PTS)", "8' pullup Jump Shot (10 PTS)")</f>
        <v>8' pullup Jump Shot (10 PTS)</v>
      </c>
      <c r="K1528" s="2" t="str">
        <f>HYPERLINK("https://www.nba.com/game/...-vs-...-0022301017/play-by-play?watchFullGame=true", "LAC vs POR - Q1 04:39.00")</f>
        <v>LAC vs POR - Q1 04:39.00</v>
      </c>
      <c r="L1528">
        <v>8.89</v>
      </c>
      <c r="M1528">
        <v>84.97</v>
      </c>
      <c r="N1528">
        <v>49.02</v>
      </c>
      <c r="O1528">
        <v>-5</v>
      </c>
      <c r="P1528">
        <v>89</v>
      </c>
    </row>
    <row r="1529" spans="1:16" x14ac:dyDescent="0.25">
      <c r="A1529">
        <v>21400249</v>
      </c>
      <c r="B1529">
        <v>2014</v>
      </c>
      <c r="C1529" t="s">
        <v>32</v>
      </c>
      <c r="D1529" t="s">
        <v>17</v>
      </c>
      <c r="E1529">
        <v>49</v>
      </c>
      <c r="F1529">
        <v>63</v>
      </c>
      <c r="G1529">
        <v>3</v>
      </c>
      <c r="H1529" s="1">
        <v>7.9166666666666673E-3</v>
      </c>
      <c r="I1529" t="s">
        <v>18</v>
      </c>
      <c r="J1529" s="2" t="str">
        <f>HYPERLINK("https://www.nba.com/stats/events?CFID=&amp;CFPARAMS=&amp;GameEventID=269&amp;GameID=0021400249&amp;Season=2014-15&amp;flag=1&amp;title=Leonard%209'%20Running%20Jump%20Shot%20(17%20PTS)", "Leonard 9' Running Jump Shot (17 PTS)")</f>
        <v>Leonard 9' Running Jump Shot (17 PTS)</v>
      </c>
      <c r="K1529" s="2" t="str">
        <f>HYPERLINK("https://www.nba.com/game/...-vs-...-0021400249/play-by-play?watchFullGame=true", "SAS vs PHI - Q3 11:24.00")</f>
        <v>SAS vs PHI - Q3 11:24.00</v>
      </c>
      <c r="L1529">
        <v>9</v>
      </c>
      <c r="M1529">
        <v>-5</v>
      </c>
      <c r="N1529">
        <v>93</v>
      </c>
      <c r="O1529">
        <v>-5</v>
      </c>
      <c r="P1529">
        <v>93</v>
      </c>
    </row>
    <row r="1530" spans="1:16" x14ac:dyDescent="0.25">
      <c r="A1530">
        <v>22300716</v>
      </c>
      <c r="B1530">
        <v>2023</v>
      </c>
      <c r="C1530" t="s">
        <v>32</v>
      </c>
      <c r="D1530" t="s">
        <v>19</v>
      </c>
      <c r="E1530">
        <v>58</v>
      </c>
      <c r="F1530">
        <v>66</v>
      </c>
      <c r="G1530">
        <v>2</v>
      </c>
      <c r="H1530" s="1">
        <v>7.407407407407407E-4</v>
      </c>
      <c r="I1530" t="s">
        <v>23</v>
      </c>
      <c r="J1530" s="2" t="str">
        <f>HYPERLINK("https://www.nba.com/stats/events?CFID=&amp;CFPARAMS=&amp;GameEventID=287&amp;GameID=0022300716&amp;Season=2023-24&amp;flag=1&amp;title=Leonard%209'%20driving%20floating%20Jump%20Shot%20(14%20PTS)%20(M.%20Plumlee%203%20AST)", "9' driving floating Jump Shot (14 PTS) (M. Plumlee 3 AST)")</f>
        <v>9' driving floating Jump Shot (14 PTS) (M. Plumlee 3 AST)</v>
      </c>
      <c r="K1530" s="2" t="str">
        <f>HYPERLINK("https://www.nba.com/game/...-vs-...-0022300716/play-by-play?watchFullGame=true", "LAC vs ATL - Q2 01:04.00")</f>
        <v>LAC vs ATL - Q2 01:04.00</v>
      </c>
      <c r="L1530">
        <v>9.3800000000000008</v>
      </c>
      <c r="M1530">
        <v>84.44</v>
      </c>
      <c r="N1530">
        <v>49.02</v>
      </c>
      <c r="O1530">
        <v>-5</v>
      </c>
      <c r="P1530">
        <v>94</v>
      </c>
    </row>
    <row r="1531" spans="1:16" x14ac:dyDescent="0.25">
      <c r="A1531">
        <v>22301225</v>
      </c>
      <c r="B1531">
        <v>2023</v>
      </c>
      <c r="C1531" t="s">
        <v>32</v>
      </c>
      <c r="D1531" t="s">
        <v>19</v>
      </c>
      <c r="E1531">
        <v>97</v>
      </c>
      <c r="F1531">
        <v>115</v>
      </c>
      <c r="G1531">
        <v>4</v>
      </c>
      <c r="H1531" s="1">
        <v>1.6435185185185185E-3</v>
      </c>
      <c r="I1531" t="s">
        <v>23</v>
      </c>
      <c r="J1531" s="2" t="str">
        <f>HYPERLINK("https://www.nba.com/stats/events?CFID=&amp;CFPARAMS=&amp;GameEventID=628&amp;GameID=0022301225&amp;Season=2023-24&amp;flag=1&amp;title=Leonard%209'%20Jump%20Shot%20(41%20PTS)", "9' Jump Shot (41 PTS)")</f>
        <v>9' Jump Shot (41 PTS)</v>
      </c>
      <c r="K1531" s="2" t="str">
        <f>HYPERLINK("https://www.nba.com/game/...-vs-...-0022301225/play-by-play?watchFullGame=true", "LAC vs UTA - Q4 02:22.00")</f>
        <v>LAC vs UTA - Q4 02:22.00</v>
      </c>
      <c r="L1531">
        <v>9.41</v>
      </c>
      <c r="M1531">
        <v>15.59</v>
      </c>
      <c r="N1531">
        <v>50.98</v>
      </c>
      <c r="O1531">
        <v>-5</v>
      </c>
      <c r="P1531">
        <v>94</v>
      </c>
    </row>
    <row r="1532" spans="1:16" x14ac:dyDescent="0.25">
      <c r="A1532">
        <v>22200745</v>
      </c>
      <c r="B1532">
        <v>2022</v>
      </c>
      <c r="C1532" t="s">
        <v>32</v>
      </c>
      <c r="D1532" t="s">
        <v>19</v>
      </c>
      <c r="E1532">
        <v>0</v>
      </c>
      <c r="F1532">
        <v>2</v>
      </c>
      <c r="G1532">
        <v>1</v>
      </c>
      <c r="H1532" s="1">
        <v>8.0902777777777778E-3</v>
      </c>
      <c r="I1532" t="s">
        <v>23</v>
      </c>
      <c r="J1532" s="2" t="str">
        <f>HYPERLINK("https://www.nba.com/stats/events?CFID=&amp;CFPARAMS=&amp;GameEventID=8&amp;GameID=0022200745&amp;Season=2022-23&amp;flag=1&amp;title=Leonard%2012'%20turnaround%20fadeaway%20Jump%20Shot%20(2%20PTS)", "12' turnaround fadeaway Jump Shot (2 PTS)")</f>
        <v>12' turnaround fadeaway Jump Shot (2 PTS)</v>
      </c>
      <c r="K1532" s="2" t="str">
        <f>HYPERLINK("https://www.nba.com/game/...-vs-...-0022200745/play-by-play?watchFullGame=true", "LAC vs ATL - Q1 11:39.00")</f>
        <v>LAC vs ATL - Q1 11:39.00</v>
      </c>
      <c r="L1532">
        <v>12.47</v>
      </c>
      <c r="M1532">
        <v>81.16</v>
      </c>
      <c r="N1532">
        <v>49.02</v>
      </c>
      <c r="O1532">
        <v>-5</v>
      </c>
      <c r="P1532">
        <v>125</v>
      </c>
    </row>
    <row r="1533" spans="1:16" x14ac:dyDescent="0.25">
      <c r="A1533">
        <v>41300316</v>
      </c>
      <c r="B1533" t="s">
        <v>26</v>
      </c>
      <c r="C1533" t="s">
        <v>32</v>
      </c>
      <c r="D1533" t="s">
        <v>19</v>
      </c>
      <c r="E1533">
        <v>49</v>
      </c>
      <c r="F1533">
        <v>44</v>
      </c>
      <c r="G1533">
        <v>3</v>
      </c>
      <c r="H1533" s="1">
        <v>7.5578703703703702E-3</v>
      </c>
      <c r="I1533" t="s">
        <v>18</v>
      </c>
      <c r="J1533" s="2" t="str">
        <f>HYPERLINK("https://www.nba.com/stats/events?CFID=&amp;CFPARAMS=&amp;GameEventID=256&amp;GameID=0041300316&amp;Season=2013-14&amp;flag=1&amp;title=Leonard%2013'%20Jump%20Shot%20(11%20PTS)", "Leonard 13' Jump Shot (11 PTS)")</f>
        <v>Leonard 13' Jump Shot (11 PTS)</v>
      </c>
      <c r="K1533" s="2" t="str">
        <f>HYPERLINK("https://www.nba.com/game/...-vs-...-0041300316/play-by-play?watchFullGame=true", "SAS vs OKC - Q3 10:53.00")</f>
        <v>SAS vs OKC - Q3 10:53.00</v>
      </c>
      <c r="L1533">
        <v>13</v>
      </c>
      <c r="M1533">
        <v>-5</v>
      </c>
      <c r="N1533">
        <v>134</v>
      </c>
      <c r="O1533">
        <v>-5</v>
      </c>
      <c r="P1533">
        <v>134</v>
      </c>
    </row>
    <row r="1534" spans="1:16" x14ac:dyDescent="0.25">
      <c r="A1534">
        <v>41800214</v>
      </c>
      <c r="B1534" t="s">
        <v>20</v>
      </c>
      <c r="C1534" t="s">
        <v>32</v>
      </c>
      <c r="D1534" t="s">
        <v>31</v>
      </c>
      <c r="E1534">
        <v>62</v>
      </c>
      <c r="F1534">
        <v>59</v>
      </c>
      <c r="G1534">
        <v>3</v>
      </c>
      <c r="H1534" s="1">
        <v>4.0393518518518521E-3</v>
      </c>
      <c r="I1534" t="s">
        <v>21</v>
      </c>
      <c r="J1534" s="2" t="str">
        <f>HYPERLINK("https://www.nba.com/stats/events?CFID=&amp;CFPARAMS=&amp;GameEventID=401&amp;GameID=0041800214&amp;Season=2018-19&amp;flag=1&amp;title=Leonard%2018'%20Step%20Back%20Jump%20Shot%20(25%20PTS)%20(Siakam%202%20AST)", "Leonard 18' Step Back Jump Shot (25 PTS) (Siakam 2 AST)")</f>
        <v>Leonard 18' Step Back Jump Shot (25 PTS) (Siakam 2 AST)</v>
      </c>
      <c r="K1534" s="2" t="str">
        <f>HYPERLINK("https://www.nba.com/game/...-vs-...-0041800214/play-by-play?watchFullGame=true", "TOR vs PHI - Q3 05:49.00")</f>
        <v>TOR vs PHI - Q3 05:49.00</v>
      </c>
      <c r="L1534">
        <v>18</v>
      </c>
      <c r="M1534">
        <v>-5</v>
      </c>
      <c r="N1534">
        <v>180</v>
      </c>
      <c r="O1534">
        <v>-5</v>
      </c>
      <c r="P1534">
        <v>180</v>
      </c>
    </row>
    <row r="1535" spans="1:16" x14ac:dyDescent="0.25">
      <c r="A1535">
        <v>21900653</v>
      </c>
      <c r="B1535">
        <v>2019</v>
      </c>
      <c r="C1535" t="s">
        <v>32</v>
      </c>
      <c r="D1535" t="s">
        <v>22</v>
      </c>
      <c r="E1535">
        <v>92</v>
      </c>
      <c r="F1535">
        <v>94</v>
      </c>
      <c r="G1535">
        <v>4</v>
      </c>
      <c r="H1535" s="1">
        <v>3.414351851851852E-3</v>
      </c>
      <c r="I1535" t="s">
        <v>23</v>
      </c>
      <c r="J1535" s="2" t="str">
        <f>HYPERLINK("https://www.nba.com/stats/events?CFID=&amp;CFPARAMS=&amp;GameEventID=639&amp;GameID=0021900653&amp;Season=2019-20&amp;flag=1&amp;title=Leonard%2019'%20jumpshot%20(29%20PTS)%20(L.%20Williams%203%20AST)", "19' jumpshot (29 PTS) (L. Williams 3 AST)")</f>
        <v>19' jumpshot (29 PTS) (L. Williams 3 AST)</v>
      </c>
      <c r="K1535" s="2" t="str">
        <f>HYPERLINK("https://www.nba.com/game/...-vs-...-0021900653/play-by-play?watchFullGame=true", "LAC vs DAL - Q4 04:55.00")</f>
        <v>LAC vs DAL - Q4 04:55.00</v>
      </c>
      <c r="L1535">
        <v>19.07</v>
      </c>
      <c r="M1535">
        <v>74.72</v>
      </c>
      <c r="N1535">
        <v>49.09</v>
      </c>
      <c r="O1535">
        <v>-5</v>
      </c>
      <c r="P1535">
        <v>185</v>
      </c>
    </row>
    <row r="1536" spans="1:16" x14ac:dyDescent="0.25">
      <c r="A1536">
        <v>22200525</v>
      </c>
      <c r="B1536">
        <v>2022</v>
      </c>
      <c r="C1536" t="s">
        <v>16</v>
      </c>
      <c r="D1536" t="s">
        <v>19</v>
      </c>
      <c r="E1536">
        <v>81</v>
      </c>
      <c r="F1536">
        <v>80</v>
      </c>
      <c r="G1536">
        <v>3</v>
      </c>
      <c r="H1536" s="1">
        <v>1.3657407407407407E-3</v>
      </c>
      <c r="I1536" t="s">
        <v>23</v>
      </c>
      <c r="J1536" s="2" t="str">
        <f>HYPERLINK("https://www.nba.com/stats/events?CFID=&amp;CFPARAMS=&amp;GameEventID=427&amp;GameID=0022200525&amp;Season=2022-23&amp;flag=1&amp;title=Leonard%2026'%203PT%20%20(22%20PTS)", "26' 3PT  (22 PTS)")</f>
        <v>26' 3PT  (22 PTS)</v>
      </c>
      <c r="K1536" s="2" t="str">
        <f>HYPERLINK("https://www.nba.com/game/...-vs-...-0022200525/play-by-play?watchFullGame=true", "LAC vs BOS - Q3 01:58.00")</f>
        <v>LAC vs BOS - Q3 01:58.00</v>
      </c>
      <c r="L1536">
        <v>26.2</v>
      </c>
      <c r="M1536">
        <v>33.46</v>
      </c>
      <c r="N1536">
        <v>50.98</v>
      </c>
      <c r="O1536">
        <v>-5</v>
      </c>
      <c r="P1536">
        <v>262</v>
      </c>
    </row>
    <row r="1537" spans="1:16" x14ac:dyDescent="0.25">
      <c r="A1537">
        <v>22000142</v>
      </c>
      <c r="B1537">
        <v>2020</v>
      </c>
      <c r="C1537" t="s">
        <v>16</v>
      </c>
      <c r="D1537" t="s">
        <v>19</v>
      </c>
      <c r="E1537">
        <v>83</v>
      </c>
      <c r="F1537">
        <v>80</v>
      </c>
      <c r="G1537">
        <v>3</v>
      </c>
      <c r="H1537" s="1">
        <v>3.7384259259259259E-3</v>
      </c>
      <c r="I1537" t="s">
        <v>23</v>
      </c>
      <c r="J1537" s="2" t="str">
        <f>HYPERLINK("https://www.nba.com/stats/events?CFID=&amp;CFPARAMS=&amp;GameEventID=392&amp;GameID=0022000142&amp;Season=2020-21&amp;flag=1&amp;title=Leonard%2026'%203PT%20%20(29%20PTS)%20(P.%20George%208%20AST)", "26' 3PT  (29 PTS) (P. George 8 AST)")</f>
        <v>26' 3PT  (29 PTS) (P. George 8 AST)</v>
      </c>
      <c r="K1537" s="2" t="str">
        <f>HYPERLINK("https://www.nba.com/game/...-vs-...-0022000142/play-by-play?watchFullGame=true", "LAC vs CHI - Q3 05:23.00")</f>
        <v>LAC vs CHI - Q3 05:23.00</v>
      </c>
      <c r="L1537">
        <v>26.54</v>
      </c>
      <c r="M1537">
        <v>66.180000000000007</v>
      </c>
      <c r="N1537">
        <v>49.09</v>
      </c>
      <c r="O1537">
        <v>-5</v>
      </c>
      <c r="P1537">
        <v>265</v>
      </c>
    </row>
    <row r="1538" spans="1:16" x14ac:dyDescent="0.25">
      <c r="A1538">
        <v>41600152</v>
      </c>
      <c r="B1538" t="s">
        <v>30</v>
      </c>
      <c r="C1538" t="s">
        <v>32</v>
      </c>
      <c r="D1538" t="s">
        <v>73</v>
      </c>
      <c r="E1538">
        <v>85</v>
      </c>
      <c r="F1538">
        <v>75</v>
      </c>
      <c r="G1538">
        <v>4</v>
      </c>
      <c r="H1538" s="1">
        <v>4.1666666666666666E-3</v>
      </c>
      <c r="I1538" t="s">
        <v>18</v>
      </c>
      <c r="J1538" s="2" t="str">
        <f>HYPERLINK("https://www.nba.com/stats/events?CFID=&amp;CFPARAMS=&amp;GameEventID=439&amp;GameID=0041600152&amp;Season=2016-17&amp;flag=1&amp;title=Leonard%201'%20Running%20Finger%20Roll%20Layup%20(31%20PTS)", "Leonard 1' Running Finger Roll Layup (31 PTS)")</f>
        <v>Leonard 1' Running Finger Roll Layup (31 PTS)</v>
      </c>
      <c r="K1538" s="2" t="str">
        <f>HYPERLINK("https://www.nba.com/game/...-vs-...-0041600152/play-by-play?watchFullGame=true", "SAS vs MEM - Q4 06:00.00")</f>
        <v>SAS vs MEM - Q4 06:00.00</v>
      </c>
      <c r="L1538">
        <v>1</v>
      </c>
      <c r="M1538">
        <v>-4</v>
      </c>
      <c r="N1538">
        <v>-11</v>
      </c>
      <c r="O1538">
        <v>-4</v>
      </c>
      <c r="P1538">
        <v>-11</v>
      </c>
    </row>
    <row r="1539" spans="1:16" x14ac:dyDescent="0.25">
      <c r="A1539">
        <v>41300141</v>
      </c>
      <c r="B1539" t="s">
        <v>26</v>
      </c>
      <c r="C1539" t="s">
        <v>32</v>
      </c>
      <c r="D1539" t="s">
        <v>62</v>
      </c>
      <c r="E1539">
        <v>32</v>
      </c>
      <c r="F1539">
        <v>33</v>
      </c>
      <c r="G1539">
        <v>2</v>
      </c>
      <c r="H1539" s="1">
        <v>3.9004629629629628E-3</v>
      </c>
      <c r="I1539" t="s">
        <v>18</v>
      </c>
      <c r="J1539" s="2" t="str">
        <f>HYPERLINK("https://www.nba.com/stats/events?CFID=&amp;CFPARAMS=&amp;GameEventID=158&amp;GameID=0041300141&amp;Season=2013-14&amp;flag=1&amp;title=Leonard%201'%20Dunk%20(4%20PTS)", "Leonard 1' Dunk (4 PTS)")</f>
        <v>Leonard 1' Dunk (4 PTS)</v>
      </c>
      <c r="K1539" s="2" t="str">
        <f>HYPERLINK("https://www.nba.com/game/...-vs-...-0041300141/play-by-play?watchFullGame=true", "SAS vs DAL - Q2 05:37.00")</f>
        <v>SAS vs DAL - Q2 05:37.00</v>
      </c>
      <c r="L1539">
        <v>1</v>
      </c>
      <c r="M1539">
        <v>-4</v>
      </c>
      <c r="N1539">
        <v>-8</v>
      </c>
      <c r="O1539">
        <v>-4</v>
      </c>
      <c r="P1539">
        <v>-8</v>
      </c>
    </row>
    <row r="1540" spans="1:16" x14ac:dyDescent="0.25">
      <c r="A1540">
        <v>41500232</v>
      </c>
      <c r="B1540" t="s">
        <v>25</v>
      </c>
      <c r="C1540" t="s">
        <v>32</v>
      </c>
      <c r="D1540" t="s">
        <v>55</v>
      </c>
      <c r="E1540">
        <v>74</v>
      </c>
      <c r="F1540">
        <v>77</v>
      </c>
      <c r="G1540">
        <v>3</v>
      </c>
      <c r="H1540" s="1">
        <v>1.25E-3</v>
      </c>
      <c r="I1540" t="s">
        <v>18</v>
      </c>
      <c r="J1540" s="2" t="str">
        <f>HYPERLINK("https://www.nba.com/stats/events?CFID=&amp;CFPARAMS=&amp;GameEventID=357&amp;GameID=0041500232&amp;Season=2015-16&amp;flag=1&amp;title=Leonard%201'%20Driving%20Reverse%20Layup%20(12%20PTS)%20(Aldridge%203%20AST)", "Leonard 1' Driving Reverse Layup (12 PTS) (Aldridge 3 AST)")</f>
        <v>Leonard 1' Driving Reverse Layup (12 PTS) (Aldridge 3 AST)</v>
      </c>
      <c r="K1540" s="2" t="str">
        <f>HYPERLINK("https://www.nba.com/game/...-vs-...-0041500232/play-by-play?watchFullGame=true", "SAS vs OKC - Q3 01:48.00")</f>
        <v>SAS vs OKC - Q3 01:48.00</v>
      </c>
      <c r="L1540">
        <v>1</v>
      </c>
      <c r="M1540">
        <v>-4</v>
      </c>
      <c r="N1540">
        <v>-5</v>
      </c>
      <c r="O1540">
        <v>-4</v>
      </c>
      <c r="P1540">
        <v>-5</v>
      </c>
    </row>
    <row r="1541" spans="1:16" x14ac:dyDescent="0.25">
      <c r="A1541">
        <v>22300526</v>
      </c>
      <c r="B1541">
        <v>2023</v>
      </c>
      <c r="C1541" t="s">
        <v>32</v>
      </c>
      <c r="D1541" t="s">
        <v>48</v>
      </c>
      <c r="E1541">
        <v>121</v>
      </c>
      <c r="F1541">
        <v>115</v>
      </c>
      <c r="G1541">
        <v>4</v>
      </c>
      <c r="H1541" s="1">
        <v>7.5231481481481482E-4</v>
      </c>
      <c r="I1541" t="s">
        <v>23</v>
      </c>
      <c r="J1541" s="2" t="str">
        <f>HYPERLINK("https://www.nba.com/stats/events?CFID=&amp;CFPARAMS=&amp;GameEventID=595&amp;GameID=0022300526&amp;Season=2023-24&amp;flag=1&amp;title=Leonard%20driving%20DUNK%20(29%20PTS)", "Driving DUNK (29 PTS)")</f>
        <v>Driving DUNK (29 PTS)</v>
      </c>
      <c r="K1541" s="2" t="str">
        <f>HYPERLINK("https://www.nba.com/game/...-vs-...-0022300526/play-by-play?watchFullGame=true", "LAC vs TOR - Q4 01:05.00")</f>
        <v>LAC vs TOR - Q4 01:05.00</v>
      </c>
      <c r="L1541">
        <v>0.52</v>
      </c>
      <c r="M1541">
        <v>94.79</v>
      </c>
      <c r="N1541">
        <v>49.26</v>
      </c>
      <c r="O1541">
        <v>-4</v>
      </c>
      <c r="P1541">
        <v>-4</v>
      </c>
    </row>
    <row r="1542" spans="1:16" x14ac:dyDescent="0.25">
      <c r="A1542">
        <v>41800217</v>
      </c>
      <c r="B1542" t="s">
        <v>20</v>
      </c>
      <c r="C1542" t="s">
        <v>32</v>
      </c>
      <c r="D1542" t="s">
        <v>55</v>
      </c>
      <c r="E1542">
        <v>41</v>
      </c>
      <c r="F1542">
        <v>39</v>
      </c>
      <c r="G1542">
        <v>2</v>
      </c>
      <c r="H1542" s="1">
        <v>1.3773148148148147E-3</v>
      </c>
      <c r="I1542" t="s">
        <v>21</v>
      </c>
      <c r="J1542" s="2" t="str">
        <f>HYPERLINK("https://www.nba.com/stats/events?CFID=&amp;CFPARAMS=&amp;GameEventID=272&amp;GameID=0041800217&amp;Season=2018-19&amp;flag=1&amp;title=Leonard%20Driving%20Reverse%20Layup%20(15%20PTS)", "Leonard Driving Reverse Layup (15 PTS)")</f>
        <v>Leonard Driving Reverse Layup (15 PTS)</v>
      </c>
      <c r="K1542" s="2" t="str">
        <f>HYPERLINK("https://www.nba.com/game/...-vs-...-0041800217/play-by-play?watchFullGame=true", "TOR vs PHI - Q2 01:59.00")</f>
        <v>TOR vs PHI - Q2 01:59.00</v>
      </c>
      <c r="L1542">
        <v>0</v>
      </c>
      <c r="M1542">
        <v>-4</v>
      </c>
      <c r="N1542">
        <v>-2</v>
      </c>
      <c r="O1542">
        <v>-4</v>
      </c>
      <c r="P1542">
        <v>-2</v>
      </c>
    </row>
    <row r="1543" spans="1:16" x14ac:dyDescent="0.25">
      <c r="A1543">
        <v>21400921</v>
      </c>
      <c r="B1543">
        <v>2014</v>
      </c>
      <c r="C1543" t="s">
        <v>32</v>
      </c>
      <c r="D1543" t="s">
        <v>57</v>
      </c>
      <c r="E1543">
        <v>42</v>
      </c>
      <c r="F1543">
        <v>39</v>
      </c>
      <c r="G1543">
        <v>2</v>
      </c>
      <c r="H1543" s="1">
        <v>5.7407407407407407E-3</v>
      </c>
      <c r="I1543" t="s">
        <v>18</v>
      </c>
      <c r="J1543" s="2" t="str">
        <f>HYPERLINK("https://www.nba.com/stats/events?CFID=&amp;CFPARAMS=&amp;GameEventID=170&amp;GameID=0021400921&amp;Season=2014-15&amp;flag=1&amp;title=Leonard%20%20Layup%20(7%20PTS)", "Leonard  Layup (7 PTS)")</f>
        <v>Leonard  Layup (7 PTS)</v>
      </c>
      <c r="K1543" s="2" t="str">
        <f>HYPERLINK("https://www.nba.com/game/...-vs-...-0021400921/play-by-play?watchFullGame=true", "SAS vs DEN - Q2 08:16.00")</f>
        <v>SAS vs DEN - Q2 08:16.00</v>
      </c>
      <c r="L1543">
        <v>0</v>
      </c>
      <c r="M1543">
        <v>-4</v>
      </c>
      <c r="N1543">
        <v>-2</v>
      </c>
      <c r="O1543">
        <v>-4</v>
      </c>
      <c r="P1543">
        <v>-2</v>
      </c>
    </row>
    <row r="1544" spans="1:16" x14ac:dyDescent="0.25">
      <c r="A1544">
        <v>22300037</v>
      </c>
      <c r="B1544">
        <v>2023</v>
      </c>
      <c r="C1544" t="s">
        <v>32</v>
      </c>
      <c r="D1544" t="s">
        <v>48</v>
      </c>
      <c r="E1544">
        <v>57</v>
      </c>
      <c r="F1544">
        <v>53</v>
      </c>
      <c r="G1544">
        <v>3</v>
      </c>
      <c r="H1544" s="1">
        <v>6.3657407407407404E-3</v>
      </c>
      <c r="I1544" t="s">
        <v>23</v>
      </c>
      <c r="J1544" s="2" t="str">
        <f>HYPERLINK("https://www.nba.com/stats/events?CFID=&amp;CFPARAMS=&amp;GameEventID=385&amp;GameID=0022300037&amp;Season=2023-24&amp;flag=1&amp;title=Leonard%20running%20DUNK%20(18%20PTS)%20(T.%20Mann%202%20AST)", "Running DUNK (18 PTS) (T. Mann 2 AST)")</f>
        <v>Running DUNK (18 PTS) (T. Mann 2 AST)</v>
      </c>
      <c r="K1544" s="2" t="str">
        <f>HYPERLINK("https://www.nba.com/game/...-vs-...-0022300037/play-by-play?watchFullGame=true", "LAC vs HOU - Q3 09:10.00")</f>
        <v>LAC vs HOU - Q3 09:10.00</v>
      </c>
      <c r="L1544">
        <v>0.39</v>
      </c>
      <c r="M1544">
        <v>94.53</v>
      </c>
      <c r="N1544">
        <v>49.26</v>
      </c>
      <c r="O1544">
        <v>-4</v>
      </c>
      <c r="P1544">
        <v>-1</v>
      </c>
    </row>
    <row r="1545" spans="1:16" x14ac:dyDescent="0.25">
      <c r="A1545">
        <v>21500257</v>
      </c>
      <c r="B1545">
        <v>2015</v>
      </c>
      <c r="C1545" t="s">
        <v>32</v>
      </c>
      <c r="D1545" t="s">
        <v>71</v>
      </c>
      <c r="E1545">
        <v>2</v>
      </c>
      <c r="F1545">
        <v>2</v>
      </c>
      <c r="G1545">
        <v>1</v>
      </c>
      <c r="H1545" s="1">
        <v>7.6736111111111111E-3</v>
      </c>
      <c r="I1545" t="s">
        <v>18</v>
      </c>
      <c r="J1545" s="2" t="str">
        <f>HYPERLINK("https://www.nba.com/stats/events?CFID=&amp;CFPARAMS=&amp;GameEventID=6&amp;GameID=0021500257&amp;Season=2015-16&amp;flag=1&amp;title=Leonard%20%20Tip%20Layup%20Shot%20(2%20PTS)", "Leonard  Tip Layup Shot (2 PTS)")</f>
        <v>Leonard  Tip Layup Shot (2 PTS)</v>
      </c>
      <c r="K1545" s="2" t="str">
        <f>HYPERLINK("https://www.nba.com/game/...-vs-...-0021500257/play-by-play?watchFullGame=true", "SAS vs CHI - Q1 11:03.00")</f>
        <v>SAS vs CHI - Q1 11:03.00</v>
      </c>
      <c r="L1545">
        <v>0</v>
      </c>
      <c r="M1545">
        <v>-4</v>
      </c>
      <c r="N1545">
        <v>-1</v>
      </c>
      <c r="O1545">
        <v>-4</v>
      </c>
      <c r="P1545">
        <v>-1</v>
      </c>
    </row>
    <row r="1546" spans="1:16" x14ac:dyDescent="0.25">
      <c r="A1546">
        <v>41300316</v>
      </c>
      <c r="B1546" t="s">
        <v>26</v>
      </c>
      <c r="C1546" t="s">
        <v>32</v>
      </c>
      <c r="D1546" t="s">
        <v>74</v>
      </c>
      <c r="E1546">
        <v>2</v>
      </c>
      <c r="F1546">
        <v>2</v>
      </c>
      <c r="G1546">
        <v>1</v>
      </c>
      <c r="H1546" s="1">
        <v>7.858796296296296E-3</v>
      </c>
      <c r="I1546" t="s">
        <v>18</v>
      </c>
      <c r="J1546" s="2" t="str">
        <f>HYPERLINK("https://www.nba.com/stats/events?CFID=&amp;CFPARAMS=&amp;GameEventID=3&amp;GameID=0041300316&amp;Season=2013-14&amp;flag=1&amp;title=Leonard%20%20Slam%20Dunk%20(2%20PTS)", "Leonard  Slam Dunk (2 PTS)")</f>
        <v>Leonard  Slam Dunk (2 PTS)</v>
      </c>
      <c r="K1546" s="2" t="str">
        <f>HYPERLINK("https://www.nba.com/game/...-vs-...-0041300316/play-by-play?watchFullGame=true", "SAS vs OKC - Q1 11:19.00")</f>
        <v>SAS vs OKC - Q1 11:19.00</v>
      </c>
      <c r="L1546">
        <v>0</v>
      </c>
      <c r="M1546">
        <v>-4</v>
      </c>
      <c r="N1546">
        <v>0</v>
      </c>
      <c r="O1546">
        <v>-4</v>
      </c>
      <c r="P1546">
        <v>0</v>
      </c>
    </row>
    <row r="1547" spans="1:16" x14ac:dyDescent="0.25">
      <c r="A1547">
        <v>21501140</v>
      </c>
      <c r="B1547">
        <v>2015</v>
      </c>
      <c r="C1547" t="s">
        <v>32</v>
      </c>
      <c r="D1547" t="s">
        <v>61</v>
      </c>
      <c r="E1547">
        <v>28</v>
      </c>
      <c r="F1547">
        <v>18</v>
      </c>
      <c r="G1547">
        <v>2</v>
      </c>
      <c r="H1547" s="1">
        <v>8.1828703703703699E-3</v>
      </c>
      <c r="I1547" t="s">
        <v>18</v>
      </c>
      <c r="J1547" s="2" t="str">
        <f>HYPERLINK("https://www.nba.com/stats/events?CFID=&amp;CFPARAMS=&amp;GameEventID=110&amp;GameID=0021501140&amp;Season=2015-16&amp;flag=1&amp;title=Leonard%20%20Driving%20Finger%20Roll%20Layup%20(5%20PTS)", "Leonard  Driving Finger Roll Layup (5 PTS)")</f>
        <v>Leonard  Driving Finger Roll Layup (5 PTS)</v>
      </c>
      <c r="K1547" s="2" t="str">
        <f>HYPERLINK("https://www.nba.com/game/...-vs-...-0021501140/play-by-play?watchFullGame=true", "SAS vs TOR - Q2 11:47.00")</f>
        <v>SAS vs TOR - Q2 11:47.00</v>
      </c>
      <c r="L1547">
        <v>0</v>
      </c>
      <c r="M1547">
        <v>-4</v>
      </c>
      <c r="N1547">
        <v>0</v>
      </c>
      <c r="O1547">
        <v>-4</v>
      </c>
      <c r="P1547">
        <v>0</v>
      </c>
    </row>
    <row r="1548" spans="1:16" x14ac:dyDescent="0.25">
      <c r="A1548">
        <v>21600558</v>
      </c>
      <c r="B1548">
        <v>2016</v>
      </c>
      <c r="C1548" t="s">
        <v>32</v>
      </c>
      <c r="D1548" t="s">
        <v>73</v>
      </c>
      <c r="E1548">
        <v>4</v>
      </c>
      <c r="F1548">
        <v>0</v>
      </c>
      <c r="G1548">
        <v>1</v>
      </c>
      <c r="H1548" s="1">
        <v>7.7546296296296295E-3</v>
      </c>
      <c r="I1548" t="s">
        <v>18</v>
      </c>
      <c r="J1548" s="2" t="str">
        <f>HYPERLINK("https://www.nba.com/stats/events?CFID=&amp;CFPARAMS=&amp;GameEventID=4&amp;GameID=0021600558&amp;Season=2016-17&amp;flag=1&amp;title=Leonard%20%20Running%20Finger%20Roll%20Layup%20(2%20PTS)%20(Green%202%20AST)", "Leonard  Running Finger Roll Layup (2 PTS) (Green 2 AST)")</f>
        <v>Leonard  Running Finger Roll Layup (2 PTS) (Green 2 AST)</v>
      </c>
      <c r="K1548" s="2" t="str">
        <f>HYPERLINK("https://www.nba.com/game/...-vs-...-0021600558/play-by-play?watchFullGame=true", "SAS vs CHA - Q1 11:10.00")</f>
        <v>SAS vs CHA - Q1 11:10.00</v>
      </c>
      <c r="L1548">
        <v>0</v>
      </c>
      <c r="M1548">
        <v>-4</v>
      </c>
      <c r="N1548">
        <v>2</v>
      </c>
      <c r="O1548">
        <v>-4</v>
      </c>
      <c r="P1548">
        <v>2</v>
      </c>
    </row>
    <row r="1549" spans="1:16" x14ac:dyDescent="0.25">
      <c r="A1549">
        <v>21500590</v>
      </c>
      <c r="B1549">
        <v>2015</v>
      </c>
      <c r="C1549" t="s">
        <v>32</v>
      </c>
      <c r="D1549" t="s">
        <v>61</v>
      </c>
      <c r="E1549">
        <v>85</v>
      </c>
      <c r="F1549">
        <v>75</v>
      </c>
      <c r="G1549">
        <v>4</v>
      </c>
      <c r="H1549" s="1">
        <v>5.092592592592593E-3</v>
      </c>
      <c r="I1549" t="s">
        <v>18</v>
      </c>
      <c r="J1549" s="2" t="str">
        <f>HYPERLINK("https://www.nba.com/stats/events?CFID=&amp;CFPARAMS=&amp;GameEventID=418&amp;GameID=0021500590&amp;Season=2015-16&amp;flag=1&amp;title=Leonard%20%20Driving%20Finger%20Roll%20Layup%20(18%20PTS)%20(Mills%201%20AST)", "Leonard  Driving Finger Roll Layup (18 PTS) (Mills 1 AST)")</f>
        <v>Leonard  Driving Finger Roll Layup (18 PTS) (Mills 1 AST)</v>
      </c>
      <c r="K1549" s="2" t="str">
        <f>HYPERLINK("https://www.nba.com/game/...-vs-...-0021500590/play-by-play?watchFullGame=true", "SAS vs CLE - Q4 07:20.00")</f>
        <v>SAS vs CLE - Q4 07:20.00</v>
      </c>
      <c r="L1549">
        <v>0</v>
      </c>
      <c r="M1549">
        <v>-4</v>
      </c>
      <c r="N1549">
        <v>2</v>
      </c>
      <c r="O1549">
        <v>-4</v>
      </c>
      <c r="P1549">
        <v>2</v>
      </c>
    </row>
    <row r="1550" spans="1:16" x14ac:dyDescent="0.25">
      <c r="A1550">
        <v>21601085</v>
      </c>
      <c r="B1550">
        <v>2016</v>
      </c>
      <c r="C1550" t="s">
        <v>32</v>
      </c>
      <c r="D1550" t="s">
        <v>51</v>
      </c>
      <c r="E1550">
        <v>59</v>
      </c>
      <c r="F1550">
        <v>41</v>
      </c>
      <c r="G1550">
        <v>2</v>
      </c>
      <c r="H1550" s="1">
        <v>6.6898148148148145E-4</v>
      </c>
      <c r="I1550" t="s">
        <v>18</v>
      </c>
      <c r="J1550" s="2" t="str">
        <f>HYPERLINK("https://www.nba.com/stats/events?CFID=&amp;CFPARAMS=&amp;GameEventID=242&amp;GameID=0021601085&amp;Season=2016-17&amp;flag=1&amp;title=Leonard%201'%20Reverse%20Layup%20(16%20PTS)%20(Ginobili%204%20AST)", "Leonard 1' Reverse Layup (16 PTS) (Ginobili 4 AST)")</f>
        <v>Leonard 1' Reverse Layup (16 PTS) (Ginobili 4 AST)</v>
      </c>
      <c r="K1550" s="2" t="str">
        <f>HYPERLINK("https://www.nba.com/game/...-vs-...-0021601085/play-by-play?watchFullGame=true", "SAS vs NYK - Q2 00:57.80")</f>
        <v>SAS vs NYK - Q2 00:57.80</v>
      </c>
      <c r="L1550">
        <v>1</v>
      </c>
      <c r="M1550">
        <v>-4</v>
      </c>
      <c r="N1550">
        <v>3</v>
      </c>
      <c r="O1550">
        <v>-4</v>
      </c>
      <c r="P1550">
        <v>3</v>
      </c>
    </row>
    <row r="1551" spans="1:16" x14ac:dyDescent="0.25">
      <c r="A1551">
        <v>22200795</v>
      </c>
      <c r="B1551">
        <v>2022</v>
      </c>
      <c r="C1551" t="s">
        <v>32</v>
      </c>
      <c r="D1551" t="s">
        <v>47</v>
      </c>
      <c r="E1551">
        <v>16</v>
      </c>
      <c r="F1551">
        <v>20</v>
      </c>
      <c r="G1551">
        <v>1</v>
      </c>
      <c r="H1551" s="1">
        <v>4.43287037037037E-3</v>
      </c>
      <c r="I1551" t="s">
        <v>23</v>
      </c>
      <c r="J1551" s="2" t="str">
        <f>HYPERLINK("https://www.nba.com/stats/events?CFID=&amp;CFPARAMS=&amp;GameEventID=52&amp;GameID=0022200795&amp;Season=2022-23&amp;flag=1&amp;title=Leonard%20putback%20Layup%20(4%20PTS)", "Putback Layup (4 PTS)")</f>
        <v>Putback Layup (4 PTS)</v>
      </c>
      <c r="K1551" s="2" t="str">
        <f>HYPERLINK("https://www.nba.com/game/...-vs-...-0022200795/play-by-play?watchFullGame=true", "LAC vs NYK - Q1 06:23.00")</f>
        <v>LAC vs NYK - Q1 06:23.00</v>
      </c>
      <c r="L1551">
        <v>0.51</v>
      </c>
      <c r="M1551">
        <v>94.04</v>
      </c>
      <c r="N1551">
        <v>49.26</v>
      </c>
      <c r="O1551">
        <v>-4</v>
      </c>
      <c r="P1551">
        <v>4</v>
      </c>
    </row>
    <row r="1552" spans="1:16" x14ac:dyDescent="0.25">
      <c r="A1552">
        <v>21301127</v>
      </c>
      <c r="B1552">
        <v>2013</v>
      </c>
      <c r="C1552" t="s">
        <v>32</v>
      </c>
      <c r="D1552" t="s">
        <v>62</v>
      </c>
      <c r="E1552">
        <v>101</v>
      </c>
      <c r="F1552">
        <v>91</v>
      </c>
      <c r="G1552">
        <v>4</v>
      </c>
      <c r="H1552" s="1">
        <v>1.4120370370370369E-3</v>
      </c>
      <c r="I1552" t="s">
        <v>18</v>
      </c>
      <c r="J1552" s="2" t="str">
        <f>HYPERLINK("https://www.nba.com/stats/events?CFID=&amp;CFPARAMS=&amp;GameEventID=491&amp;GameID=0021301127&amp;Season=2013-14&amp;flag=1&amp;title=Leonard%201'%20Dunk%20(17%20PTS)", "Leonard 1' Dunk (17 PTS)")</f>
        <v>Leonard 1' Dunk (17 PTS)</v>
      </c>
      <c r="K1552" s="2" t="str">
        <f>HYPERLINK("https://www.nba.com/game/...-vs-...-0021301127/play-by-play?watchFullGame=true", "SAS vs OKC - Q4 02:02.00")</f>
        <v>SAS vs OKC - Q4 02:02.00</v>
      </c>
      <c r="L1552">
        <v>1</v>
      </c>
      <c r="M1552">
        <v>-4</v>
      </c>
      <c r="N1552">
        <v>4</v>
      </c>
      <c r="O1552">
        <v>-4</v>
      </c>
      <c r="P1552">
        <v>4</v>
      </c>
    </row>
    <row r="1553" spans="1:16" x14ac:dyDescent="0.25">
      <c r="A1553">
        <v>22000736</v>
      </c>
      <c r="B1553">
        <v>2020</v>
      </c>
      <c r="C1553" t="s">
        <v>32</v>
      </c>
      <c r="D1553" t="s">
        <v>48</v>
      </c>
      <c r="E1553">
        <v>92</v>
      </c>
      <c r="F1553">
        <v>100</v>
      </c>
      <c r="G1553">
        <v>4</v>
      </c>
      <c r="H1553" s="1">
        <v>3.9004629629629632E-4</v>
      </c>
      <c r="I1553" t="s">
        <v>23</v>
      </c>
      <c r="J1553" s="2" t="str">
        <f>HYPERLINK("https://www.nba.com/stats/events?CFID=&amp;CFPARAMS=&amp;GameEventID=575&amp;GameID=0022000736&amp;Season=2020-21&amp;flag=1&amp;title=Leonard%20driving%20DUNK%20(24%20PTS)%20(P.%20George%205%20AST)", "Driving DUNK (24 PTS) (P. George 5 AST)")</f>
        <v>Driving DUNK (24 PTS) (P. George 5 AST)</v>
      </c>
      <c r="K1553" s="2" t="str">
        <f>HYPERLINK("https://www.nba.com/game/...-vs-...-0022000736/play-by-play?watchFullGame=true", "LAC vs DEN - Q4 00:33.70")</f>
        <v>LAC vs DEN - Q4 00:33.70</v>
      </c>
      <c r="L1553">
        <v>0.75</v>
      </c>
      <c r="M1553">
        <v>6.26</v>
      </c>
      <c r="N1553">
        <v>50.8</v>
      </c>
      <c r="O1553">
        <v>-4</v>
      </c>
      <c r="P1553">
        <v>6</v>
      </c>
    </row>
    <row r="1554" spans="1:16" x14ac:dyDescent="0.25">
      <c r="A1554">
        <v>22300235</v>
      </c>
      <c r="B1554">
        <v>2023</v>
      </c>
      <c r="C1554" t="s">
        <v>32</v>
      </c>
      <c r="D1554" t="s">
        <v>48</v>
      </c>
      <c r="E1554">
        <v>64</v>
      </c>
      <c r="F1554">
        <v>72</v>
      </c>
      <c r="G1554">
        <v>3</v>
      </c>
      <c r="H1554" s="1">
        <v>3.7731481481481483E-3</v>
      </c>
      <c r="I1554" t="s">
        <v>23</v>
      </c>
      <c r="J1554" s="2" t="str">
        <f>HYPERLINK("https://www.nba.com/stats/events?CFID=&amp;CFPARAMS=&amp;GameEventID=441&amp;GameID=0022300235&amp;Season=2023-24&amp;flag=1&amp;title=Leonard%20running%20DUNK%20(22%20PTS)%20(J.%20Harden%208%20AST)", "Running DUNK (22 PTS) (J. Harden 8 AST)")</f>
        <v>Running DUNK (22 PTS) (J. Harden 8 AST)</v>
      </c>
      <c r="K1554" s="2" t="str">
        <f>HYPERLINK("https://www.nba.com/game/...-vs-...-0022300235/play-by-play?watchFullGame=true", "LAC vs SAS - Q3 05:26.00")</f>
        <v>LAC vs SAS - Q3 05:26.00</v>
      </c>
      <c r="L1554">
        <v>0.73</v>
      </c>
      <c r="M1554">
        <v>6.26</v>
      </c>
      <c r="N1554">
        <v>50.74</v>
      </c>
      <c r="O1554">
        <v>-4</v>
      </c>
      <c r="P1554">
        <v>6</v>
      </c>
    </row>
    <row r="1555" spans="1:16" x14ac:dyDescent="0.25">
      <c r="A1555">
        <v>41500232</v>
      </c>
      <c r="B1555" t="s">
        <v>25</v>
      </c>
      <c r="C1555" t="s">
        <v>32</v>
      </c>
      <c r="D1555" t="s">
        <v>52</v>
      </c>
      <c r="E1555">
        <v>58</v>
      </c>
      <c r="F1555">
        <v>64</v>
      </c>
      <c r="G1555">
        <v>3</v>
      </c>
      <c r="H1555" s="1">
        <v>5.8217592592592592E-3</v>
      </c>
      <c r="I1555" t="s">
        <v>18</v>
      </c>
      <c r="J1555" s="2" t="str">
        <f>HYPERLINK("https://www.nba.com/stats/events?CFID=&amp;CFPARAMS=&amp;GameEventID=294&amp;GameID=0041500232&amp;Season=2015-16&amp;flag=1&amp;title=Leonard%201'%20Alley%20Oop%20Layup%20(8%20PTS)%20(Duncan%201%20AST)", "Leonard 1' Alley Oop Layup (8 PTS) (Duncan 1 AST)")</f>
        <v>Leonard 1' Alley Oop Layup (8 PTS) (Duncan 1 AST)</v>
      </c>
      <c r="K1555" s="2" t="str">
        <f>HYPERLINK("https://www.nba.com/game/...-vs-...-0041500232/play-by-play?watchFullGame=true", "SAS vs OKC - Q3 08:23.00")</f>
        <v>SAS vs OKC - Q3 08:23.00</v>
      </c>
      <c r="L1555">
        <v>1</v>
      </c>
      <c r="M1555">
        <v>-4</v>
      </c>
      <c r="N1555">
        <v>7</v>
      </c>
      <c r="O1555">
        <v>-4</v>
      </c>
      <c r="P1555">
        <v>7</v>
      </c>
    </row>
    <row r="1556" spans="1:16" x14ac:dyDescent="0.25">
      <c r="A1556">
        <v>22300179</v>
      </c>
      <c r="B1556">
        <v>2023</v>
      </c>
      <c r="C1556" t="s">
        <v>32</v>
      </c>
      <c r="D1556" t="s">
        <v>48</v>
      </c>
      <c r="E1556">
        <v>68</v>
      </c>
      <c r="F1556">
        <v>79</v>
      </c>
      <c r="G1556">
        <v>3</v>
      </c>
      <c r="H1556" s="1">
        <v>3.3449074074074072E-4</v>
      </c>
      <c r="I1556" t="s">
        <v>23</v>
      </c>
      <c r="J1556" s="2" t="str">
        <f>HYPERLINK("https://www.nba.com/stats/events?CFID=&amp;CFPARAMS=&amp;GameEventID=532&amp;GameID=0022300179&amp;Season=2023-24&amp;flag=1&amp;title=Leonard%20running%20DUNK%20(14%20PTS)", "Running DUNK (14 PTS)")</f>
        <v>Running DUNK (14 PTS)</v>
      </c>
      <c r="K1556" s="2" t="str">
        <f>HYPERLINK("https://www.nba.com/game/...-vs-...-0022300179/play-by-play?watchFullGame=true", "LAC vs MEM - Q3 00:28.90")</f>
        <v>LAC vs MEM - Q3 00:28.90</v>
      </c>
      <c r="L1556">
        <v>0.85</v>
      </c>
      <c r="M1556">
        <v>93.61</v>
      </c>
      <c r="N1556">
        <v>49.26</v>
      </c>
      <c r="O1556">
        <v>-4</v>
      </c>
      <c r="P1556">
        <v>8</v>
      </c>
    </row>
    <row r="1557" spans="1:16" x14ac:dyDescent="0.25">
      <c r="A1557">
        <v>22300553</v>
      </c>
      <c r="B1557">
        <v>2023</v>
      </c>
      <c r="C1557" t="s">
        <v>32</v>
      </c>
      <c r="D1557" t="s">
        <v>48</v>
      </c>
      <c r="E1557">
        <v>68</v>
      </c>
      <c r="F1557">
        <v>61</v>
      </c>
      <c r="G1557">
        <v>3</v>
      </c>
      <c r="H1557" s="1">
        <v>2.2800925925925927E-3</v>
      </c>
      <c r="I1557" t="s">
        <v>23</v>
      </c>
      <c r="J1557" s="2" t="str">
        <f>HYPERLINK("https://www.nba.com/stats/events?CFID=&amp;CFPARAMS=&amp;GameEventID=403&amp;GameID=0022300553&amp;Season=2023-24&amp;flag=1&amp;title=Leonard%20reverse%20DUNK%20(20%20PTS)%20(R.%20Westbrook%208%20AST)", "Reverse DUNK (20 PTS) (R. Westbrook 8 AST)")</f>
        <v>Reverse DUNK (20 PTS) (R. Westbrook 8 AST)</v>
      </c>
      <c r="K1557" s="2" t="str">
        <f>HYPERLINK("https://www.nba.com/game/...-vs-...-0022300553/play-by-play?watchFullGame=true", "LAC vs MIN - Q3 03:17.00")</f>
        <v>LAC vs MIN - Q3 03:17.00</v>
      </c>
      <c r="L1557">
        <v>0.93</v>
      </c>
      <c r="M1557">
        <v>93.51</v>
      </c>
      <c r="N1557">
        <v>49.26</v>
      </c>
      <c r="O1557">
        <v>-4</v>
      </c>
      <c r="P1557">
        <v>8</v>
      </c>
    </row>
    <row r="1558" spans="1:16" x14ac:dyDescent="0.25">
      <c r="A1558">
        <v>41800217</v>
      </c>
      <c r="B1558" t="s">
        <v>20</v>
      </c>
      <c r="C1558" t="s">
        <v>32</v>
      </c>
      <c r="D1558" t="s">
        <v>63</v>
      </c>
      <c r="E1558">
        <v>29</v>
      </c>
      <c r="F1558">
        <v>21</v>
      </c>
      <c r="G1558">
        <v>2</v>
      </c>
      <c r="H1558" s="1">
        <v>5.6018518518518518E-3</v>
      </c>
      <c r="I1558" t="s">
        <v>21</v>
      </c>
      <c r="J1558" s="2" t="str">
        <f>HYPERLINK("https://www.nba.com/stats/events?CFID=&amp;CFPARAMS=&amp;GameEventID=206&amp;GameID=0041800217&amp;Season=2018-19&amp;flag=1&amp;title=Leonard%201'%20Running%20Dunk%20(13%20PTS)", "Leonard 1' Running Dunk (13 PTS)")</f>
        <v>Leonard 1' Running Dunk (13 PTS)</v>
      </c>
      <c r="K1558" s="2" t="str">
        <f>HYPERLINK("https://www.nba.com/game/...-vs-...-0041800217/play-by-play?watchFullGame=true", "TOR vs PHI - Q2 08:04.00")</f>
        <v>TOR vs PHI - Q2 08:04.00</v>
      </c>
      <c r="L1558">
        <v>1</v>
      </c>
      <c r="M1558">
        <v>-4</v>
      </c>
      <c r="N1558">
        <v>8</v>
      </c>
      <c r="O1558">
        <v>-4</v>
      </c>
      <c r="P1558">
        <v>8</v>
      </c>
    </row>
    <row r="1559" spans="1:16" x14ac:dyDescent="0.25">
      <c r="A1559">
        <v>21900276</v>
      </c>
      <c r="B1559">
        <v>2019</v>
      </c>
      <c r="C1559" t="s">
        <v>32</v>
      </c>
      <c r="D1559" t="s">
        <v>50</v>
      </c>
      <c r="E1559">
        <v>38</v>
      </c>
      <c r="F1559">
        <v>38</v>
      </c>
      <c r="G1559">
        <v>2</v>
      </c>
      <c r="H1559" s="1">
        <v>5.4166666666666669E-3</v>
      </c>
      <c r="I1559" t="s">
        <v>23</v>
      </c>
      <c r="J1559" s="2" t="str">
        <f>HYPERLINK("https://www.nba.com/stats/events?CFID=&amp;CFPARAMS=&amp;GameEventID=211&amp;GameID=0021900276&amp;Season=2019-20&amp;flag=1&amp;title=Leonard%20layup%20(4%20PTS)", "Layup (4 PTS)")</f>
        <v>Layup (4 PTS)</v>
      </c>
      <c r="K1559" s="2" t="str">
        <f>HYPERLINK("https://www.nba.com/game/...-vs-...-0021900276/play-by-play?watchFullGame=true", "LAC vs SAS - Q2 07:48.00")</f>
        <v>LAC vs SAS - Q2 07:48.00</v>
      </c>
      <c r="L1559">
        <v>1.48</v>
      </c>
      <c r="M1559">
        <v>6.52</v>
      </c>
      <c r="N1559">
        <v>50.8</v>
      </c>
      <c r="O1559">
        <v>-4</v>
      </c>
      <c r="P1559">
        <v>9</v>
      </c>
    </row>
    <row r="1560" spans="1:16" x14ac:dyDescent="0.25">
      <c r="A1560">
        <v>22400751</v>
      </c>
      <c r="B1560">
        <v>2024</v>
      </c>
      <c r="C1560" t="s">
        <v>32</v>
      </c>
      <c r="D1560" t="s">
        <v>48</v>
      </c>
      <c r="E1560">
        <v>42</v>
      </c>
      <c r="F1560">
        <v>48</v>
      </c>
      <c r="G1560">
        <v>2</v>
      </c>
      <c r="H1560" s="1">
        <v>3.8194444444444443E-3</v>
      </c>
      <c r="I1560" t="s">
        <v>23</v>
      </c>
      <c r="J1560" s="2" t="str">
        <f>HYPERLINK("https://www.nba.com/stats/events?CFID=&amp;CFPARAMS=&amp;GameEventID=244&amp;GameID=0022400751&amp;Season=2024-25&amp;flag=1&amp;title=Leonard%20cutting%20DUNK%20(6%20PTS)%20(I.%20Zubac%204%20AST)", "Cutting DUNK (6 PTS) (I. Zubac 4 AST)")</f>
        <v>Cutting DUNK (6 PTS) (I. Zubac 4 AST)</v>
      </c>
      <c r="K1560" s="2" t="str">
        <f>HYPERLINK("https://www.nba.com/game/...-vs-...-0022400751/play-by-play?watchFullGame=true", "LAC vs UTA - Q2 05:30.00")</f>
        <v>LAC vs UTA - Q2 05:30.00</v>
      </c>
      <c r="L1560">
        <v>1.19</v>
      </c>
      <c r="M1560">
        <v>6.78</v>
      </c>
      <c r="N1560">
        <v>50.74</v>
      </c>
      <c r="O1560">
        <v>-4</v>
      </c>
      <c r="P1560">
        <v>11</v>
      </c>
    </row>
    <row r="1561" spans="1:16" x14ac:dyDescent="0.25">
      <c r="A1561">
        <v>21500481</v>
      </c>
      <c r="B1561">
        <v>2015</v>
      </c>
      <c r="C1561" t="s">
        <v>32</v>
      </c>
      <c r="D1561" t="s">
        <v>73</v>
      </c>
      <c r="E1561">
        <v>80</v>
      </c>
      <c r="F1561">
        <v>51</v>
      </c>
      <c r="G1561">
        <v>3</v>
      </c>
      <c r="H1561" s="1">
        <v>1.4814814814814814E-3</v>
      </c>
      <c r="I1561" t="s">
        <v>18</v>
      </c>
      <c r="J1561" s="2" t="str">
        <f>HYPERLINK("https://www.nba.com/stats/events?CFID=&amp;CFPARAMS=&amp;GameEventID=349&amp;GameID=0021500481&amp;Season=2015-16&amp;flag=1&amp;title=Leonard%201'%20Running%20Finger%20Roll%20Layup%20(19%20PTS)%20(Ginobili%203%20AST)", "Leonard 1' Running Finger Roll Layup (19 PTS) (Ginobili 3 AST)")</f>
        <v>Leonard 1' Running Finger Roll Layup (19 PTS) (Ginobili 3 AST)</v>
      </c>
      <c r="K1561" s="2" t="str">
        <f>HYPERLINK("https://www.nba.com/game/...-vs-...-0021500481/play-by-play?watchFullGame=true", "SAS vs PHX - Q3 02:08.00")</f>
        <v>SAS vs PHX - Q3 02:08.00</v>
      </c>
      <c r="L1561">
        <v>1</v>
      </c>
      <c r="M1561">
        <v>-4</v>
      </c>
      <c r="N1561">
        <v>11</v>
      </c>
      <c r="O1561">
        <v>-4</v>
      </c>
      <c r="P1561">
        <v>11</v>
      </c>
    </row>
    <row r="1562" spans="1:16" x14ac:dyDescent="0.25">
      <c r="A1562">
        <v>21500644</v>
      </c>
      <c r="B1562">
        <v>2015</v>
      </c>
      <c r="C1562" t="s">
        <v>32</v>
      </c>
      <c r="D1562" t="s">
        <v>75</v>
      </c>
      <c r="E1562">
        <v>8</v>
      </c>
      <c r="F1562">
        <v>13</v>
      </c>
      <c r="G1562">
        <v>1</v>
      </c>
      <c r="H1562" s="1">
        <v>4.1319444444444442E-3</v>
      </c>
      <c r="I1562" t="s">
        <v>18</v>
      </c>
      <c r="J1562" s="2" t="str">
        <f>HYPERLINK("https://www.nba.com/stats/events?CFID=&amp;CFPARAMS=&amp;GameEventID=57&amp;GameID=0021500644&amp;Season=2015-16&amp;flag=1&amp;title=Leonard%201'%20Cutting%20Layup%20Shot%20(2%20PTS)%20(West%202%20AST)", "Leonard 1' Cutting Layup Shot (2 PTS) (West 2 AST)")</f>
        <v>Leonard 1' Cutting Layup Shot (2 PTS) (West 2 AST)</v>
      </c>
      <c r="K1562" s="2" t="str">
        <f>HYPERLINK("https://www.nba.com/game/...-vs-...-0021500644/play-by-play?watchFullGame=true", "SAS vs PHX - Q1 05:57.00")</f>
        <v>SAS vs PHX - Q1 05:57.00</v>
      </c>
      <c r="L1562">
        <v>1</v>
      </c>
      <c r="M1562">
        <v>-4</v>
      </c>
      <c r="N1562">
        <v>11</v>
      </c>
      <c r="O1562">
        <v>-4</v>
      </c>
      <c r="P1562">
        <v>11</v>
      </c>
    </row>
    <row r="1563" spans="1:16" x14ac:dyDescent="0.25">
      <c r="A1563">
        <v>21501036</v>
      </c>
      <c r="B1563">
        <v>2015</v>
      </c>
      <c r="C1563" t="s">
        <v>32</v>
      </c>
      <c r="D1563" t="s">
        <v>71</v>
      </c>
      <c r="E1563">
        <v>10</v>
      </c>
      <c r="F1563">
        <v>7</v>
      </c>
      <c r="G1563">
        <v>1</v>
      </c>
      <c r="H1563" s="1">
        <v>4.5254629629629629E-3</v>
      </c>
      <c r="I1563" t="s">
        <v>18</v>
      </c>
      <c r="J1563" s="2" t="str">
        <f>HYPERLINK("https://www.nba.com/stats/events?CFID=&amp;CFPARAMS=&amp;GameEventID=45&amp;GameID=0021501036&amp;Season=2015-16&amp;flag=1&amp;title=Leonard%201'%20Tip%20Layup%20Shot%20(2%20PTS)", "Leonard 1' Tip Layup Shot (2 PTS)")</f>
        <v>Leonard 1' Tip Layup Shot (2 PTS)</v>
      </c>
      <c r="K1563" s="2" t="str">
        <f>HYPERLINK("https://www.nba.com/game/...-vs-...-0021501036/play-by-play?watchFullGame=true", "SAS vs GSW - Q1 06:31.00")</f>
        <v>SAS vs GSW - Q1 06:31.00</v>
      </c>
      <c r="L1563">
        <v>1</v>
      </c>
      <c r="M1563">
        <v>-4</v>
      </c>
      <c r="N1563">
        <v>11</v>
      </c>
      <c r="O1563">
        <v>-4</v>
      </c>
      <c r="P1563">
        <v>11</v>
      </c>
    </row>
    <row r="1564" spans="1:16" x14ac:dyDescent="0.25">
      <c r="A1564">
        <v>41200234</v>
      </c>
      <c r="B1564" t="s">
        <v>27</v>
      </c>
      <c r="C1564" t="s">
        <v>32</v>
      </c>
      <c r="D1564" t="s">
        <v>57</v>
      </c>
      <c r="E1564">
        <v>72</v>
      </c>
      <c r="F1564">
        <v>80</v>
      </c>
      <c r="G1564">
        <v>4</v>
      </c>
      <c r="H1564" s="1">
        <v>3.3449074074074076E-3</v>
      </c>
      <c r="I1564" t="s">
        <v>18</v>
      </c>
      <c r="J1564" s="2" t="str">
        <f>HYPERLINK("https://www.nba.com/stats/events?CFID=&amp;CFPARAMS=&amp;GameEventID=501&amp;GameID=0041200234&amp;Season=2012-13&amp;flag=1&amp;title=Leonard%201'%20Layup%20(11%20PTS)", "Leonard 1' Layup (11 PTS)")</f>
        <v>Leonard 1' Layup (11 PTS)</v>
      </c>
      <c r="K1564" s="2" t="str">
        <f>HYPERLINK("https://www.nba.com/game/...-vs-...-0041200234/play-by-play?watchFullGame=true", "SAS vs GSW - Q4 04:49.00")</f>
        <v>SAS vs GSW - Q4 04:49.00</v>
      </c>
      <c r="L1564">
        <v>1</v>
      </c>
      <c r="M1564">
        <v>-4</v>
      </c>
      <c r="N1564">
        <v>11</v>
      </c>
      <c r="O1564">
        <v>-4</v>
      </c>
      <c r="P1564">
        <v>11</v>
      </c>
    </row>
    <row r="1565" spans="1:16" x14ac:dyDescent="0.25">
      <c r="A1565">
        <v>41200236</v>
      </c>
      <c r="B1565" t="s">
        <v>27</v>
      </c>
      <c r="C1565" t="s">
        <v>32</v>
      </c>
      <c r="D1565" t="s">
        <v>76</v>
      </c>
      <c r="E1565">
        <v>53</v>
      </c>
      <c r="F1565">
        <v>65</v>
      </c>
      <c r="G1565">
        <v>3</v>
      </c>
      <c r="H1565" s="1">
        <v>1.6782407407407408E-3</v>
      </c>
      <c r="I1565" t="s">
        <v>18</v>
      </c>
      <c r="J1565" s="2" t="str">
        <f>HYPERLINK("https://www.nba.com/stats/events?CFID=&amp;CFPARAMS=&amp;GameEventID=340&amp;GameID=0041200236&amp;Season=2012-13&amp;flag=1&amp;title=Leonard%201'%20Driving%20Slam%20Dunk%20(9%20PTS)", "Leonard 1' Driving Slam Dunk (9 PTS)")</f>
        <v>Leonard 1' Driving Slam Dunk (9 PTS)</v>
      </c>
      <c r="K1565" s="2" t="str">
        <f>HYPERLINK("https://www.nba.com/game/...-vs-...-0041200236/play-by-play?watchFullGame=true", "SAS vs GSW - Q3 02:25.00")</f>
        <v>SAS vs GSW - Q3 02:25.00</v>
      </c>
      <c r="L1565">
        <v>1</v>
      </c>
      <c r="M1565">
        <v>-4</v>
      </c>
      <c r="N1565">
        <v>11</v>
      </c>
      <c r="O1565">
        <v>-4</v>
      </c>
      <c r="P1565">
        <v>11</v>
      </c>
    </row>
    <row r="1566" spans="1:16" x14ac:dyDescent="0.25">
      <c r="A1566">
        <v>21300338</v>
      </c>
      <c r="B1566">
        <v>2013</v>
      </c>
      <c r="C1566" t="s">
        <v>32</v>
      </c>
      <c r="D1566" t="s">
        <v>57</v>
      </c>
      <c r="E1566">
        <v>71</v>
      </c>
      <c r="F1566">
        <v>69</v>
      </c>
      <c r="G1566">
        <v>3</v>
      </c>
      <c r="H1566" s="1">
        <v>4.9421296296296297E-3</v>
      </c>
      <c r="I1566" t="s">
        <v>18</v>
      </c>
      <c r="J1566" s="2" t="str">
        <f>HYPERLINK("https://www.nba.com/stats/events?CFID=&amp;CFPARAMS=&amp;GameEventID=282&amp;GameID=0021300338&amp;Season=2013-14&amp;flag=1&amp;title=Leonard%201'%20Layup%20(17%20PTS)%20(Duncan%206%20AST)", "Leonard 1' Layup (17 PTS) (Duncan 6 AST)")</f>
        <v>Leonard 1' Layup (17 PTS) (Duncan 6 AST)</v>
      </c>
      <c r="K1566" s="2" t="str">
        <f>HYPERLINK("https://www.nba.com/game/...-vs-...-0021300338/play-by-play?watchFullGame=true", "SAS vs MIN - Q3 07:07.00")</f>
        <v>SAS vs MIN - Q3 07:07.00</v>
      </c>
      <c r="L1566">
        <v>1</v>
      </c>
      <c r="M1566">
        <v>-4</v>
      </c>
      <c r="N1566">
        <v>12</v>
      </c>
      <c r="O1566">
        <v>-4</v>
      </c>
      <c r="P1566">
        <v>12</v>
      </c>
    </row>
    <row r="1567" spans="1:16" x14ac:dyDescent="0.25">
      <c r="A1567">
        <v>22300880</v>
      </c>
      <c r="B1567">
        <v>2023</v>
      </c>
      <c r="C1567" t="s">
        <v>32</v>
      </c>
      <c r="D1567" t="s">
        <v>48</v>
      </c>
      <c r="E1567">
        <v>48</v>
      </c>
      <c r="F1567">
        <v>54</v>
      </c>
      <c r="G1567">
        <v>2</v>
      </c>
      <c r="H1567" s="1">
        <v>3.7384259259259255E-4</v>
      </c>
      <c r="I1567" t="s">
        <v>23</v>
      </c>
      <c r="J1567" s="2" t="str">
        <f>HYPERLINK("https://www.nba.com/stats/events?CFID=&amp;CFPARAMS=&amp;GameEventID=261&amp;GameID=0022300880&amp;Season=2023-24&amp;flag=1&amp;title=Leonard%20running%20DUNK%20(6%20PTS)%20(J.%20Harden%205%20AST)", "Running DUNK (6 PTS) (J. Harden 5 AST)")</f>
        <v>Running DUNK (6 PTS) (J. Harden 5 AST)</v>
      </c>
      <c r="K1567" s="2" t="str">
        <f>HYPERLINK("https://www.nba.com/game/...-vs-...-0022300880/play-by-play?watchFullGame=true", "LAC vs MIL - Q2 00:32.30")</f>
        <v>LAC vs MIL - Q2 00:32.30</v>
      </c>
      <c r="L1567">
        <v>1.3</v>
      </c>
      <c r="M1567">
        <v>6.92</v>
      </c>
      <c r="N1567">
        <v>50.74</v>
      </c>
      <c r="O1567">
        <v>-4</v>
      </c>
      <c r="P1567">
        <v>13</v>
      </c>
    </row>
    <row r="1568" spans="1:16" x14ac:dyDescent="0.25">
      <c r="A1568">
        <v>21500653</v>
      </c>
      <c r="B1568">
        <v>2015</v>
      </c>
      <c r="C1568" t="s">
        <v>32</v>
      </c>
      <c r="D1568" t="s">
        <v>61</v>
      </c>
      <c r="E1568">
        <v>63</v>
      </c>
      <c r="F1568">
        <v>73</v>
      </c>
      <c r="G1568">
        <v>3</v>
      </c>
      <c r="H1568" s="1">
        <v>2.3148148148148147E-3</v>
      </c>
      <c r="I1568" t="s">
        <v>18</v>
      </c>
      <c r="J1568" s="2" t="str">
        <f>HYPERLINK("https://www.nba.com/stats/events?CFID=&amp;CFPARAMS=&amp;GameEventID=325&amp;GameID=0021500653&amp;Season=2015-16&amp;flag=1&amp;title=Leonard%201'%20Driving%20Finger%20Roll%20Layup%20(17%20PTS)", "Leonard 1' Driving Finger Roll Layup (17 PTS)")</f>
        <v>Leonard 1' Driving Finger Roll Layup (17 PTS)</v>
      </c>
      <c r="K1568" s="2" t="str">
        <f>HYPERLINK("https://www.nba.com/game/...-vs-...-0021500653/play-by-play?watchFullGame=true", "SAS vs LAL - Q3 03:20.00")</f>
        <v>SAS vs LAL - Q3 03:20.00</v>
      </c>
      <c r="L1568">
        <v>1</v>
      </c>
      <c r="M1568">
        <v>-4</v>
      </c>
      <c r="N1568">
        <v>13</v>
      </c>
      <c r="O1568">
        <v>-4</v>
      </c>
      <c r="P1568">
        <v>13</v>
      </c>
    </row>
    <row r="1569" spans="1:16" x14ac:dyDescent="0.25">
      <c r="A1569">
        <v>21600134</v>
      </c>
      <c r="B1569">
        <v>2016</v>
      </c>
      <c r="C1569" t="s">
        <v>32</v>
      </c>
      <c r="D1569" t="s">
        <v>52</v>
      </c>
      <c r="E1569">
        <v>48</v>
      </c>
      <c r="F1569">
        <v>59</v>
      </c>
      <c r="G1569">
        <v>3</v>
      </c>
      <c r="H1569" s="1">
        <v>5.9490740740740745E-3</v>
      </c>
      <c r="I1569" t="s">
        <v>18</v>
      </c>
      <c r="J1569" s="2" t="str">
        <f>HYPERLINK("https://www.nba.com/stats/events?CFID=&amp;CFPARAMS=&amp;GameEventID=307&amp;GameID=0021600134&amp;Season=2016-17&amp;flag=1&amp;title=Leonard%201'%20Alley%20Oop%20Layup%20(12%20PTS)%20(Gasol%204%20AST)", "Leonard 1' Alley Oop Layup (12 PTS) (Gasol 4 AST)")</f>
        <v>Leonard 1' Alley Oop Layup (12 PTS) (Gasol 4 AST)</v>
      </c>
      <c r="K1569" s="2" t="str">
        <f>HYPERLINK("https://www.nba.com/game/...-vs-...-0021600134/play-by-play?watchFullGame=true", "SAS vs HOU - Q3 08:34.00")</f>
        <v>SAS vs HOU - Q3 08:34.00</v>
      </c>
      <c r="L1569">
        <v>1</v>
      </c>
      <c r="M1569">
        <v>-4</v>
      </c>
      <c r="N1569">
        <v>13</v>
      </c>
      <c r="O1569">
        <v>-4</v>
      </c>
      <c r="P1569">
        <v>13</v>
      </c>
    </row>
    <row r="1570" spans="1:16" x14ac:dyDescent="0.25">
      <c r="A1570">
        <v>21500767</v>
      </c>
      <c r="B1570">
        <v>2015</v>
      </c>
      <c r="C1570" t="s">
        <v>32</v>
      </c>
      <c r="D1570" t="s">
        <v>59</v>
      </c>
      <c r="E1570">
        <v>66</v>
      </c>
      <c r="F1570">
        <v>59</v>
      </c>
      <c r="G1570">
        <v>3</v>
      </c>
      <c r="H1570" s="1">
        <v>5.2662037037037035E-3</v>
      </c>
      <c r="I1570" t="s">
        <v>18</v>
      </c>
      <c r="J1570" s="2" t="str">
        <f>HYPERLINK("https://www.nba.com/stats/events?CFID=&amp;CFPARAMS=&amp;GameEventID=319&amp;GameID=0021500767&amp;Season=2015-16&amp;flag=1&amp;title=Leonard%201'%20Putback%20Layup%20(17%20PTS)", "Leonard 1' Putback Layup (17 PTS)")</f>
        <v>Leonard 1' Putback Layup (17 PTS)</v>
      </c>
      <c r="K1570" s="2" t="str">
        <f>HYPERLINK("https://www.nba.com/game/...-vs-...-0021500767/play-by-play?watchFullGame=true", "SAS vs LAL - Q3 07:35.00")</f>
        <v>SAS vs LAL - Q3 07:35.00</v>
      </c>
      <c r="L1570">
        <v>1</v>
      </c>
      <c r="M1570">
        <v>-4</v>
      </c>
      <c r="N1570">
        <v>13</v>
      </c>
      <c r="O1570">
        <v>-4</v>
      </c>
      <c r="P1570">
        <v>13</v>
      </c>
    </row>
    <row r="1571" spans="1:16" x14ac:dyDescent="0.25">
      <c r="A1571">
        <v>22300325</v>
      </c>
      <c r="B1571">
        <v>2023</v>
      </c>
      <c r="C1571" t="s">
        <v>32</v>
      </c>
      <c r="D1571" t="s">
        <v>48</v>
      </c>
      <c r="E1571">
        <v>18</v>
      </c>
      <c r="F1571">
        <v>14</v>
      </c>
      <c r="G1571">
        <v>1</v>
      </c>
      <c r="H1571" s="1">
        <v>3.1597222222222222E-3</v>
      </c>
      <c r="I1571" t="s">
        <v>23</v>
      </c>
      <c r="J1571" s="2" t="str">
        <f>HYPERLINK("https://www.nba.com/stats/events?CFID=&amp;CFPARAMS=&amp;GameEventID=118&amp;GameID=0022300325&amp;Season=2023-24&amp;flag=1&amp;title=Leonard%20running%20DUNK%20(8%20PTS)", "Running DUNK (8 PTS)")</f>
        <v>Running DUNK (8 PTS)</v>
      </c>
      <c r="K1571" s="2" t="str">
        <f>HYPERLINK("https://www.nba.com/game/...-vs-...-0022300325/play-by-play?watchFullGame=true", "LAC vs GSW - Q1 04:33.00")</f>
        <v>LAC vs GSW - Q1 04:33.00</v>
      </c>
      <c r="L1571">
        <v>1.39</v>
      </c>
      <c r="M1571">
        <v>7.01</v>
      </c>
      <c r="N1571">
        <v>50.74</v>
      </c>
      <c r="O1571">
        <v>-4</v>
      </c>
      <c r="P1571">
        <v>13</v>
      </c>
    </row>
    <row r="1572" spans="1:16" x14ac:dyDescent="0.25">
      <c r="A1572">
        <v>41600311</v>
      </c>
      <c r="B1572" t="s">
        <v>30</v>
      </c>
      <c r="C1572" t="s">
        <v>32</v>
      </c>
      <c r="D1572" t="s">
        <v>49</v>
      </c>
      <c r="E1572">
        <v>19</v>
      </c>
      <c r="F1572">
        <v>37</v>
      </c>
      <c r="G1572">
        <v>2</v>
      </c>
      <c r="H1572" s="1">
        <v>6.2847222222222219E-3</v>
      </c>
      <c r="I1572" t="s">
        <v>18</v>
      </c>
      <c r="J1572" s="2" t="str">
        <f>HYPERLINK("https://www.nba.com/stats/events?CFID=&amp;CFPARAMS=&amp;GameEventID=150&amp;GameID=0041600311&amp;Season=2016-17&amp;flag=1&amp;title=Leonard%201'%20Driving%20Layup%20(8%20PTS)", "Leonard 1' Driving Layup (8 PTS)")</f>
        <v>Leonard 1' Driving Layup (8 PTS)</v>
      </c>
      <c r="K1572" s="2" t="str">
        <f>HYPERLINK("https://www.nba.com/game/...-vs-...-0041600311/play-by-play?watchFullGame=true", "SAS vs GSW - Q2 09:03.00")</f>
        <v>SAS vs GSW - Q2 09:03.00</v>
      </c>
      <c r="L1572">
        <v>1</v>
      </c>
      <c r="M1572">
        <v>-4</v>
      </c>
      <c r="N1572">
        <v>13</v>
      </c>
      <c r="O1572">
        <v>-4</v>
      </c>
      <c r="P1572">
        <v>13</v>
      </c>
    </row>
    <row r="1573" spans="1:16" x14ac:dyDescent="0.25">
      <c r="A1573">
        <v>41300225</v>
      </c>
      <c r="B1573" t="s">
        <v>26</v>
      </c>
      <c r="C1573" t="s">
        <v>32</v>
      </c>
      <c r="D1573" t="s">
        <v>62</v>
      </c>
      <c r="E1573">
        <v>69</v>
      </c>
      <c r="F1573">
        <v>52</v>
      </c>
      <c r="G1573">
        <v>3</v>
      </c>
      <c r="H1573" s="1">
        <v>4.8379629629629632E-3</v>
      </c>
      <c r="I1573" t="s">
        <v>18</v>
      </c>
      <c r="J1573" s="2" t="str">
        <f>HYPERLINK("https://www.nba.com/stats/events?CFID=&amp;CFPARAMS=&amp;GameEventID=296&amp;GameID=0041300225&amp;Season=2013-14&amp;flag=1&amp;title=Leonard%201'%20Dunk%20(17%20PTS)", "Leonard 1' Dunk (17 PTS)")</f>
        <v>Leonard 1' Dunk (17 PTS)</v>
      </c>
      <c r="K1573" s="2" t="str">
        <f>HYPERLINK("https://www.nba.com/game/...-vs-...-0041300225/play-by-play?watchFullGame=true", "SAS vs POR - Q3 06:58.00")</f>
        <v>SAS vs POR - Q3 06:58.00</v>
      </c>
      <c r="L1573">
        <v>1</v>
      </c>
      <c r="M1573">
        <v>-4</v>
      </c>
      <c r="N1573">
        <v>14</v>
      </c>
      <c r="O1573">
        <v>-4</v>
      </c>
      <c r="P1573">
        <v>14</v>
      </c>
    </row>
    <row r="1574" spans="1:16" x14ac:dyDescent="0.25">
      <c r="A1574">
        <v>22400659</v>
      </c>
      <c r="B1574">
        <v>2024</v>
      </c>
      <c r="C1574" t="s">
        <v>32</v>
      </c>
      <c r="D1574" t="s">
        <v>47</v>
      </c>
      <c r="E1574">
        <v>90</v>
      </c>
      <c r="F1574">
        <v>84</v>
      </c>
      <c r="G1574">
        <v>4</v>
      </c>
      <c r="H1574" s="1">
        <v>6.3078703703703708E-3</v>
      </c>
      <c r="I1574" t="s">
        <v>23</v>
      </c>
      <c r="J1574" s="2" t="str">
        <f>HYPERLINK("https://www.nba.com/stats/events?CFID=&amp;CFPARAMS=&amp;GameEventID=484&amp;GameID=0022400659&amp;Season=2024-25&amp;flag=1&amp;title=Leonard%20driving%20Layup%20(17%20PTS)", "Driving Layup (17 PTS)")</f>
        <v>Driving Layup (17 PTS)</v>
      </c>
      <c r="K1574" s="2" t="str">
        <f>HYPERLINK("https://www.nba.com/game/...-vs-...-0022400659/play-by-play?watchFullGame=true", "LAC vs PHX - Q4 09:05.00")</f>
        <v>LAC vs PHX - Q4 09:05.00</v>
      </c>
      <c r="L1574">
        <v>1.42</v>
      </c>
      <c r="M1574">
        <v>7.05</v>
      </c>
      <c r="N1574">
        <v>50.74</v>
      </c>
      <c r="O1574">
        <v>-4</v>
      </c>
      <c r="P1574">
        <v>14</v>
      </c>
    </row>
    <row r="1575" spans="1:16" x14ac:dyDescent="0.25">
      <c r="A1575">
        <v>22200871</v>
      </c>
      <c r="B1575">
        <v>2022</v>
      </c>
      <c r="C1575" t="s">
        <v>32</v>
      </c>
      <c r="D1575" t="s">
        <v>48</v>
      </c>
      <c r="E1575">
        <v>94</v>
      </c>
      <c r="F1575">
        <v>89</v>
      </c>
      <c r="G1575">
        <v>3</v>
      </c>
      <c r="H1575" s="1">
        <v>2.3958333333333331E-3</v>
      </c>
      <c r="I1575" t="s">
        <v>23</v>
      </c>
      <c r="J1575" s="2" t="str">
        <f>HYPERLINK("https://www.nba.com/stats/events?CFID=&amp;CFPARAMS=&amp;GameEventID=435&amp;GameID=0022200871&amp;Season=2022-23&amp;flag=1&amp;title=Leonard%20driving%20DUNK%20(26%20PTS)", "Driving DUNK (26 PTS)")</f>
        <v>Driving DUNK (26 PTS)</v>
      </c>
      <c r="K1575" s="2" t="str">
        <f>HYPERLINK("https://www.nba.com/game/...-vs-...-0022200871/play-by-play?watchFullGame=true", "LAC vs GSW - Q3 03:27.00")</f>
        <v>LAC vs GSW - Q3 03:27.00</v>
      </c>
      <c r="L1575">
        <v>1.52</v>
      </c>
      <c r="M1575">
        <v>7.15</v>
      </c>
      <c r="N1575">
        <v>50.74</v>
      </c>
      <c r="O1575">
        <v>-4</v>
      </c>
      <c r="P1575">
        <v>15</v>
      </c>
    </row>
    <row r="1576" spans="1:16" x14ac:dyDescent="0.25">
      <c r="A1576">
        <v>22300917</v>
      </c>
      <c r="B1576">
        <v>2023</v>
      </c>
      <c r="C1576" t="s">
        <v>32</v>
      </c>
      <c r="D1576" t="s">
        <v>48</v>
      </c>
      <c r="E1576">
        <v>41</v>
      </c>
      <c r="F1576">
        <v>48</v>
      </c>
      <c r="G1576">
        <v>2</v>
      </c>
      <c r="H1576" s="1">
        <v>2.488425925925926E-3</v>
      </c>
      <c r="I1576" t="s">
        <v>23</v>
      </c>
      <c r="J1576" s="2" t="str">
        <f>HYPERLINK("https://www.nba.com/stats/events?CFID=&amp;CFPARAMS=&amp;GameEventID=275&amp;GameID=0022300917&amp;Season=2023-24&amp;flag=1&amp;title=Leonard%20driving%20DUNK%20(7%20PTS)%20(P.%20George%204%20AST)", "Driving DUNK (7 PTS) (P. George 4 AST)")</f>
        <v>Driving DUNK (7 PTS) (P. George 4 AST)</v>
      </c>
      <c r="K1576" s="2" t="str">
        <f>HYPERLINK("https://www.nba.com/game/...-vs-...-0022300917/play-by-play?watchFullGame=true", "LAC vs CHI - Q2 03:35.00")</f>
        <v>LAC vs CHI - Q2 03:35.00</v>
      </c>
      <c r="L1576">
        <v>1.52</v>
      </c>
      <c r="M1576">
        <v>7.15</v>
      </c>
      <c r="N1576">
        <v>50.74</v>
      </c>
      <c r="O1576">
        <v>-4</v>
      </c>
      <c r="P1576">
        <v>15</v>
      </c>
    </row>
    <row r="1577" spans="1:16" x14ac:dyDescent="0.25">
      <c r="A1577">
        <v>41500235</v>
      </c>
      <c r="B1577" t="s">
        <v>25</v>
      </c>
      <c r="C1577" t="s">
        <v>32</v>
      </c>
      <c r="D1577" t="s">
        <v>57</v>
      </c>
      <c r="E1577">
        <v>24</v>
      </c>
      <c r="F1577">
        <v>26</v>
      </c>
      <c r="G1577">
        <v>2</v>
      </c>
      <c r="H1577" s="1">
        <v>5.8449074074074072E-3</v>
      </c>
      <c r="I1577" t="s">
        <v>18</v>
      </c>
      <c r="J1577" s="2" t="str">
        <f>HYPERLINK("https://www.nba.com/stats/events?CFID=&amp;CFPARAMS=&amp;GameEventID=156&amp;GameID=0041500235&amp;Season=2015-16&amp;flag=1&amp;title=Leonard%202'%20Layup%20(8%20PTS)", "Leonard 2' Layup (8 PTS)")</f>
        <v>Leonard 2' Layup (8 PTS)</v>
      </c>
      <c r="K1577" s="2" t="str">
        <f>HYPERLINK("https://www.nba.com/game/...-vs-...-0041500235/play-by-play?watchFullGame=true", "SAS vs OKC - Q2 08:25.00")</f>
        <v>SAS vs OKC - Q2 08:25.00</v>
      </c>
      <c r="L1577">
        <v>2</v>
      </c>
      <c r="M1577">
        <v>-4</v>
      </c>
      <c r="N1577">
        <v>16</v>
      </c>
      <c r="O1577">
        <v>-4</v>
      </c>
      <c r="P1577">
        <v>16</v>
      </c>
    </row>
    <row r="1578" spans="1:16" x14ac:dyDescent="0.25">
      <c r="A1578">
        <v>21300170</v>
      </c>
      <c r="B1578">
        <v>2013</v>
      </c>
      <c r="C1578" t="s">
        <v>32</v>
      </c>
      <c r="D1578" t="s">
        <v>49</v>
      </c>
      <c r="E1578">
        <v>51</v>
      </c>
      <c r="F1578">
        <v>50</v>
      </c>
      <c r="G1578">
        <v>3</v>
      </c>
      <c r="H1578" s="1">
        <v>7.1643518518518514E-3</v>
      </c>
      <c r="I1578" t="s">
        <v>18</v>
      </c>
      <c r="J1578" s="2" t="str">
        <f>HYPERLINK("https://www.nba.com/stats/events?CFID=&amp;CFPARAMS=&amp;GameEventID=255&amp;GameID=0021300170&amp;Season=2013-14&amp;flag=1&amp;title=Leonard%202'%20Driving%20Layup%20(6%20PTS)", "Leonard 2' Driving Layup (6 PTS)")</f>
        <v>Leonard 2' Driving Layup (6 PTS)</v>
      </c>
      <c r="K1578" s="2" t="str">
        <f>HYPERLINK("https://www.nba.com/game/...-vs-...-0021300170/play-by-play?watchFullGame=true", "SAS vs BOS - Q3 10:19.00")</f>
        <v>SAS vs BOS - Q3 10:19.00</v>
      </c>
      <c r="L1578">
        <v>2</v>
      </c>
      <c r="M1578">
        <v>-4</v>
      </c>
      <c r="N1578">
        <v>17</v>
      </c>
      <c r="O1578">
        <v>-4</v>
      </c>
      <c r="P1578">
        <v>17</v>
      </c>
    </row>
    <row r="1579" spans="1:16" x14ac:dyDescent="0.25">
      <c r="A1579">
        <v>22201196</v>
      </c>
      <c r="B1579">
        <v>2022</v>
      </c>
      <c r="C1579" t="s">
        <v>32</v>
      </c>
      <c r="D1579" t="s">
        <v>48</v>
      </c>
      <c r="E1579">
        <v>12</v>
      </c>
      <c r="F1579">
        <v>3</v>
      </c>
      <c r="G1579">
        <v>1</v>
      </c>
      <c r="H1579" s="1">
        <v>6.1342592592592594E-3</v>
      </c>
      <c r="I1579" t="s">
        <v>23</v>
      </c>
      <c r="J1579" s="2" t="str">
        <f>HYPERLINK("https://www.nba.com/stats/events?CFID=&amp;CFPARAMS=&amp;GameEventID=37&amp;GameID=0022201196&amp;Season=2022-23&amp;flag=1&amp;title=Leonard%20running%20DUNK%20(4%20PTS)%20(E.%20Gordon%201%20AST)", "Running DUNK (4 PTS) (E. Gordon 1 AST)")</f>
        <v>Running DUNK (4 PTS) (E. Gordon 1 AST)</v>
      </c>
      <c r="K1579" s="2" t="str">
        <f>HYPERLINK("https://www.nba.com/game/...-vs-...-0022201196/play-by-play?watchFullGame=true", "LAC vs LAL - Q1 08:50.00")</f>
        <v>LAC vs LAL - Q1 08:50.00</v>
      </c>
      <c r="L1579">
        <v>2.02</v>
      </c>
      <c r="M1579">
        <v>92.3</v>
      </c>
      <c r="N1579">
        <v>49.26</v>
      </c>
      <c r="O1579">
        <v>-4</v>
      </c>
      <c r="P1579">
        <v>20</v>
      </c>
    </row>
    <row r="1580" spans="1:16" x14ac:dyDescent="0.25">
      <c r="A1580">
        <v>21900051</v>
      </c>
      <c r="B1580">
        <v>2019</v>
      </c>
      <c r="C1580" t="s">
        <v>32</v>
      </c>
      <c r="D1580" t="s">
        <v>50</v>
      </c>
      <c r="E1580">
        <v>62</v>
      </c>
      <c r="F1580">
        <v>54</v>
      </c>
      <c r="G1580">
        <v>3</v>
      </c>
      <c r="H1580" s="1">
        <v>7.5347222222222222E-3</v>
      </c>
      <c r="I1580" t="s">
        <v>23</v>
      </c>
      <c r="J1580" s="2" t="str">
        <f>HYPERLINK("https://www.nba.com/stats/events?CFID=&amp;CFPARAMS=&amp;GameEventID=363&amp;GameID=0021900051&amp;Season=2019-20&amp;flag=1&amp;title=[LAC]%20Leonard%20layup:%20Made%20(20%20PTS)", "[LAC] Leonard layup: Made (20 PTS)")</f>
        <v>[LAC] Leonard layup: Made (20 PTS)</v>
      </c>
      <c r="K1580" s="2" t="str">
        <f>HYPERLINK("https://www.nba.com/game/...-vs-...-0021900051/play-by-play?watchFullGame=true", "LAC vs CHA - Q3 10:51.00")</f>
        <v>LAC vs CHA - Q3 10:51.00</v>
      </c>
      <c r="L1580">
        <v>2.74</v>
      </c>
      <c r="M1580">
        <v>7.88</v>
      </c>
      <c r="N1580">
        <v>50.77</v>
      </c>
      <c r="O1580">
        <v>-4</v>
      </c>
      <c r="P1580">
        <v>22</v>
      </c>
    </row>
    <row r="1581" spans="1:16" x14ac:dyDescent="0.25">
      <c r="A1581">
        <v>22200970</v>
      </c>
      <c r="B1581">
        <v>2022</v>
      </c>
      <c r="C1581" t="s">
        <v>32</v>
      </c>
      <c r="D1581" t="s">
        <v>48</v>
      </c>
      <c r="E1581">
        <v>81</v>
      </c>
      <c r="F1581">
        <v>76</v>
      </c>
      <c r="G1581">
        <v>3</v>
      </c>
      <c r="H1581" s="1">
        <v>5.5671296296296293E-3</v>
      </c>
      <c r="I1581" t="s">
        <v>23</v>
      </c>
      <c r="J1581" s="2" t="str">
        <f>HYPERLINK("https://www.nba.com/stats/events?CFID=&amp;CFPARAMS=&amp;GameEventID=384&amp;GameID=0022200970&amp;Season=2022-23&amp;flag=1&amp;title=Leonard%20cutting%20DUNK%20(16%20PTS)%20(R.%20Westbrook%204%20AST)", "Cutting DUNK (16 PTS) (R. Westbrook 4 AST)")</f>
        <v>Cutting DUNK (16 PTS) (R. Westbrook 4 AST)</v>
      </c>
      <c r="K1581" s="2" t="str">
        <f>HYPERLINK("https://www.nba.com/game/...-vs-...-0022200970/play-by-play?watchFullGame=true", "LAC vs MEM - Q3 08:01.00")</f>
        <v>LAC vs MEM - Q3 08:01.00</v>
      </c>
      <c r="L1581">
        <v>2.27</v>
      </c>
      <c r="M1581">
        <v>92.03</v>
      </c>
      <c r="N1581">
        <v>49.26</v>
      </c>
      <c r="O1581">
        <v>-4</v>
      </c>
      <c r="P1581">
        <v>22</v>
      </c>
    </row>
    <row r="1582" spans="1:16" x14ac:dyDescent="0.25">
      <c r="A1582">
        <v>41800113</v>
      </c>
      <c r="B1582" t="s">
        <v>20</v>
      </c>
      <c r="C1582" t="s">
        <v>32</v>
      </c>
      <c r="D1582" t="s">
        <v>56</v>
      </c>
      <c r="E1582">
        <v>85</v>
      </c>
      <c r="F1582">
        <v>94</v>
      </c>
      <c r="G1582">
        <v>4</v>
      </c>
      <c r="H1582" s="1">
        <v>2.2337962962962962E-3</v>
      </c>
      <c r="I1582" t="s">
        <v>21</v>
      </c>
      <c r="J1582" s="2" t="str">
        <f>HYPERLINK("https://www.nba.com/stats/events?CFID=&amp;CFPARAMS=&amp;GameEventID=586&amp;GameID=0041800113&amp;Season=2018-19&amp;flag=1&amp;title=Leonard%202'%20Running%20Layup%20(14%20PTS)", "Leonard 2' Running Layup (14 PTS)")</f>
        <v>Leonard 2' Running Layup (14 PTS)</v>
      </c>
      <c r="K1582" s="2" t="str">
        <f>HYPERLINK("https://www.nba.com/game/...-vs-...-0041800113/play-by-play?watchFullGame=true", "TOR vs ORL - Q4 03:13.00")</f>
        <v>TOR vs ORL - Q4 03:13.00</v>
      </c>
      <c r="L1582">
        <v>2</v>
      </c>
      <c r="M1582">
        <v>-4</v>
      </c>
      <c r="N1582">
        <v>22</v>
      </c>
      <c r="O1582">
        <v>-4</v>
      </c>
      <c r="P1582">
        <v>22</v>
      </c>
    </row>
    <row r="1583" spans="1:16" x14ac:dyDescent="0.25">
      <c r="A1583">
        <v>22000077</v>
      </c>
      <c r="B1583">
        <v>2020</v>
      </c>
      <c r="C1583" t="s">
        <v>32</v>
      </c>
      <c r="D1583" t="s">
        <v>47</v>
      </c>
      <c r="E1583">
        <v>0</v>
      </c>
      <c r="F1583">
        <v>2</v>
      </c>
      <c r="G1583">
        <v>1</v>
      </c>
      <c r="H1583" s="1">
        <v>8.0902777777777778E-3</v>
      </c>
      <c r="I1583" t="s">
        <v>23</v>
      </c>
      <c r="J1583" s="2" t="str">
        <f>HYPERLINK("https://www.nba.com/stats/events?CFID=&amp;CFPARAMS=&amp;GameEventID=7&amp;GameID=0022000077&amp;Season=2020-21&amp;flag=1&amp;title=Leonard%20Layup%20(2%20PTS)", "Layup (2 PTS)")</f>
        <v>Layup (2 PTS)</v>
      </c>
      <c r="K1583" s="2" t="str">
        <f>HYPERLINK("https://www.nba.com/game/...-vs-...-0022000077/play-by-play?watchFullGame=true", "LAC vs UTA - Q1 11:39.00")</f>
        <v>LAC vs UTA - Q1 11:39.00</v>
      </c>
      <c r="L1583">
        <v>2.2799999999999998</v>
      </c>
      <c r="M1583">
        <v>7.97</v>
      </c>
      <c r="N1583">
        <v>50.8</v>
      </c>
      <c r="O1583">
        <v>-4</v>
      </c>
      <c r="P1583">
        <v>22</v>
      </c>
    </row>
    <row r="1584" spans="1:16" x14ac:dyDescent="0.25">
      <c r="A1584">
        <v>22000576</v>
      </c>
      <c r="B1584">
        <v>2020</v>
      </c>
      <c r="C1584" t="s">
        <v>32</v>
      </c>
      <c r="D1584" t="s">
        <v>47</v>
      </c>
      <c r="E1584">
        <v>77</v>
      </c>
      <c r="F1584">
        <v>55</v>
      </c>
      <c r="G1584">
        <v>3</v>
      </c>
      <c r="H1584" s="1">
        <v>4.8032407407407407E-3</v>
      </c>
      <c r="I1584" t="s">
        <v>23</v>
      </c>
      <c r="J1584" s="2" t="str">
        <f>HYPERLINK("https://www.nba.com/stats/events?CFID=&amp;CFPARAMS=&amp;GameEventID=419&amp;GameID=0022000576&amp;Season=2020-21&amp;flag=1&amp;title=Leonard%20driving%20Layup%20(22%20PTS)", "Driving Layup (22 PTS)")</f>
        <v>Driving Layup (22 PTS)</v>
      </c>
      <c r="K1584" s="2" t="str">
        <f>HYPERLINK("https://www.nba.com/game/...-vs-...-0022000576/play-by-play?watchFullGame=true", "LAC vs GSW - Q3 06:55.00")</f>
        <v>LAC vs GSW - Q3 06:55.00</v>
      </c>
      <c r="L1584">
        <v>2.52</v>
      </c>
      <c r="M1584">
        <v>8.23</v>
      </c>
      <c r="N1584">
        <v>50.8</v>
      </c>
      <c r="O1584">
        <v>-4</v>
      </c>
      <c r="P1584">
        <v>25</v>
      </c>
    </row>
    <row r="1585" spans="1:16" x14ac:dyDescent="0.25">
      <c r="A1585">
        <v>22300085</v>
      </c>
      <c r="B1585">
        <v>2023</v>
      </c>
      <c r="C1585" t="s">
        <v>32</v>
      </c>
      <c r="D1585" t="s">
        <v>47</v>
      </c>
      <c r="E1585">
        <v>67</v>
      </c>
      <c r="F1585">
        <v>60</v>
      </c>
      <c r="G1585">
        <v>3</v>
      </c>
      <c r="H1585" s="1">
        <v>7.1180555555555554E-3</v>
      </c>
      <c r="I1585" t="s">
        <v>23</v>
      </c>
      <c r="J1585" s="2" t="str">
        <f>HYPERLINK("https://www.nba.com/stats/events?CFID=&amp;CFPARAMS=&amp;GameEventID=342&amp;GameID=0022300085&amp;Season=2023-24&amp;flag=1&amp;title=Leonard%20running%20Layup%20(16%20PTS)", "Running Layup (16 PTS)")</f>
        <v>Running Layup (16 PTS)</v>
      </c>
      <c r="K1585" s="2" t="str">
        <f>HYPERLINK("https://www.nba.com/game/...-vs-...-0022300085/play-by-play?watchFullGame=true", "LAC vs UTA - Q3 10:15.00")</f>
        <v>LAC vs UTA - Q3 10:15.00</v>
      </c>
      <c r="L1585">
        <v>3</v>
      </c>
      <c r="M1585">
        <v>8.75</v>
      </c>
      <c r="N1585">
        <v>50.74</v>
      </c>
      <c r="O1585">
        <v>-4</v>
      </c>
      <c r="P1585">
        <v>30</v>
      </c>
    </row>
    <row r="1586" spans="1:16" x14ac:dyDescent="0.25">
      <c r="A1586">
        <v>41200154</v>
      </c>
      <c r="B1586" t="s">
        <v>27</v>
      </c>
      <c r="C1586" t="s">
        <v>32</v>
      </c>
      <c r="D1586" t="s">
        <v>57</v>
      </c>
      <c r="E1586">
        <v>74</v>
      </c>
      <c r="F1586">
        <v>93</v>
      </c>
      <c r="G1586">
        <v>4</v>
      </c>
      <c r="H1586" s="1">
        <v>4.43287037037037E-3</v>
      </c>
      <c r="I1586" t="s">
        <v>18</v>
      </c>
      <c r="J1586" s="2" t="str">
        <f>HYPERLINK("https://www.nba.com/stats/events?CFID=&amp;CFPARAMS=&amp;GameEventID=431&amp;GameID=0041200154&amp;Season=2012-13&amp;flag=1&amp;title=Leonard%203'%20Layup%20(11%20PTS)", "Leonard 3' Layup (11 PTS)")</f>
        <v>Leonard 3' Layup (11 PTS)</v>
      </c>
      <c r="K1586" s="2" t="str">
        <f>HYPERLINK("https://www.nba.com/game/...-vs-...-0041200154/play-by-play?watchFullGame=true", "SAS vs LAL - Q4 06:23.00")</f>
        <v>SAS vs LAL - Q4 06:23.00</v>
      </c>
      <c r="L1586">
        <v>3</v>
      </c>
      <c r="M1586">
        <v>-4</v>
      </c>
      <c r="N1586">
        <v>31</v>
      </c>
      <c r="O1586">
        <v>-4</v>
      </c>
      <c r="P1586">
        <v>31</v>
      </c>
    </row>
    <row r="1587" spans="1:16" x14ac:dyDescent="0.25">
      <c r="A1587">
        <v>22201069</v>
      </c>
      <c r="B1587">
        <v>2022</v>
      </c>
      <c r="C1587" t="s">
        <v>32</v>
      </c>
      <c r="D1587" t="s">
        <v>47</v>
      </c>
      <c r="E1587">
        <v>15</v>
      </c>
      <c r="F1587">
        <v>24</v>
      </c>
      <c r="G1587">
        <v>1</v>
      </c>
      <c r="H1587" s="1">
        <v>3.2754629629629631E-3</v>
      </c>
      <c r="I1587" t="s">
        <v>23</v>
      </c>
      <c r="J1587" s="2" t="str">
        <f>HYPERLINK("https://www.nba.com/stats/events?CFID=&amp;CFPARAMS=&amp;GameEventID=83&amp;GameID=0022201069&amp;Season=2022-23&amp;flag=1&amp;title=Leonard%20driving%20Layup%20(8%20PTS)", "Driving Layup (8 PTS)")</f>
        <v>Driving Layup (8 PTS)</v>
      </c>
      <c r="K1587" s="2" t="str">
        <f>HYPERLINK("https://www.nba.com/game/...-vs-...-0022201069/play-by-play?watchFullGame=true", "LAC vs POR - Q1 04:43.00")</f>
        <v>LAC vs POR - Q1 04:43.00</v>
      </c>
      <c r="L1587">
        <v>3.46</v>
      </c>
      <c r="M1587">
        <v>90.75</v>
      </c>
      <c r="N1587">
        <v>49.26</v>
      </c>
      <c r="O1587">
        <v>-4</v>
      </c>
      <c r="P1587">
        <v>34</v>
      </c>
    </row>
    <row r="1588" spans="1:16" x14ac:dyDescent="0.25">
      <c r="A1588">
        <v>22300052</v>
      </c>
      <c r="B1588">
        <v>2023</v>
      </c>
      <c r="C1588" t="s">
        <v>32</v>
      </c>
      <c r="D1588" t="s">
        <v>48</v>
      </c>
      <c r="E1588">
        <v>52</v>
      </c>
      <c r="F1588">
        <v>56</v>
      </c>
      <c r="G1588">
        <v>2</v>
      </c>
      <c r="H1588" s="1">
        <v>5.6365740740740747E-4</v>
      </c>
      <c r="I1588" t="s">
        <v>23</v>
      </c>
      <c r="J1588" s="2" t="str">
        <f>HYPERLINK("https://www.nba.com/stats/events?CFID=&amp;CFPARAMS=&amp;GameEventID=305&amp;GameID=0022300052&amp;Season=2023-24&amp;flag=1&amp;title=Leonard%20driving%20DUNK%20(12%20PTS)", "Driving DUNK (12 PTS)")</f>
        <v>Driving DUNK (12 PTS)</v>
      </c>
      <c r="K1588" s="2" t="str">
        <f>HYPERLINK("https://www.nba.com/game/...-vs-...-0022300052/play-by-play?watchFullGame=true", "LAC vs NOP - Q2 00:48.70")</f>
        <v>LAC vs NOP - Q2 00:48.70</v>
      </c>
      <c r="L1588">
        <v>3.83</v>
      </c>
      <c r="M1588">
        <v>9.64</v>
      </c>
      <c r="N1588">
        <v>50.74</v>
      </c>
      <c r="O1588">
        <v>-4</v>
      </c>
      <c r="P1588">
        <v>38</v>
      </c>
    </row>
    <row r="1589" spans="1:16" x14ac:dyDescent="0.25">
      <c r="A1589">
        <v>22001034</v>
      </c>
      <c r="B1589">
        <v>2020</v>
      </c>
      <c r="C1589" t="s">
        <v>32</v>
      </c>
      <c r="D1589" t="s">
        <v>44</v>
      </c>
      <c r="E1589">
        <v>37</v>
      </c>
      <c r="F1589">
        <v>50</v>
      </c>
      <c r="G1589">
        <v>2</v>
      </c>
      <c r="H1589" s="1">
        <v>3.1134259259259257E-3</v>
      </c>
      <c r="I1589" t="s">
        <v>23</v>
      </c>
      <c r="J1589" s="2" t="str">
        <f>HYPERLINK("https://www.nba.com/stats/events?CFID=&amp;CFPARAMS=&amp;GameEventID=269&amp;GameID=0022001034&amp;Season=2020-21&amp;flag=1&amp;title=Leonard%20Hook%20(11%20PTS)%20(T.%20Mann%201%20AST)", "Hook (11 PTS) (T. Mann 1 AST)")</f>
        <v>Hook (11 PTS) (T. Mann 1 AST)</v>
      </c>
      <c r="K1589" s="2" t="str">
        <f>HYPERLINK("https://www.nba.com/game/...-vs-...-0022001034/play-by-play?watchFullGame=true", "LAC vs TOR - Q2 04:29.00")</f>
        <v>LAC vs TOR - Q2 04:29.00</v>
      </c>
      <c r="L1589">
        <v>4.3600000000000003</v>
      </c>
      <c r="M1589">
        <v>10.199999999999999</v>
      </c>
      <c r="N1589">
        <v>50.8</v>
      </c>
      <c r="O1589">
        <v>-4</v>
      </c>
      <c r="P1589">
        <v>43</v>
      </c>
    </row>
    <row r="1590" spans="1:16" x14ac:dyDescent="0.25">
      <c r="A1590">
        <v>21500048</v>
      </c>
      <c r="B1590">
        <v>2015</v>
      </c>
      <c r="C1590" t="s">
        <v>32</v>
      </c>
      <c r="D1590" t="s">
        <v>40</v>
      </c>
      <c r="E1590">
        <v>29</v>
      </c>
      <c r="F1590">
        <v>31</v>
      </c>
      <c r="G1590">
        <v>2</v>
      </c>
      <c r="H1590" s="1">
        <v>4.8726851851851848E-3</v>
      </c>
      <c r="I1590" t="s">
        <v>18</v>
      </c>
      <c r="J1590" s="2" t="str">
        <f>HYPERLINK("https://www.nba.com/stats/events?CFID=&amp;CFPARAMS=&amp;GameEventID=169&amp;GameID=0021500048&amp;Season=2015-16&amp;flag=1&amp;title=Leonard%205'%20Hook%20Shot%20(7%20PTS)", "Leonard 5' Hook Shot (7 PTS)")</f>
        <v>Leonard 5' Hook Shot (7 PTS)</v>
      </c>
      <c r="K1590" s="2" t="str">
        <f>HYPERLINK("https://www.nba.com/game/...-vs-...-0021500048/play-by-play?watchFullGame=true", "SAS vs NYK - Q2 07:01.00")</f>
        <v>SAS vs NYK - Q2 07:01.00</v>
      </c>
      <c r="L1590">
        <v>5</v>
      </c>
      <c r="M1590">
        <v>-4</v>
      </c>
      <c r="N1590">
        <v>47</v>
      </c>
      <c r="O1590">
        <v>-4</v>
      </c>
      <c r="P1590">
        <v>47</v>
      </c>
    </row>
    <row r="1591" spans="1:16" x14ac:dyDescent="0.25">
      <c r="A1591">
        <v>41200402</v>
      </c>
      <c r="B1591" t="s">
        <v>27</v>
      </c>
      <c r="C1591" t="s">
        <v>32</v>
      </c>
      <c r="D1591" t="s">
        <v>19</v>
      </c>
      <c r="E1591">
        <v>56</v>
      </c>
      <c r="F1591">
        <v>58</v>
      </c>
      <c r="G1591">
        <v>3</v>
      </c>
      <c r="H1591" s="1">
        <v>4.0972222222222226E-3</v>
      </c>
      <c r="I1591" t="s">
        <v>18</v>
      </c>
      <c r="J1591" s="2" t="str">
        <f>HYPERLINK("https://www.nba.com/stats/events?CFID=&amp;CFPARAMS=&amp;GameEventID=282&amp;GameID=0041200402&amp;Season=2012-13&amp;flag=1&amp;title=Leonard%205'%20Jump%20Shot%20(9%20PTS)%20(Splitter%201%20AST)", "Leonard 5' Jump Shot (9 PTS) (Splitter 1 AST)")</f>
        <v>Leonard 5' Jump Shot (9 PTS) (Splitter 1 AST)</v>
      </c>
      <c r="K1591" s="2" t="str">
        <f>HYPERLINK("https://www.nba.com/game/...-vs-...-0041200402/play-by-play?watchFullGame=true", "SAS vs MIA - Q3 05:54.00")</f>
        <v>SAS vs MIA - Q3 05:54.00</v>
      </c>
      <c r="L1591">
        <v>5</v>
      </c>
      <c r="M1591">
        <v>-4</v>
      </c>
      <c r="N1591">
        <v>47</v>
      </c>
      <c r="O1591">
        <v>-4</v>
      </c>
      <c r="P1591">
        <v>47</v>
      </c>
    </row>
    <row r="1592" spans="1:16" x14ac:dyDescent="0.25">
      <c r="A1592">
        <v>21600425</v>
      </c>
      <c r="B1592">
        <v>2016</v>
      </c>
      <c r="C1592" t="s">
        <v>32</v>
      </c>
      <c r="D1592" t="s">
        <v>19</v>
      </c>
      <c r="E1592">
        <v>8</v>
      </c>
      <c r="F1592">
        <v>8</v>
      </c>
      <c r="G1592">
        <v>1</v>
      </c>
      <c r="H1592" s="1">
        <v>5.1273148148148146E-3</v>
      </c>
      <c r="I1592" t="s">
        <v>18</v>
      </c>
      <c r="J1592" s="2" t="str">
        <f>HYPERLINK("https://www.nba.com/stats/events?CFID=&amp;CFPARAMS=&amp;GameEventID=37&amp;GameID=0021600425&amp;Season=2016-17&amp;flag=1&amp;title=Leonard%206'%20Jump%20Shot%20(2%20PTS)", "Leonard 6' Jump Shot (2 PTS)")</f>
        <v>Leonard 6' Jump Shot (2 PTS)</v>
      </c>
      <c r="K1592" s="2" t="str">
        <f>HYPERLINK("https://www.nba.com/game/...-vs-...-0021600425/play-by-play?watchFullGame=true", "SAS vs HOU - Q1 07:23.00")</f>
        <v>SAS vs HOU - Q1 07:23.00</v>
      </c>
      <c r="L1592">
        <v>6</v>
      </c>
      <c r="M1592">
        <v>-4</v>
      </c>
      <c r="N1592">
        <v>56</v>
      </c>
      <c r="O1592">
        <v>-4</v>
      </c>
      <c r="P1592">
        <v>56</v>
      </c>
    </row>
    <row r="1593" spans="1:16" x14ac:dyDescent="0.25">
      <c r="A1593">
        <v>41300312</v>
      </c>
      <c r="B1593" t="s">
        <v>26</v>
      </c>
      <c r="C1593" t="s">
        <v>32</v>
      </c>
      <c r="D1593" t="s">
        <v>19</v>
      </c>
      <c r="E1593">
        <v>2</v>
      </c>
      <c r="F1593">
        <v>5</v>
      </c>
      <c r="G1593">
        <v>1</v>
      </c>
      <c r="H1593" s="1">
        <v>7.2800925925925923E-3</v>
      </c>
      <c r="I1593" t="s">
        <v>18</v>
      </c>
      <c r="J1593" s="2" t="str">
        <f>HYPERLINK("https://www.nba.com/stats/events?CFID=&amp;CFPARAMS=&amp;GameEventID=11&amp;GameID=0041300312&amp;Season=2013-14&amp;flag=1&amp;title=Leonard%207'%20Jump%20Shot%20(2%20PTS)", "Leonard 7' Jump Shot (2 PTS)")</f>
        <v>Leonard 7' Jump Shot (2 PTS)</v>
      </c>
      <c r="K1593" s="2" t="str">
        <f>HYPERLINK("https://www.nba.com/game/...-vs-...-0041300312/play-by-play?watchFullGame=true", "SAS vs OKC - Q1 10:29.00")</f>
        <v>SAS vs OKC - Q1 10:29.00</v>
      </c>
      <c r="L1593">
        <v>7</v>
      </c>
      <c r="M1593">
        <v>-4</v>
      </c>
      <c r="N1593">
        <v>74</v>
      </c>
      <c r="O1593">
        <v>-4</v>
      </c>
      <c r="P1593">
        <v>74</v>
      </c>
    </row>
    <row r="1594" spans="1:16" x14ac:dyDescent="0.25">
      <c r="A1594">
        <v>21500393</v>
      </c>
      <c r="B1594">
        <v>2015</v>
      </c>
      <c r="C1594" t="s">
        <v>32</v>
      </c>
      <c r="D1594" t="s">
        <v>43</v>
      </c>
      <c r="E1594">
        <v>52</v>
      </c>
      <c r="F1594">
        <v>53</v>
      </c>
      <c r="G1594">
        <v>2</v>
      </c>
      <c r="H1594" s="1">
        <v>5.6481481481481476E-4</v>
      </c>
      <c r="I1594" t="s">
        <v>18</v>
      </c>
      <c r="J1594" s="2" t="str">
        <f>HYPERLINK("https://www.nba.com/stats/events?CFID=&amp;CFPARAMS=&amp;GameEventID=205&amp;GameID=0021500393&amp;Season=2015-16&amp;flag=1&amp;title=Leonard%208'%20Turnaround%20Hook%20Shot%20(10%20PTS)", "Leonard 8' Turnaround Hook Shot (10 PTS)")</f>
        <v>Leonard 8' Turnaround Hook Shot (10 PTS)</v>
      </c>
      <c r="K1594" s="2" t="str">
        <f>HYPERLINK("https://www.nba.com/game/...-vs-...-0021500393/play-by-play?watchFullGame=true", "SAS vs LAC - Q2 00:48.80")</f>
        <v>SAS vs LAC - Q2 00:48.80</v>
      </c>
      <c r="L1594">
        <v>8</v>
      </c>
      <c r="M1594">
        <v>-4</v>
      </c>
      <c r="N1594">
        <v>77</v>
      </c>
      <c r="O1594">
        <v>-4</v>
      </c>
      <c r="P1594">
        <v>77</v>
      </c>
    </row>
    <row r="1595" spans="1:16" x14ac:dyDescent="0.25">
      <c r="A1595">
        <v>41600155</v>
      </c>
      <c r="B1595" t="s">
        <v>30</v>
      </c>
      <c r="C1595" t="s">
        <v>32</v>
      </c>
      <c r="D1595" t="s">
        <v>29</v>
      </c>
      <c r="E1595">
        <v>102</v>
      </c>
      <c r="F1595">
        <v>95</v>
      </c>
      <c r="G1595">
        <v>4</v>
      </c>
      <c r="H1595" s="1">
        <v>3.7037037037037038E-3</v>
      </c>
      <c r="I1595" t="s">
        <v>18</v>
      </c>
      <c r="J1595" s="2" t="str">
        <f>HYPERLINK("https://www.nba.com/stats/events?CFID=&amp;CFPARAMS=&amp;GameEventID=409&amp;GameID=0041600155&amp;Season=2016-17&amp;flag=1&amp;title=Leonard%209'%20Pullup%20Jump%20Shot%20(24%20PTS)%20(Mills%201%20AST)", "Leonard 9' Pullup Jump Shot (24 PTS) (Mills 1 AST)")</f>
        <v>Leonard 9' Pullup Jump Shot (24 PTS) (Mills 1 AST)</v>
      </c>
      <c r="K1595" s="2" t="str">
        <f>HYPERLINK("https://www.nba.com/game/...-vs-...-0041600155/play-by-play?watchFullGame=true", "SAS vs MEM - Q4 05:20.00")</f>
        <v>SAS vs MEM - Q4 05:20.00</v>
      </c>
      <c r="L1595">
        <v>9</v>
      </c>
      <c r="M1595">
        <v>-4</v>
      </c>
      <c r="N1595">
        <v>85</v>
      </c>
      <c r="O1595">
        <v>-4</v>
      </c>
      <c r="P1595">
        <v>85</v>
      </c>
    </row>
    <row r="1596" spans="1:16" x14ac:dyDescent="0.25">
      <c r="A1596">
        <v>21500416</v>
      </c>
      <c r="B1596">
        <v>2015</v>
      </c>
      <c r="C1596" t="s">
        <v>32</v>
      </c>
      <c r="D1596" t="s">
        <v>19</v>
      </c>
      <c r="E1596">
        <v>48</v>
      </c>
      <c r="F1596">
        <v>46</v>
      </c>
      <c r="G1596">
        <v>2</v>
      </c>
      <c r="H1596" s="1">
        <v>1.1805555555555556E-3</v>
      </c>
      <c r="I1596" t="s">
        <v>18</v>
      </c>
      <c r="J1596" s="2" t="str">
        <f>HYPERLINK("https://www.nba.com/stats/events?CFID=&amp;CFPARAMS=&amp;GameEventID=215&amp;GameID=0021500416&amp;Season=2015-16&amp;flag=1&amp;title=Leonard%2011'%20Jump%20Shot%20(10%20PTS)", "Leonard 11' Jump Shot (10 PTS)")</f>
        <v>Leonard 11' Jump Shot (10 PTS)</v>
      </c>
      <c r="K1596" s="2" t="str">
        <f>HYPERLINK("https://www.nba.com/game/...-vs-...-0021500416/play-by-play?watchFullGame=true", "SAS vs IND - Q2 01:42.00")</f>
        <v>SAS vs IND - Q2 01:42.00</v>
      </c>
      <c r="L1596">
        <v>11</v>
      </c>
      <c r="M1596">
        <v>-4</v>
      </c>
      <c r="N1596">
        <v>106</v>
      </c>
      <c r="O1596">
        <v>-4</v>
      </c>
      <c r="P1596">
        <v>106</v>
      </c>
    </row>
    <row r="1597" spans="1:16" x14ac:dyDescent="0.25">
      <c r="A1597">
        <v>21900239</v>
      </c>
      <c r="B1597">
        <v>2019</v>
      </c>
      <c r="C1597" t="s">
        <v>32</v>
      </c>
      <c r="D1597" t="s">
        <v>22</v>
      </c>
      <c r="E1597">
        <v>6</v>
      </c>
      <c r="F1597">
        <v>2</v>
      </c>
      <c r="G1597">
        <v>1</v>
      </c>
      <c r="H1597" s="1">
        <v>7.0254629629629634E-3</v>
      </c>
      <c r="I1597" t="s">
        <v>23</v>
      </c>
      <c r="J1597" s="2" t="str">
        <f>HYPERLINK("https://www.nba.com/stats/events?CFID=&amp;CFPARAMS=&amp;GameEventID=24&amp;GameID=0021900239&amp;Season=2019-20&amp;flag=1&amp;title=Leonard%2011'%20jumpshot%20(2%20PTS)", "11' jumpshot (2 PTS)")</f>
        <v>11' jumpshot (2 PTS)</v>
      </c>
      <c r="K1597" s="2" t="str">
        <f>HYPERLINK("https://www.nba.com/game/...-vs-...-0021900239/play-by-play?watchFullGame=true", "LAC vs NOP - Q1 10:07.00")</f>
        <v>LAC vs NOP - Q1 10:07.00</v>
      </c>
      <c r="L1597">
        <v>11.32</v>
      </c>
      <c r="M1597">
        <v>82.97</v>
      </c>
      <c r="N1597">
        <v>49.2</v>
      </c>
      <c r="O1597">
        <v>-4</v>
      </c>
      <c r="P1597">
        <v>108</v>
      </c>
    </row>
    <row r="1598" spans="1:16" x14ac:dyDescent="0.25">
      <c r="A1598">
        <v>22300343</v>
      </c>
      <c r="B1598">
        <v>2023</v>
      </c>
      <c r="C1598" t="s">
        <v>32</v>
      </c>
      <c r="D1598" t="s">
        <v>19</v>
      </c>
      <c r="E1598">
        <v>89</v>
      </c>
      <c r="F1598">
        <v>73</v>
      </c>
      <c r="G1598">
        <v>3</v>
      </c>
      <c r="H1598" s="1">
        <v>5.7523148148148151E-3</v>
      </c>
      <c r="I1598" t="s">
        <v>23</v>
      </c>
      <c r="J1598" s="2" t="str">
        <f>HYPERLINK("https://www.nba.com/stats/events?CFID=&amp;CFPARAMS=&amp;GameEventID=408&amp;GameID=0022300343&amp;Season=2023-24&amp;flag=1&amp;title=Leonard%2011'%20fadeaway%20Jump%20Shot%20(28%20PTS)", "11' fadeaway Jump Shot (28 PTS)")</f>
        <v>11' fadeaway Jump Shot (28 PTS)</v>
      </c>
      <c r="K1598" s="2" t="str">
        <f>HYPERLINK("https://www.nba.com/game/...-vs-...-0022300343/play-by-play?watchFullGame=true", "LAC vs NYK - Q3 08:17.00")</f>
        <v>LAC vs NYK - Q3 08:17.00</v>
      </c>
      <c r="L1598">
        <v>11.48</v>
      </c>
      <c r="M1598">
        <v>17.79</v>
      </c>
      <c r="N1598">
        <v>50.74</v>
      </c>
      <c r="O1598">
        <v>-4</v>
      </c>
      <c r="P1598">
        <v>115</v>
      </c>
    </row>
    <row r="1599" spans="1:16" x14ac:dyDescent="0.25">
      <c r="A1599">
        <v>22200649</v>
      </c>
      <c r="B1599">
        <v>2022</v>
      </c>
      <c r="C1599" t="s">
        <v>32</v>
      </c>
      <c r="D1599" t="s">
        <v>19</v>
      </c>
      <c r="E1599">
        <v>25</v>
      </c>
      <c r="F1599">
        <v>27</v>
      </c>
      <c r="G1599">
        <v>1</v>
      </c>
      <c r="H1599" s="1">
        <v>1.5856481481481481E-3</v>
      </c>
      <c r="I1599" t="s">
        <v>23</v>
      </c>
      <c r="J1599" s="2" t="str">
        <f>HYPERLINK("https://www.nba.com/stats/events?CFID=&amp;CFPARAMS=&amp;GameEventID=101&amp;GameID=0022200649&amp;Season=2022-23&amp;flag=1&amp;title=Leonard%2013'%20Jump%20Shot%20(10%20PTS)", "13' Jump Shot (10 PTS)")</f>
        <v>13' Jump Shot (10 PTS)</v>
      </c>
      <c r="K1599" s="2" t="str">
        <f>HYPERLINK("https://www.nba.com/game/...-vs-...-0022200649/play-by-play?watchFullGame=true", "LAC vs HOU - Q1 02:17.00")</f>
        <v>LAC vs HOU - Q1 02:17.00</v>
      </c>
      <c r="L1599">
        <v>13.37</v>
      </c>
      <c r="M1599">
        <v>80.209999999999994</v>
      </c>
      <c r="N1599">
        <v>49.26</v>
      </c>
      <c r="O1599">
        <v>-4</v>
      </c>
      <c r="P1599">
        <v>134</v>
      </c>
    </row>
    <row r="1600" spans="1:16" x14ac:dyDescent="0.25">
      <c r="A1600">
        <v>22201096</v>
      </c>
      <c r="B1600">
        <v>2022</v>
      </c>
      <c r="C1600" t="s">
        <v>32</v>
      </c>
      <c r="D1600" t="s">
        <v>19</v>
      </c>
      <c r="E1600">
        <v>22</v>
      </c>
      <c r="F1600">
        <v>22</v>
      </c>
      <c r="G1600">
        <v>1</v>
      </c>
      <c r="H1600" s="1">
        <v>2.3032407407407407E-3</v>
      </c>
      <c r="I1600" t="s">
        <v>23</v>
      </c>
      <c r="J1600" s="2" t="str">
        <f>HYPERLINK("https://www.nba.com/stats/events?CFID=&amp;CFPARAMS=&amp;GameEventID=99&amp;GameID=0022201096&amp;Season=2022-23&amp;flag=1&amp;title=Leonard%2014'%20Jump%20Shot%20(8%20PTS)", "14' Jump Shot (8 PTS)")</f>
        <v>14' Jump Shot (8 PTS)</v>
      </c>
      <c r="K1600" s="2" t="str">
        <f>HYPERLINK("https://www.nba.com/game/...-vs-...-0022201096/play-by-play?watchFullGame=true", "LAC vs OKC - Q1 03:19.00")</f>
        <v>LAC vs OKC - Q1 03:19.00</v>
      </c>
      <c r="L1600">
        <v>14.71</v>
      </c>
      <c r="M1600">
        <v>78.760000000000005</v>
      </c>
      <c r="N1600">
        <v>49.26</v>
      </c>
      <c r="O1600">
        <v>-4</v>
      </c>
      <c r="P1600">
        <v>147</v>
      </c>
    </row>
    <row r="1601" spans="1:16" x14ac:dyDescent="0.25">
      <c r="A1601">
        <v>22201112</v>
      </c>
      <c r="B1601">
        <v>2022</v>
      </c>
      <c r="C1601" t="s">
        <v>32</v>
      </c>
      <c r="D1601" t="s">
        <v>19</v>
      </c>
      <c r="E1601">
        <v>65</v>
      </c>
      <c r="F1601">
        <v>81</v>
      </c>
      <c r="G1601">
        <v>3</v>
      </c>
      <c r="H1601" s="1">
        <v>5.2430555555555555E-3</v>
      </c>
      <c r="I1601" t="s">
        <v>23</v>
      </c>
      <c r="J1601" s="2" t="str">
        <f>HYPERLINK("https://www.nba.com/stats/events?CFID=&amp;CFPARAMS=&amp;GameEventID=367&amp;GameID=0022201112&amp;Season=2022-23&amp;flag=1&amp;title=Leonard%2015'%20pullup%20Jump%20Shot%20(12%20PTS)", "15' pullup Jump Shot (12 PTS)")</f>
        <v>15' pullup Jump Shot (12 PTS)</v>
      </c>
      <c r="K1601" s="2" t="str">
        <f>HYPERLINK("https://www.nba.com/game/...-vs-...-0022201112/play-by-play?watchFullGame=true", "LAC vs NOP - Q3 07:33.00")</f>
        <v>LAC vs NOP - Q3 07:33.00</v>
      </c>
      <c r="L1601">
        <v>15.58</v>
      </c>
      <c r="M1601">
        <v>77.84</v>
      </c>
      <c r="N1601">
        <v>49.26</v>
      </c>
      <c r="O1601">
        <v>-4</v>
      </c>
      <c r="P1601">
        <v>156</v>
      </c>
    </row>
    <row r="1602" spans="1:16" x14ac:dyDescent="0.25">
      <c r="A1602">
        <v>22200829</v>
      </c>
      <c r="B1602">
        <v>2022</v>
      </c>
      <c r="C1602" t="s">
        <v>32</v>
      </c>
      <c r="D1602" t="s">
        <v>19</v>
      </c>
      <c r="E1602">
        <v>76</v>
      </c>
      <c r="F1602">
        <v>77</v>
      </c>
      <c r="G1602">
        <v>3</v>
      </c>
      <c r="H1602" s="1">
        <v>2.2453703703703702E-3</v>
      </c>
      <c r="I1602" t="s">
        <v>23</v>
      </c>
      <c r="J1602" s="2" t="str">
        <f>HYPERLINK("https://www.nba.com/stats/events?CFID=&amp;CFPARAMS=&amp;GameEventID=406&amp;GameID=0022200829&amp;Season=2022-23&amp;flag=1&amp;title=Leonard%2016'%20fadeaway%20Jump%20Shot%20(15%20PTS)", "16' fadeaway Jump Shot (15 PTS)")</f>
        <v>16' fadeaway Jump Shot (15 PTS)</v>
      </c>
      <c r="K1602" s="2" t="str">
        <f>HYPERLINK("https://www.nba.com/game/...-vs-...-0022200829/play-by-play?watchFullGame=true", "LAC vs DAL - Q3 03:14.00")</f>
        <v>LAC vs DAL - Q3 03:14.00</v>
      </c>
      <c r="L1602">
        <v>16.010000000000002</v>
      </c>
      <c r="M1602">
        <v>22.6</v>
      </c>
      <c r="N1602">
        <v>50.87</v>
      </c>
      <c r="O1602">
        <v>-4</v>
      </c>
      <c r="P1602">
        <v>160</v>
      </c>
    </row>
    <row r="1603" spans="1:16" x14ac:dyDescent="0.25">
      <c r="A1603">
        <v>21500689</v>
      </c>
      <c r="B1603">
        <v>2015</v>
      </c>
      <c r="C1603" t="s">
        <v>32</v>
      </c>
      <c r="D1603" t="s">
        <v>29</v>
      </c>
      <c r="E1603">
        <v>64</v>
      </c>
      <c r="F1603">
        <v>49</v>
      </c>
      <c r="G1603">
        <v>2</v>
      </c>
      <c r="H1603" s="1">
        <v>1.2847222222222223E-3</v>
      </c>
      <c r="I1603" t="s">
        <v>18</v>
      </c>
      <c r="J1603" s="2" t="str">
        <f>HYPERLINK("https://www.nba.com/stats/events?CFID=&amp;CFPARAMS=&amp;GameEventID=289&amp;GameID=0021500689&amp;Season=2015-16&amp;flag=1&amp;title=Leonard%2016'%20Pullup%20Jump%20Shot%20(12%20PTS)%20(Ginobili%202%20AST)", "Leonard 16' Pullup Jump Shot (12 PTS) (Ginobili 2 AST)")</f>
        <v>Leonard 16' Pullup Jump Shot (12 PTS) (Ginobili 2 AST)</v>
      </c>
      <c r="K1603" s="2" t="str">
        <f>HYPERLINK("https://www.nba.com/game/...-vs-...-0021500689/play-by-play?watchFullGame=true", "SAS vs HOU - Q2 01:51.00")</f>
        <v>SAS vs HOU - Q2 01:51.00</v>
      </c>
      <c r="L1603">
        <v>16</v>
      </c>
      <c r="M1603">
        <v>-4</v>
      </c>
      <c r="N1603">
        <v>160</v>
      </c>
      <c r="O1603">
        <v>-4</v>
      </c>
      <c r="P1603">
        <v>160</v>
      </c>
    </row>
    <row r="1604" spans="1:16" x14ac:dyDescent="0.25">
      <c r="A1604">
        <v>21600834</v>
      </c>
      <c r="B1604">
        <v>2016</v>
      </c>
      <c r="C1604" t="s">
        <v>32</v>
      </c>
      <c r="D1604" t="s">
        <v>29</v>
      </c>
      <c r="E1604">
        <v>23</v>
      </c>
      <c r="F1604">
        <v>36</v>
      </c>
      <c r="G1604">
        <v>2</v>
      </c>
      <c r="H1604" s="1">
        <v>5.4629629629629629E-3</v>
      </c>
      <c r="I1604" t="s">
        <v>18</v>
      </c>
      <c r="J1604" s="2" t="str">
        <f>HYPERLINK("https://www.nba.com/stats/events?CFID=&amp;CFPARAMS=&amp;GameEventID=169&amp;GameID=0021600834&amp;Season=2016-17&amp;flag=1&amp;title=Leonard%2016'%20Pullup%20Jump%20Shot%20(8%20PTS)", "Leonard 16' Pullup Jump Shot (8 PTS)")</f>
        <v>Leonard 16' Pullup Jump Shot (8 PTS)</v>
      </c>
      <c r="K1604" s="2" t="str">
        <f>HYPERLINK("https://www.nba.com/game/...-vs-...-0021600834/play-by-play?watchFullGame=true", "SAS vs ORL - Q2 07:52.00")</f>
        <v>SAS vs ORL - Q2 07:52.00</v>
      </c>
      <c r="L1604">
        <v>16</v>
      </c>
      <c r="M1604">
        <v>-4</v>
      </c>
      <c r="N1604">
        <v>164</v>
      </c>
      <c r="O1604">
        <v>-4</v>
      </c>
      <c r="P1604">
        <v>164</v>
      </c>
    </row>
    <row r="1605" spans="1:16" x14ac:dyDescent="0.25">
      <c r="A1605">
        <v>21600053</v>
      </c>
      <c r="B1605">
        <v>2016</v>
      </c>
      <c r="C1605" t="s">
        <v>16</v>
      </c>
      <c r="D1605" t="s">
        <v>19</v>
      </c>
      <c r="E1605">
        <v>91</v>
      </c>
      <c r="F1605">
        <v>96</v>
      </c>
      <c r="G1605">
        <v>4</v>
      </c>
      <c r="H1605" s="1">
        <v>2.627314814814815E-3</v>
      </c>
      <c r="I1605" t="s">
        <v>18</v>
      </c>
      <c r="J1605" s="2" t="str">
        <f>HYPERLINK("https://www.nba.com/stats/events?CFID=&amp;CFPARAMS=&amp;GameEventID=436&amp;GameID=0021600053&amp;Season=2016-17&amp;flag=1&amp;title=Leonard%2024'%203PT%20Jump%20Shot%20(30%20PTS)%20(Aldridge%201%20AST)", "Leonard 24' 3PT Jump Shot (30 PTS) (Aldridge 1 AST)")</f>
        <v>Leonard 24' 3PT Jump Shot (30 PTS) (Aldridge 1 AST)</v>
      </c>
      <c r="K1605" s="2" t="str">
        <f>HYPERLINK("https://www.nba.com/game/...-vs-...-0021600053/play-by-play?watchFullGame=true", "SAS vs UTA - Q4 03:47.00")</f>
        <v>SAS vs UTA - Q4 03:47.00</v>
      </c>
      <c r="L1605">
        <v>24</v>
      </c>
      <c r="M1605">
        <v>-4</v>
      </c>
      <c r="N1605">
        <v>242</v>
      </c>
      <c r="O1605">
        <v>-4</v>
      </c>
      <c r="P1605">
        <v>242</v>
      </c>
    </row>
    <row r="1606" spans="1:16" x14ac:dyDescent="0.25">
      <c r="A1606">
        <v>21900251</v>
      </c>
      <c r="B1606">
        <v>2019</v>
      </c>
      <c r="C1606" t="s">
        <v>32</v>
      </c>
      <c r="D1606" t="s">
        <v>50</v>
      </c>
      <c r="E1606">
        <v>5</v>
      </c>
      <c r="F1606">
        <v>10</v>
      </c>
      <c r="G1606">
        <v>1</v>
      </c>
      <c r="H1606" s="1">
        <v>6.030092592592593E-3</v>
      </c>
      <c r="I1606" t="s">
        <v>23</v>
      </c>
      <c r="J1606" s="2" t="str">
        <f>HYPERLINK("https://www.nba.com/stats/events?CFID=&amp;CFPARAMS=&amp;GameEventID=35&amp;GameID=0021900251&amp;Season=2019-20&amp;flag=1&amp;title=Leonard%20layup%20(2%20PTS)%20(P.%20Beverley%201%20AST)", "Layup (2 PTS) (P. Beverley 1 AST)")</f>
        <v>Layup (2 PTS) (P. Beverley 1 AST)</v>
      </c>
      <c r="K1606" s="2" t="str">
        <f>HYPERLINK("https://www.nba.com/game/...-vs-...-0021900251/play-by-play?watchFullGame=true", "LAC vs DAL - Q1 08:41.00")</f>
        <v>LAC vs DAL - Q1 08:41.00</v>
      </c>
      <c r="L1606">
        <v>0.43</v>
      </c>
      <c r="M1606">
        <v>5.34</v>
      </c>
      <c r="N1606">
        <v>50.56</v>
      </c>
      <c r="O1606">
        <v>-3</v>
      </c>
      <c r="P1606">
        <v>-2</v>
      </c>
    </row>
    <row r="1607" spans="1:16" x14ac:dyDescent="0.25">
      <c r="A1607">
        <v>41800217</v>
      </c>
      <c r="B1607" t="s">
        <v>20</v>
      </c>
      <c r="C1607" t="s">
        <v>32</v>
      </c>
      <c r="D1607" t="s">
        <v>63</v>
      </c>
      <c r="E1607">
        <v>10</v>
      </c>
      <c r="F1607">
        <v>7</v>
      </c>
      <c r="G1607">
        <v>1</v>
      </c>
      <c r="H1607" s="1">
        <v>3.3912037037037036E-3</v>
      </c>
      <c r="I1607" t="s">
        <v>21</v>
      </c>
      <c r="J1607" s="2" t="str">
        <f>HYPERLINK("https://www.nba.com/stats/events?CFID=&amp;CFPARAMS=&amp;GameEventID=88&amp;GameID=0041800217&amp;Season=2018-19&amp;flag=1&amp;title=Leonard%20Running%20Dunk%20(6%20PTS)", "Leonard Running Dunk (6 PTS)")</f>
        <v>Leonard Running Dunk (6 PTS)</v>
      </c>
      <c r="K1607" s="2" t="str">
        <f>HYPERLINK("https://www.nba.com/game/...-vs-...-0041800217/play-by-play?watchFullGame=true", "TOR vs PHI - Q1 04:53.00")</f>
        <v>TOR vs PHI - Q1 04:53.00</v>
      </c>
      <c r="L1607">
        <v>0</v>
      </c>
      <c r="M1607">
        <v>-3</v>
      </c>
      <c r="N1607">
        <v>-2</v>
      </c>
      <c r="O1607">
        <v>-3</v>
      </c>
      <c r="P1607">
        <v>-2</v>
      </c>
    </row>
    <row r="1608" spans="1:16" x14ac:dyDescent="0.25">
      <c r="A1608">
        <v>21900436</v>
      </c>
      <c r="B1608">
        <v>2019</v>
      </c>
      <c r="C1608" t="s">
        <v>32</v>
      </c>
      <c r="D1608" t="s">
        <v>65</v>
      </c>
      <c r="E1608">
        <v>61</v>
      </c>
      <c r="F1608">
        <v>78</v>
      </c>
      <c r="G1608">
        <v>3</v>
      </c>
      <c r="H1608" s="1">
        <v>7.4305555555555557E-3</v>
      </c>
      <c r="I1608" t="s">
        <v>23</v>
      </c>
      <c r="J1608" s="2" t="str">
        <f>HYPERLINK("https://www.nba.com/stats/events?CFID=&amp;CFPARAMS=&amp;GameEventID=342&amp;GameID=0021900436&amp;Season=2019-20&amp;flag=1&amp;title=Leonard%20dunk%20(20%20PTS)", "Dunk (20 PTS)")</f>
        <v>Dunk (20 PTS)</v>
      </c>
      <c r="K1608" s="2" t="str">
        <f>HYPERLINK("https://www.nba.com/game/...-vs-...-0021900436/play-by-play?watchFullGame=true", "LAC vs SAS - Q3 10:42.00")</f>
        <v>LAC vs SAS - Q3 10:42.00</v>
      </c>
      <c r="L1608">
        <v>0.53</v>
      </c>
      <c r="M1608">
        <v>94.56</v>
      </c>
      <c r="N1608">
        <v>49.33</v>
      </c>
      <c r="O1608">
        <v>-3</v>
      </c>
      <c r="P1608">
        <v>-1</v>
      </c>
    </row>
    <row r="1609" spans="1:16" x14ac:dyDescent="0.25">
      <c r="A1609">
        <v>41800303</v>
      </c>
      <c r="B1609" t="s">
        <v>20</v>
      </c>
      <c r="C1609" t="s">
        <v>32</v>
      </c>
      <c r="D1609" t="s">
        <v>58</v>
      </c>
      <c r="E1609">
        <v>114</v>
      </c>
      <c r="F1609">
        <v>110</v>
      </c>
      <c r="G1609">
        <v>6</v>
      </c>
      <c r="H1609" s="1">
        <v>3.7500000000000001E-4</v>
      </c>
      <c r="I1609" t="s">
        <v>21</v>
      </c>
      <c r="J1609" s="2" t="str">
        <f>HYPERLINK("https://www.nba.com/stats/events?CFID=&amp;CFPARAMS=&amp;GameEventID=860&amp;GameID=0041800303&amp;Season=2018-19&amp;flag=1&amp;title=Leonard%20Driving%20Bank%20Hook%20Shot%20(34%20PTS)", "Leonard Driving Bank Hook Shot (34 PTS)")</f>
        <v>Leonard Driving Bank Hook Shot (34 PTS)</v>
      </c>
      <c r="K1609" s="2" t="str">
        <f>HYPERLINK("https://www.nba.com/game/...-vs-...-0041800303/play-by-play?watchFullGame=true", "TOR vs MIL - Q6 00:32.40")</f>
        <v>TOR vs MIL - Q6 00:32.40</v>
      </c>
      <c r="L1609">
        <v>0</v>
      </c>
      <c r="M1609">
        <v>-3</v>
      </c>
      <c r="N1609">
        <v>2</v>
      </c>
      <c r="O1609">
        <v>-3</v>
      </c>
      <c r="P1609">
        <v>2</v>
      </c>
    </row>
    <row r="1610" spans="1:16" x14ac:dyDescent="0.25">
      <c r="A1610">
        <v>21900653</v>
      </c>
      <c r="B1610">
        <v>2019</v>
      </c>
      <c r="C1610" t="s">
        <v>32</v>
      </c>
      <c r="D1610" t="s">
        <v>65</v>
      </c>
      <c r="E1610">
        <v>49</v>
      </c>
      <c r="F1610">
        <v>62</v>
      </c>
      <c r="G1610">
        <v>3</v>
      </c>
      <c r="H1610" s="1">
        <v>8.2407407407407412E-3</v>
      </c>
      <c r="I1610" t="s">
        <v>23</v>
      </c>
      <c r="J1610" s="2" t="str">
        <f>HYPERLINK("https://www.nba.com/stats/events?CFID=&amp;CFPARAMS=&amp;GameEventID=386&amp;GameID=0021900653&amp;Season=2019-20&amp;flag=1&amp;title=Leonard%20dunk%20(16%20PTS)%20(L.%20Williams%202%20AST)", "Dunk (16 PTS) (L. Williams 2 AST)")</f>
        <v>Dunk (16 PTS) (L. Williams 2 AST)</v>
      </c>
      <c r="K1610" s="2" t="str">
        <f>HYPERLINK("https://www.nba.com/game/...-vs-...-0021900653/play-by-play?watchFullGame=true", "LAC vs DAL - Q3 11:52.00")</f>
        <v>LAC vs DAL - Q3 11:52.00</v>
      </c>
      <c r="L1610">
        <v>0.85</v>
      </c>
      <c r="M1610">
        <v>94.17</v>
      </c>
      <c r="N1610">
        <v>49.33</v>
      </c>
      <c r="O1610">
        <v>-3</v>
      </c>
      <c r="P1610">
        <v>2</v>
      </c>
    </row>
    <row r="1611" spans="1:16" x14ac:dyDescent="0.25">
      <c r="A1611">
        <v>41800114</v>
      </c>
      <c r="B1611" t="s">
        <v>20</v>
      </c>
      <c r="C1611" t="s">
        <v>32</v>
      </c>
      <c r="D1611" t="s">
        <v>49</v>
      </c>
      <c r="E1611">
        <v>60</v>
      </c>
      <c r="F1611">
        <v>74</v>
      </c>
      <c r="G1611">
        <v>3</v>
      </c>
      <c r="H1611" s="1">
        <v>2.3379629629629631E-3</v>
      </c>
      <c r="I1611" t="s">
        <v>21</v>
      </c>
      <c r="J1611" s="2" t="str">
        <f>HYPERLINK("https://www.nba.com/stats/events?CFID=&amp;CFPARAMS=&amp;GameEventID=378&amp;GameID=0041800114&amp;Season=2018-19&amp;flag=1&amp;title=Leonard%20Driving%20Layup%20(29%20PTS)", "Leonard Driving Layup (29 PTS)")</f>
        <v>Leonard Driving Layup (29 PTS)</v>
      </c>
      <c r="K1611" s="2" t="str">
        <f>HYPERLINK("https://www.nba.com/game/...-vs-...-0041800114/play-by-play?watchFullGame=true", "TOR vs ORL - Q3 03:22.00")</f>
        <v>TOR vs ORL - Q3 03:22.00</v>
      </c>
      <c r="L1611">
        <v>0</v>
      </c>
      <c r="M1611">
        <v>-3</v>
      </c>
      <c r="N1611">
        <v>3</v>
      </c>
      <c r="O1611">
        <v>-3</v>
      </c>
      <c r="P1611">
        <v>3</v>
      </c>
    </row>
    <row r="1612" spans="1:16" x14ac:dyDescent="0.25">
      <c r="A1612">
        <v>22000675</v>
      </c>
      <c r="B1612">
        <v>2020</v>
      </c>
      <c r="C1612" t="s">
        <v>32</v>
      </c>
      <c r="D1612" t="s">
        <v>48</v>
      </c>
      <c r="E1612">
        <v>59</v>
      </c>
      <c r="F1612">
        <v>74</v>
      </c>
      <c r="G1612">
        <v>3</v>
      </c>
      <c r="H1612" s="1">
        <v>6.6319444444444446E-3</v>
      </c>
      <c r="I1612" t="s">
        <v>23</v>
      </c>
      <c r="J1612" s="2" t="str">
        <f>HYPERLINK("https://www.nba.com/stats/events?CFID=&amp;CFPARAMS=&amp;GameEventID=361&amp;GameID=0022000675&amp;Season=2020-21&amp;flag=1&amp;title=Leonard%20driving%20DUNK%20(18%20PTS)", "Driving DUNK (18 PTS)")</f>
        <v>Driving DUNK (18 PTS)</v>
      </c>
      <c r="K1612" s="2" t="str">
        <f>HYPERLINK("https://www.nba.com/game/...-vs-...-0022000675/play-by-play?watchFullGame=true", "LAC vs SAS - Q3 09:33.00")</f>
        <v>LAC vs SAS - Q3 09:33.00</v>
      </c>
      <c r="L1612">
        <v>0.48</v>
      </c>
      <c r="M1612">
        <v>94.04</v>
      </c>
      <c r="N1612">
        <v>49.33</v>
      </c>
      <c r="O1612">
        <v>-3</v>
      </c>
      <c r="P1612">
        <v>4</v>
      </c>
    </row>
    <row r="1613" spans="1:16" x14ac:dyDescent="0.25">
      <c r="A1613">
        <v>41800114</v>
      </c>
      <c r="B1613" t="s">
        <v>20</v>
      </c>
      <c r="C1613" t="s">
        <v>32</v>
      </c>
      <c r="D1613" t="s">
        <v>63</v>
      </c>
      <c r="E1613">
        <v>46</v>
      </c>
      <c r="F1613">
        <v>65</v>
      </c>
      <c r="G1613">
        <v>3</v>
      </c>
      <c r="H1613" s="1">
        <v>5.8912037037037041E-3</v>
      </c>
      <c r="I1613" t="s">
        <v>21</v>
      </c>
      <c r="J1613" s="2" t="str">
        <f>HYPERLINK("https://www.nba.com/stats/events?CFID=&amp;CFPARAMS=&amp;GameEventID=331&amp;GameID=0041800114&amp;Season=2018-19&amp;flag=1&amp;title=Leonard%201'%20Running%20Dunk%20(22%20PTS)%20(Lowry%206%20AST)", "Leonard 1' Running Dunk (22 PTS) (Lowry 6 AST)")</f>
        <v>Leonard 1' Running Dunk (22 PTS) (Lowry 6 AST)</v>
      </c>
      <c r="K1613" s="2" t="str">
        <f>HYPERLINK("https://www.nba.com/game/...-vs-...-0041800114/play-by-play?watchFullGame=true", "TOR vs ORL - Q3 08:29.00")</f>
        <v>TOR vs ORL - Q3 08:29.00</v>
      </c>
      <c r="L1613">
        <v>1</v>
      </c>
      <c r="M1613">
        <v>-3</v>
      </c>
      <c r="N1613">
        <v>6</v>
      </c>
      <c r="O1613">
        <v>-3</v>
      </c>
      <c r="P1613">
        <v>6</v>
      </c>
    </row>
    <row r="1614" spans="1:16" x14ac:dyDescent="0.25">
      <c r="A1614">
        <v>22000224</v>
      </c>
      <c r="B1614">
        <v>2020</v>
      </c>
      <c r="C1614" t="s">
        <v>32</v>
      </c>
      <c r="D1614" t="s">
        <v>48</v>
      </c>
      <c r="E1614">
        <v>101</v>
      </c>
      <c r="F1614">
        <v>88</v>
      </c>
      <c r="G1614">
        <v>4</v>
      </c>
      <c r="H1614" s="1">
        <v>4.9768518518518521E-3</v>
      </c>
      <c r="I1614" t="s">
        <v>23</v>
      </c>
      <c r="J1614" s="2" t="str">
        <f>HYPERLINK("https://www.nba.com/stats/events?CFID=&amp;CFPARAMS=&amp;GameEventID=528&amp;GameID=0022000224&amp;Season=2020-21&amp;flag=1&amp;title=Leonard%20driving%20DUNK%20(30%20PTS)", "Driving DUNK (30 PTS)")</f>
        <v>Driving DUNK (30 PTS)</v>
      </c>
      <c r="K1614" s="2" t="str">
        <f>HYPERLINK("https://www.nba.com/game/...-vs-...-0022000224/play-by-play?watchFullGame=true", "LAC vs SAC - Q4 07:10.00")</f>
        <v>LAC vs SAC - Q4 07:10.00</v>
      </c>
      <c r="L1614">
        <v>0.81</v>
      </c>
      <c r="M1614">
        <v>6.39</v>
      </c>
      <c r="N1614">
        <v>50.56</v>
      </c>
      <c r="O1614">
        <v>-3</v>
      </c>
      <c r="P1614">
        <v>8</v>
      </c>
    </row>
    <row r="1615" spans="1:16" x14ac:dyDescent="0.25">
      <c r="A1615">
        <v>22000142</v>
      </c>
      <c r="B1615">
        <v>2020</v>
      </c>
      <c r="C1615" t="s">
        <v>32</v>
      </c>
      <c r="D1615" t="s">
        <v>47</v>
      </c>
      <c r="E1615">
        <v>7</v>
      </c>
      <c r="F1615">
        <v>12</v>
      </c>
      <c r="G1615">
        <v>1</v>
      </c>
      <c r="H1615" s="1">
        <v>5.3009259259259259E-3</v>
      </c>
      <c r="I1615" t="s">
        <v>23</v>
      </c>
      <c r="J1615" s="2" t="str">
        <f>HYPERLINK("https://www.nba.com/stats/events?CFID=&amp;CFPARAMS=&amp;GameEventID=50&amp;GameID=0022000142&amp;Season=2020-21&amp;flag=1&amp;title=Leonard%20alley-oop%20Layup%20(4%20PTS)%20(N.%20Batum%201%20AST)", "Alley-oop Layup (4 PTS) (N. Batum 1 AST)")</f>
        <v>Alley-oop Layup (4 PTS) (N. Batum 1 AST)</v>
      </c>
      <c r="K1615" s="2" t="str">
        <f>HYPERLINK("https://www.nba.com/game/...-vs-...-0022000142/play-by-play?watchFullGame=true", "LAC vs CHI - Q1 07:38.00")</f>
        <v>LAC vs CHI - Q1 07:38.00</v>
      </c>
      <c r="L1615">
        <v>1.04</v>
      </c>
      <c r="M1615">
        <v>6.65</v>
      </c>
      <c r="N1615">
        <v>50.56</v>
      </c>
      <c r="O1615">
        <v>-3</v>
      </c>
      <c r="P1615">
        <v>10</v>
      </c>
    </row>
    <row r="1616" spans="1:16" x14ac:dyDescent="0.25">
      <c r="A1616">
        <v>22000224</v>
      </c>
      <c r="B1616">
        <v>2020</v>
      </c>
      <c r="C1616" t="s">
        <v>32</v>
      </c>
      <c r="D1616" t="s">
        <v>47</v>
      </c>
      <c r="E1616">
        <v>106</v>
      </c>
      <c r="F1616">
        <v>91</v>
      </c>
      <c r="G1616">
        <v>4</v>
      </c>
      <c r="H1616" s="1">
        <v>2.5810185185185185E-3</v>
      </c>
      <c r="I1616" t="s">
        <v>23</v>
      </c>
      <c r="J1616" s="2" t="str">
        <f>HYPERLINK("https://www.nba.com/stats/events?CFID=&amp;CFPARAMS=&amp;GameEventID=577&amp;GameID=0022000224&amp;Season=2020-21&amp;flag=1&amp;title=Leonard%20driving%20finger%20roll%20Layup%20(32%20PTS)", "Driving finger roll Layup (32 PTS)")</f>
        <v>Driving finger roll Layup (32 PTS)</v>
      </c>
      <c r="K1616" s="2" t="str">
        <f>HYPERLINK("https://www.nba.com/game/...-vs-...-0022000224/play-by-play?watchFullGame=true", "LAC vs SAC - Q4 03:43.00")</f>
        <v>LAC vs SAC - Q4 03:43.00</v>
      </c>
      <c r="L1616">
        <v>1.1599999999999999</v>
      </c>
      <c r="M1616">
        <v>6.78</v>
      </c>
      <c r="N1616">
        <v>50.56</v>
      </c>
      <c r="O1616">
        <v>-3</v>
      </c>
      <c r="P1616">
        <v>11</v>
      </c>
    </row>
    <row r="1617" spans="1:16" x14ac:dyDescent="0.25">
      <c r="A1617">
        <v>22000251</v>
      </c>
      <c r="B1617">
        <v>2020</v>
      </c>
      <c r="C1617" t="s">
        <v>32</v>
      </c>
      <c r="D1617" t="s">
        <v>48</v>
      </c>
      <c r="E1617">
        <v>36</v>
      </c>
      <c r="F1617">
        <v>19</v>
      </c>
      <c r="G1617">
        <v>1</v>
      </c>
      <c r="H1617" s="1">
        <v>3.1250000000000001E-5</v>
      </c>
      <c r="I1617" t="s">
        <v>23</v>
      </c>
      <c r="J1617" s="2" t="str">
        <f>HYPERLINK("https://www.nba.com/stats/events?CFID=&amp;CFPARAMS=&amp;GameEventID=157&amp;GameID=0022000251&amp;Season=2020-21&amp;flag=1&amp;title=Leonard%20cutting%20DUNK%20(14%20PTS)%20(I.%20Zubac%201%20AST)", "Cutting DUNK (14 PTS) (I. Zubac 1 AST)")</f>
        <v>Cutting DUNK (14 PTS) (I. Zubac 1 AST)</v>
      </c>
      <c r="K1617" s="2" t="str">
        <f>HYPERLINK("https://www.nba.com/game/...-vs-...-0022000251/play-by-play?watchFullGame=true", "LAC vs OKC - Q1 00:02.70")</f>
        <v>LAC vs OKC - Q1 00:02.70</v>
      </c>
      <c r="L1617">
        <v>1.62</v>
      </c>
      <c r="M1617">
        <v>92.72</v>
      </c>
      <c r="N1617">
        <v>49.33</v>
      </c>
      <c r="O1617">
        <v>-3</v>
      </c>
      <c r="P1617">
        <v>16</v>
      </c>
    </row>
    <row r="1618" spans="1:16" x14ac:dyDescent="0.25">
      <c r="A1618">
        <v>41800304</v>
      </c>
      <c r="B1618" t="s">
        <v>20</v>
      </c>
      <c r="C1618" t="s">
        <v>32</v>
      </c>
      <c r="D1618" t="s">
        <v>68</v>
      </c>
      <c r="E1618">
        <v>70</v>
      </c>
      <c r="F1618">
        <v>60</v>
      </c>
      <c r="G1618">
        <v>3</v>
      </c>
      <c r="H1618" s="1">
        <v>6.3773148148148148E-3</v>
      </c>
      <c r="I1618" t="s">
        <v>21</v>
      </c>
      <c r="J1618" s="2" t="str">
        <f>HYPERLINK("https://www.nba.com/stats/events?CFID=&amp;CFPARAMS=&amp;GameEventID=416&amp;GameID=0041800304&amp;Season=2018-19&amp;flag=1&amp;title=Leonard%202'%20Cutting%20Dunk%20Shot%20(10%20PTS)%20(Gasol%205%20AST)", "Leonard 2' Cutting Dunk Shot (10 PTS) (Gasol 5 AST)")</f>
        <v>Leonard 2' Cutting Dunk Shot (10 PTS) (Gasol 5 AST)</v>
      </c>
      <c r="K1618" s="2" t="str">
        <f>HYPERLINK("https://www.nba.com/game/...-vs-...-0041800304/play-by-play?watchFullGame=true", "TOR vs MIL - Q3 09:11.00")</f>
        <v>TOR vs MIL - Q3 09:11.00</v>
      </c>
      <c r="L1618">
        <v>2</v>
      </c>
      <c r="M1618">
        <v>-3</v>
      </c>
      <c r="N1618">
        <v>18</v>
      </c>
      <c r="O1618">
        <v>-3</v>
      </c>
      <c r="P1618">
        <v>18</v>
      </c>
    </row>
    <row r="1619" spans="1:16" x14ac:dyDescent="0.25">
      <c r="A1619">
        <v>41500234</v>
      </c>
      <c r="B1619" t="s">
        <v>25</v>
      </c>
      <c r="C1619" t="s">
        <v>32</v>
      </c>
      <c r="D1619" t="s">
        <v>43</v>
      </c>
      <c r="E1619">
        <v>23</v>
      </c>
      <c r="F1619">
        <v>33</v>
      </c>
      <c r="G1619">
        <v>2</v>
      </c>
      <c r="H1619" s="1">
        <v>6.1921296296296299E-3</v>
      </c>
      <c r="I1619" t="s">
        <v>18</v>
      </c>
      <c r="J1619" s="2" t="str">
        <f>HYPERLINK("https://www.nba.com/stats/events?CFID=&amp;CFPARAMS=&amp;GameEventID=162&amp;GameID=0041500234&amp;Season=2015-16&amp;flag=1&amp;title=Leonard%202'%20Turnaround%20Hook%20Shot%20(10%20PTS)", "Leonard 2' Turnaround Hook Shot (10 PTS)")</f>
        <v>Leonard 2' Turnaround Hook Shot (10 PTS)</v>
      </c>
      <c r="K1619" s="2" t="str">
        <f>HYPERLINK("https://www.nba.com/game/...-vs-...-0041500234/play-by-play?watchFullGame=true", "SAS vs OKC - Q2 08:55.00")</f>
        <v>SAS vs OKC - Q2 08:55.00</v>
      </c>
      <c r="L1619">
        <v>2</v>
      </c>
      <c r="M1619">
        <v>-3</v>
      </c>
      <c r="N1619">
        <v>19</v>
      </c>
      <c r="O1619">
        <v>-3</v>
      </c>
      <c r="P1619">
        <v>19</v>
      </c>
    </row>
    <row r="1620" spans="1:16" x14ac:dyDescent="0.25">
      <c r="A1620">
        <v>22000366</v>
      </c>
      <c r="B1620">
        <v>2020</v>
      </c>
      <c r="C1620" t="s">
        <v>32</v>
      </c>
      <c r="D1620" t="s">
        <v>48</v>
      </c>
      <c r="E1620">
        <v>101</v>
      </c>
      <c r="F1620">
        <v>100</v>
      </c>
      <c r="G1620">
        <v>4</v>
      </c>
      <c r="H1620" s="1">
        <v>3.5763888888888889E-3</v>
      </c>
      <c r="I1620" t="s">
        <v>23</v>
      </c>
      <c r="J1620" s="2" t="str">
        <f>HYPERLINK("https://www.nba.com/stats/events?CFID=&amp;CFPARAMS=&amp;GameEventID=582&amp;GameID=0022000366&amp;Season=2020-21&amp;flag=1&amp;title=Leonard%20running%20DUNK%20(15%20PTS)%20(R.%20Jackson%204%20AST)", "Running DUNK (15 PTS) (R. Jackson 4 AST)")</f>
        <v>Running DUNK (15 PTS) (R. Jackson 4 AST)</v>
      </c>
      <c r="K1620" s="2" t="str">
        <f>HYPERLINK("https://www.nba.com/game/...-vs-...-0022000366/play-by-play?watchFullGame=true", "LAC vs SAC - Q4 05:09.00")</f>
        <v>LAC vs SAC - Q4 05:09.00</v>
      </c>
      <c r="L1620">
        <v>2.13</v>
      </c>
      <c r="M1620">
        <v>7.84</v>
      </c>
      <c r="N1620">
        <v>50.56</v>
      </c>
      <c r="O1620">
        <v>-3</v>
      </c>
      <c r="P1620">
        <v>21</v>
      </c>
    </row>
    <row r="1621" spans="1:16" x14ac:dyDescent="0.25">
      <c r="A1621">
        <v>22000387</v>
      </c>
      <c r="B1621">
        <v>2020</v>
      </c>
      <c r="C1621" t="s">
        <v>32</v>
      </c>
      <c r="D1621" t="s">
        <v>47</v>
      </c>
      <c r="E1621">
        <v>87</v>
      </c>
      <c r="F1621">
        <v>96</v>
      </c>
      <c r="G1621">
        <v>4</v>
      </c>
      <c r="H1621" s="1">
        <v>4.8379629629629632E-3</v>
      </c>
      <c r="I1621" t="s">
        <v>23</v>
      </c>
      <c r="J1621" s="2" t="str">
        <f>HYPERLINK("https://www.nba.com/stats/events?CFID=&amp;CFPARAMS=&amp;GameEventID=557&amp;GameID=0022000387&amp;Season=2020-21&amp;flag=1&amp;title=Leonard%20Layup%20(26%20PTS)%20(L.%20Williams%203%20AST)", "Layup (26 PTS) (L. Williams 3 AST)")</f>
        <v>Layup (26 PTS) (L. Williams 3 AST)</v>
      </c>
      <c r="K1621" s="2" t="str">
        <f>HYPERLINK("https://www.nba.com/game/...-vs-...-0022000387/play-by-play?watchFullGame=true", "LAC vs MIN - Q4 06:58.00")</f>
        <v>LAC vs MIN - Q4 06:58.00</v>
      </c>
      <c r="L1621">
        <v>2.38</v>
      </c>
      <c r="M1621">
        <v>8.1</v>
      </c>
      <c r="N1621">
        <v>50.56</v>
      </c>
      <c r="O1621">
        <v>-3</v>
      </c>
      <c r="P1621">
        <v>24</v>
      </c>
    </row>
    <row r="1622" spans="1:16" x14ac:dyDescent="0.25">
      <c r="A1622">
        <v>22000717</v>
      </c>
      <c r="B1622">
        <v>2020</v>
      </c>
      <c r="C1622" t="s">
        <v>32</v>
      </c>
      <c r="D1622" t="s">
        <v>44</v>
      </c>
      <c r="E1622">
        <v>23</v>
      </c>
      <c r="F1622">
        <v>20</v>
      </c>
      <c r="G1622">
        <v>1</v>
      </c>
      <c r="H1622" s="1">
        <v>3.2638888888888891E-3</v>
      </c>
      <c r="I1622" t="s">
        <v>23</v>
      </c>
      <c r="J1622" s="2" t="str">
        <f>HYPERLINK("https://www.nba.com/stats/events?CFID=&amp;CFPARAMS=&amp;GameEventID=88&amp;GameID=0022000717&amp;Season=2020-21&amp;flag=1&amp;title=Leonard%206'%20turnaround%20Hook%20(8%20PTS)", "6' turnaround Hook (8 PTS)")</f>
        <v>6' turnaround Hook (8 PTS)</v>
      </c>
      <c r="K1622" s="2" t="str">
        <f>HYPERLINK("https://www.nba.com/game/...-vs-...-0022000717/play-by-play?watchFullGame=true", "LAC vs MIL - Q1 04:42.00")</f>
        <v>LAC vs MIL - Q1 04:42.00</v>
      </c>
      <c r="L1622">
        <v>6.08</v>
      </c>
      <c r="M1622">
        <v>12.04</v>
      </c>
      <c r="N1622">
        <v>50.56</v>
      </c>
      <c r="O1622">
        <v>-3</v>
      </c>
      <c r="P1622">
        <v>61</v>
      </c>
    </row>
    <row r="1623" spans="1:16" x14ac:dyDescent="0.25">
      <c r="A1623">
        <v>21900016</v>
      </c>
      <c r="B1623">
        <v>2019</v>
      </c>
      <c r="C1623" t="s">
        <v>32</v>
      </c>
      <c r="D1623" t="s">
        <v>22</v>
      </c>
      <c r="E1623">
        <v>60</v>
      </c>
      <c r="F1623">
        <v>78</v>
      </c>
      <c r="G1623">
        <v>3</v>
      </c>
      <c r="H1623" s="1">
        <v>6.3310185185185188E-3</v>
      </c>
      <c r="I1623" t="s">
        <v>23</v>
      </c>
      <c r="J1623" s="2" t="str">
        <f>HYPERLINK("https://www.nba.com/stats/events?CFID=&amp;CFPARAMS=&amp;GameEventID=417&amp;GameID=0021900016&amp;Season=2019-20&amp;flag=1&amp;title=[LAC]%20Leonard%20jumpshot:%20Made%20(15%20PTS)", "[LAC] Leonard jumpshot: Made (15 PTS)")</f>
        <v>[LAC] Leonard jumpshot: Made (15 PTS)</v>
      </c>
      <c r="K1623" s="2" t="str">
        <f>HYPERLINK("https://www.nba.com/game/...-vs-...-0021900016/play-by-play?watchFullGame=true", "LAC vs GSW - Q3 09:07.00")</f>
        <v>LAC vs GSW - Q3 09:07.00</v>
      </c>
      <c r="L1623">
        <v>7.71</v>
      </c>
      <c r="M1623">
        <v>86.81</v>
      </c>
      <c r="N1623">
        <v>49.33</v>
      </c>
      <c r="O1623">
        <v>-3</v>
      </c>
      <c r="P1623">
        <v>71</v>
      </c>
    </row>
    <row r="1624" spans="1:16" x14ac:dyDescent="0.25">
      <c r="A1624">
        <v>22000717</v>
      </c>
      <c r="B1624">
        <v>2020</v>
      </c>
      <c r="C1624" t="s">
        <v>32</v>
      </c>
      <c r="D1624" t="s">
        <v>19</v>
      </c>
      <c r="E1624">
        <v>119</v>
      </c>
      <c r="F1624">
        <v>100</v>
      </c>
      <c r="G1624">
        <v>4</v>
      </c>
      <c r="H1624" s="1">
        <v>3.2754629629629631E-3</v>
      </c>
      <c r="I1624" t="s">
        <v>23</v>
      </c>
      <c r="J1624" s="2" t="str">
        <f>HYPERLINK("https://www.nba.com/stats/events?CFID=&amp;CFPARAMS=&amp;GameEventID=548&amp;GameID=0022000717&amp;Season=2020-21&amp;flag=1&amp;title=Leonard%208'%20fadeaway%20Jump%20Shot%20(22%20PTS)", "8' fadeaway Jump Shot (22 PTS)")</f>
        <v>8' fadeaway Jump Shot (22 PTS)</v>
      </c>
      <c r="K1624" s="2" t="str">
        <f>HYPERLINK("https://www.nba.com/game/...-vs-...-0022000717/play-by-play?watchFullGame=true", "LAC vs MIL - Q4 04:43.00")</f>
        <v>LAC vs MIL - Q4 04:43.00</v>
      </c>
      <c r="L1624">
        <v>8.52</v>
      </c>
      <c r="M1624">
        <v>85.36</v>
      </c>
      <c r="N1624">
        <v>49.33</v>
      </c>
      <c r="O1624">
        <v>-3</v>
      </c>
      <c r="P1624">
        <v>85</v>
      </c>
    </row>
    <row r="1625" spans="1:16" x14ac:dyDescent="0.25">
      <c r="A1625">
        <v>41800112</v>
      </c>
      <c r="B1625" t="s">
        <v>20</v>
      </c>
      <c r="C1625" t="s">
        <v>32</v>
      </c>
      <c r="D1625" t="s">
        <v>29</v>
      </c>
      <c r="E1625">
        <v>5</v>
      </c>
      <c r="F1625">
        <v>0</v>
      </c>
      <c r="G1625">
        <v>1</v>
      </c>
      <c r="H1625" s="1">
        <v>6.3310185185185188E-3</v>
      </c>
      <c r="I1625" t="s">
        <v>21</v>
      </c>
      <c r="J1625" s="2" t="str">
        <f>HYPERLINK("https://www.nba.com/stats/events?CFID=&amp;CFPARAMS=&amp;GameEventID=49&amp;GameID=0041800112&amp;Season=2018-19&amp;flag=1&amp;title=Leonard%209'%20Pullup%20Jump%20Shot%20(4%20PTS)%20(Lowry%201%20AST)", "Leonard 9' Pullup Jump Shot (4 PTS) (Lowry 1 AST)")</f>
        <v>Leonard 9' Pullup Jump Shot (4 PTS) (Lowry 1 AST)</v>
      </c>
      <c r="K1625" s="2" t="str">
        <f>HYPERLINK("https://www.nba.com/game/...-vs-...-0041800112/play-by-play?watchFullGame=true", "TOR vs ORL - Q1 09:07.00")</f>
        <v>TOR vs ORL - Q1 09:07.00</v>
      </c>
      <c r="L1625">
        <v>9</v>
      </c>
      <c r="M1625">
        <v>-3</v>
      </c>
      <c r="N1625">
        <v>86</v>
      </c>
      <c r="O1625">
        <v>-3</v>
      </c>
      <c r="P1625">
        <v>86</v>
      </c>
    </row>
    <row r="1626" spans="1:16" x14ac:dyDescent="0.25">
      <c r="A1626">
        <v>21900458</v>
      </c>
      <c r="B1626">
        <v>2019</v>
      </c>
      <c r="C1626" t="s">
        <v>32</v>
      </c>
      <c r="D1626" t="s">
        <v>22</v>
      </c>
      <c r="E1626">
        <v>21</v>
      </c>
      <c r="F1626">
        <v>24</v>
      </c>
      <c r="G1626">
        <v>1</v>
      </c>
      <c r="H1626" s="1">
        <v>1.8171296296296297E-3</v>
      </c>
      <c r="I1626" t="s">
        <v>23</v>
      </c>
      <c r="J1626" s="2" t="str">
        <f>HYPERLINK("https://www.nba.com/stats/events?CFID=&amp;CFPARAMS=&amp;GameEventID=113&amp;GameID=0021900458&amp;Season=2019-20&amp;flag=1&amp;title=Leonard%2010'%20jumpshot%20(11%20PTS)%20(L.%20Williams%201%20AST)", "10' jumpshot (11 PTS) (L. Williams 1 AST)")</f>
        <v>10' jumpshot (11 PTS) (L. Williams 1 AST)</v>
      </c>
      <c r="K1626" s="2" t="str">
        <f>HYPERLINK("https://www.nba.com/game/...-vs-...-0021900458/play-by-play?watchFullGame=true", "LAC vs LAL - Q1 02:37.00")</f>
        <v>LAC vs LAL - Q1 02:37.00</v>
      </c>
      <c r="L1626">
        <v>9.56</v>
      </c>
      <c r="M1626">
        <v>15.16</v>
      </c>
      <c r="N1626">
        <v>50.67</v>
      </c>
      <c r="O1626">
        <v>-3</v>
      </c>
      <c r="P1626">
        <v>90</v>
      </c>
    </row>
    <row r="1627" spans="1:16" x14ac:dyDescent="0.25">
      <c r="A1627">
        <v>41800404</v>
      </c>
      <c r="B1627" t="s">
        <v>20</v>
      </c>
      <c r="C1627" t="s">
        <v>32</v>
      </c>
      <c r="D1627" t="s">
        <v>34</v>
      </c>
      <c r="E1627">
        <v>4</v>
      </c>
      <c r="F1627">
        <v>3</v>
      </c>
      <c r="G1627">
        <v>1</v>
      </c>
      <c r="H1627" s="1">
        <v>5.9722222222222225E-3</v>
      </c>
      <c r="I1627" t="s">
        <v>21</v>
      </c>
      <c r="J1627" s="2" t="str">
        <f>HYPERLINK("https://www.nba.com/stats/events?CFID=&amp;CFPARAMS=&amp;GameEventID=49&amp;GameID=0041800404&amp;Season=2018-19&amp;flag=1&amp;title=Leonard%2010'%20Turnaround%20Fadeaway%20(2%20PTS)", "Leonard 10' Turnaround Fadeaway (2 PTS)")</f>
        <v>Leonard 10' Turnaround Fadeaway (2 PTS)</v>
      </c>
      <c r="K1627" s="2" t="str">
        <f>HYPERLINK("https://www.nba.com/game/...-vs-...-0041800404/play-by-play?watchFullGame=true", "TOR vs GSW - Q1 08:36.00")</f>
        <v>TOR vs GSW - Q1 08:36.00</v>
      </c>
      <c r="L1627">
        <v>10</v>
      </c>
      <c r="M1627">
        <v>-3</v>
      </c>
      <c r="N1627">
        <v>99</v>
      </c>
      <c r="O1627">
        <v>-3</v>
      </c>
      <c r="P1627">
        <v>99</v>
      </c>
    </row>
    <row r="1628" spans="1:16" x14ac:dyDescent="0.25">
      <c r="A1628">
        <v>41800212</v>
      </c>
      <c r="B1628" t="s">
        <v>20</v>
      </c>
      <c r="C1628" t="s">
        <v>32</v>
      </c>
      <c r="D1628" t="s">
        <v>46</v>
      </c>
      <c r="E1628">
        <v>77</v>
      </c>
      <c r="F1628">
        <v>83</v>
      </c>
      <c r="G1628">
        <v>4</v>
      </c>
      <c r="H1628" s="1">
        <v>2.4305555555555556E-3</v>
      </c>
      <c r="I1628" t="s">
        <v>21</v>
      </c>
      <c r="J1628" s="2" t="str">
        <f>HYPERLINK("https://www.nba.com/stats/events?CFID=&amp;CFPARAMS=&amp;GameEventID=608&amp;GameID=0041800212&amp;Season=2018-19&amp;flag=1&amp;title=Leonard%2010'%20Driving%20Floating%20Bank%20Jump%20Shot%20(34%20PTS)", "Leonard 10' Driving Floating Bank Jump Shot (34 PTS)")</f>
        <v>Leonard 10' Driving Floating Bank Jump Shot (34 PTS)</v>
      </c>
      <c r="K1628" s="2" t="str">
        <f>HYPERLINK("https://www.nba.com/game/...-vs-...-0041800212/play-by-play?watchFullGame=true", "TOR vs PHI - Q4 03:30.00")</f>
        <v>TOR vs PHI - Q4 03:30.00</v>
      </c>
      <c r="L1628">
        <v>10</v>
      </c>
      <c r="M1628">
        <v>-3</v>
      </c>
      <c r="N1628">
        <v>100</v>
      </c>
      <c r="O1628">
        <v>-3</v>
      </c>
      <c r="P1628">
        <v>100</v>
      </c>
    </row>
    <row r="1629" spans="1:16" x14ac:dyDescent="0.25">
      <c r="A1629">
        <v>22000105</v>
      </c>
      <c r="B1629">
        <v>2020</v>
      </c>
      <c r="C1629" t="s">
        <v>32</v>
      </c>
      <c r="D1629" t="s">
        <v>19</v>
      </c>
      <c r="E1629">
        <v>35</v>
      </c>
      <c r="F1629">
        <v>57</v>
      </c>
      <c r="G1629">
        <v>2</v>
      </c>
      <c r="H1629" s="1">
        <v>2.9282407407407408E-3</v>
      </c>
      <c r="I1629" t="s">
        <v>23</v>
      </c>
      <c r="J1629" s="2" t="str">
        <f>HYPERLINK("https://www.nba.com/stats/events?CFID=&amp;CFPARAMS=&amp;GameEventID=257&amp;GameID=0022000105&amp;Season=2020-21&amp;flag=1&amp;title=Leonard%2019'%20step%20back%20Jump%20Shot%20(8%20PTS)%20(P.%20Beverley%203%20AST)", "19' step back Jump Shot (8 PTS) (P. Beverley 3 AST)")</f>
        <v>19' step back Jump Shot (8 PTS) (P. Beverley 3 AST)</v>
      </c>
      <c r="K1629" s="2" t="str">
        <f>HYPERLINK("https://www.nba.com/game/...-vs-...-0022000105/play-by-play?watchFullGame=true", "LAC vs SAS - Q2 04:13.00")</f>
        <v>LAC vs SAS - Q2 04:13.00</v>
      </c>
      <c r="L1629">
        <v>19.899999999999999</v>
      </c>
      <c r="M1629">
        <v>26.76</v>
      </c>
      <c r="N1629">
        <v>50.56</v>
      </c>
      <c r="O1629">
        <v>-3</v>
      </c>
      <c r="P1629">
        <v>199</v>
      </c>
    </row>
    <row r="1630" spans="1:16" x14ac:dyDescent="0.25">
      <c r="A1630">
        <v>22000520</v>
      </c>
      <c r="B1630">
        <v>2020</v>
      </c>
      <c r="C1630" t="s">
        <v>16</v>
      </c>
      <c r="D1630" t="s">
        <v>19</v>
      </c>
      <c r="E1630">
        <v>45</v>
      </c>
      <c r="F1630">
        <v>41</v>
      </c>
      <c r="G1630">
        <v>2</v>
      </c>
      <c r="H1630" s="1">
        <v>2.7314814814814814E-3</v>
      </c>
      <c r="I1630" t="s">
        <v>23</v>
      </c>
      <c r="J1630" s="2" t="str">
        <f>HYPERLINK("https://www.nba.com/stats/events?CFID=&amp;CFPARAMS=&amp;GameEventID=253&amp;GameID=0022000520&amp;Season=2020-21&amp;flag=1&amp;title=Leonard%2025'%203PT%20pullup%20(14%20PTS)", "25' 3PT pullup (14 PTS)")</f>
        <v>25' 3PT pullup (14 PTS)</v>
      </c>
      <c r="K1630" s="2" t="str">
        <f>HYPERLINK("https://www.nba.com/game/...-vs-...-0022000520/play-by-play?watchFullGame=true", "LAC vs MIL - Q2 03:56.00")</f>
        <v>LAC vs MIL - Q2 03:56.00</v>
      </c>
      <c r="L1630">
        <v>25.43</v>
      </c>
      <c r="M1630">
        <v>67.36</v>
      </c>
      <c r="N1630">
        <v>49.33</v>
      </c>
      <c r="O1630">
        <v>-3</v>
      </c>
      <c r="P1630">
        <v>254</v>
      </c>
    </row>
    <row r="1631" spans="1:16" x14ac:dyDescent="0.25">
      <c r="A1631">
        <v>21900212</v>
      </c>
      <c r="B1631">
        <v>2019</v>
      </c>
      <c r="C1631" t="s">
        <v>16</v>
      </c>
      <c r="D1631" t="s">
        <v>22</v>
      </c>
      <c r="E1631">
        <v>30</v>
      </c>
      <c r="F1631">
        <v>31</v>
      </c>
      <c r="G1631">
        <v>2</v>
      </c>
      <c r="H1631" s="1">
        <v>5.7870370370370367E-3</v>
      </c>
      <c r="I1631" t="s">
        <v>23</v>
      </c>
      <c r="J1631" s="2" t="str">
        <f>HYPERLINK("https://www.nba.com/stats/events?CFID=&amp;CFPARAMS=&amp;GameEventID=211&amp;GameID=0021900212&amp;Season=2019-20&amp;flag=1&amp;title=Leonard%2028'%203PT%20%20(8%20PTS)%20(P.%20Beverley%202%20AST)", "28' 3PT  (8 PTS) (P. Beverley 2 AST)")</f>
        <v>28' 3PT  (8 PTS) (P. Beverley 2 AST)</v>
      </c>
      <c r="K1631" s="2" t="str">
        <f>HYPERLINK("https://www.nba.com/game/...-vs-...-0021900212/play-by-play?watchFullGame=true", "LAC vs BOS - Q2 08:20.00")</f>
        <v>LAC vs BOS - Q2 08:20.00</v>
      </c>
      <c r="L1631">
        <v>27.59</v>
      </c>
      <c r="M1631">
        <v>34.35</v>
      </c>
      <c r="N1631">
        <v>50.67</v>
      </c>
      <c r="O1631">
        <v>-3</v>
      </c>
      <c r="P1631">
        <v>270</v>
      </c>
    </row>
    <row r="1632" spans="1:16" x14ac:dyDescent="0.25">
      <c r="A1632">
        <v>41200313</v>
      </c>
      <c r="B1632" t="s">
        <v>27</v>
      </c>
      <c r="C1632" t="s">
        <v>32</v>
      </c>
      <c r="D1632" t="s">
        <v>57</v>
      </c>
      <c r="E1632">
        <v>42</v>
      </c>
      <c r="F1632">
        <v>33</v>
      </c>
      <c r="G1632">
        <v>2</v>
      </c>
      <c r="H1632" s="1">
        <v>3.4375E-3</v>
      </c>
      <c r="I1632" t="s">
        <v>18</v>
      </c>
      <c r="J1632" s="2" t="str">
        <f>HYPERLINK("https://www.nba.com/stats/events?CFID=&amp;CFPARAMS=&amp;GameEventID=179&amp;GameID=0041200313&amp;Season=2012-13&amp;flag=1&amp;title=Leonard%201'%20Layup%20(4%20PTS)", "Leonard 1' Layup (4 PTS)")</f>
        <v>Leonard 1' Layup (4 PTS)</v>
      </c>
      <c r="K1632" s="2" t="str">
        <f>HYPERLINK("https://www.nba.com/game/...-vs-...-0041200313/play-by-play?watchFullGame=true", "SAS vs MEM - Q2 04:57.00")</f>
        <v>SAS vs MEM - Q2 04:57.00</v>
      </c>
      <c r="L1632">
        <v>1</v>
      </c>
      <c r="M1632">
        <v>-2</v>
      </c>
      <c r="N1632">
        <v>-5</v>
      </c>
      <c r="O1632">
        <v>-2</v>
      </c>
      <c r="P1632">
        <v>-5</v>
      </c>
    </row>
    <row r="1633" spans="1:16" x14ac:dyDescent="0.25">
      <c r="A1633">
        <v>22000601</v>
      </c>
      <c r="B1633">
        <v>2020</v>
      </c>
      <c r="C1633" t="s">
        <v>32</v>
      </c>
      <c r="D1633" t="s">
        <v>47</v>
      </c>
      <c r="E1633">
        <v>60</v>
      </c>
      <c r="F1633">
        <v>52</v>
      </c>
      <c r="G1633">
        <v>2</v>
      </c>
      <c r="H1633" s="1">
        <v>1.2268518518518518E-3</v>
      </c>
      <c r="I1633" t="s">
        <v>23</v>
      </c>
      <c r="J1633" s="2" t="str">
        <f>HYPERLINK("https://www.nba.com/stats/events?CFID=&amp;CFPARAMS=&amp;GameEventID=298&amp;GameID=0022000601&amp;Season=2020-21&amp;flag=1&amp;title=Leonard%20running%20Layup%20(14%20PTS)%20(P.%20George%202%20AST)", "Running Layup (14 PTS) (P. George 2 AST)")</f>
        <v>Running Layup (14 PTS) (P. George 2 AST)</v>
      </c>
      <c r="K1633" s="2" t="str">
        <f>HYPERLINK("https://www.nba.com/game/...-vs-...-0022000601/play-by-play?watchFullGame=true", "LAC vs NOP - Q2 01:46.00")</f>
        <v>LAC vs NOP - Q2 01:46.00</v>
      </c>
      <c r="L1633">
        <v>0.39</v>
      </c>
      <c r="M1633">
        <v>5.21</v>
      </c>
      <c r="N1633">
        <v>50.31</v>
      </c>
      <c r="O1633">
        <v>-2</v>
      </c>
      <c r="P1633">
        <v>-4</v>
      </c>
    </row>
    <row r="1634" spans="1:16" x14ac:dyDescent="0.25">
      <c r="A1634">
        <v>41400163</v>
      </c>
      <c r="B1634" t="s">
        <v>28</v>
      </c>
      <c r="C1634" t="s">
        <v>32</v>
      </c>
      <c r="D1634" t="s">
        <v>57</v>
      </c>
      <c r="E1634">
        <v>54</v>
      </c>
      <c r="F1634">
        <v>40</v>
      </c>
      <c r="G1634">
        <v>3</v>
      </c>
      <c r="H1634" s="1">
        <v>5.9259259259259256E-3</v>
      </c>
      <c r="I1634" t="s">
        <v>18</v>
      </c>
      <c r="J1634" s="2" t="str">
        <f>HYPERLINK("https://www.nba.com/stats/events?CFID=&amp;CFPARAMS=&amp;GameEventID=265&amp;GameID=0041400163&amp;Season=2014-15&amp;flag=1&amp;title=Leonard%20%20Layup%20(22%20PTS)", "Leonard  Layup (22 PTS)")</f>
        <v>Leonard  Layup (22 PTS)</v>
      </c>
      <c r="K1634" s="2" t="str">
        <f>HYPERLINK("https://www.nba.com/game/...-vs-...-0041400163/play-by-play?watchFullGame=true", "SAS vs LAC - Q3 08:32.00")</f>
        <v>SAS vs LAC - Q3 08:32.00</v>
      </c>
      <c r="L1634">
        <v>0</v>
      </c>
      <c r="M1634">
        <v>-2</v>
      </c>
      <c r="N1634">
        <v>-3</v>
      </c>
      <c r="O1634">
        <v>-2</v>
      </c>
      <c r="P1634">
        <v>-3</v>
      </c>
    </row>
    <row r="1635" spans="1:16" x14ac:dyDescent="0.25">
      <c r="A1635">
        <v>21300421</v>
      </c>
      <c r="B1635">
        <v>2013</v>
      </c>
      <c r="C1635" t="s">
        <v>32</v>
      </c>
      <c r="D1635" t="s">
        <v>77</v>
      </c>
      <c r="E1635">
        <v>49</v>
      </c>
      <c r="F1635">
        <v>57</v>
      </c>
      <c r="G1635">
        <v>2</v>
      </c>
      <c r="H1635" s="1">
        <v>1.8287037037037037E-3</v>
      </c>
      <c r="I1635" t="s">
        <v>18</v>
      </c>
      <c r="J1635" s="2" t="str">
        <f>HYPERLINK("https://www.nba.com/stats/events?CFID=&amp;CFPARAMS=&amp;GameEventID=210&amp;GameID=0021300421&amp;Season=2013-14&amp;flag=1&amp;title=Leonard%20%20Finger%20Roll%20Layup%20(2%20PTS)", "Leonard  Finger Roll Layup (2 PTS)")</f>
        <v>Leonard  Finger Roll Layup (2 PTS)</v>
      </c>
      <c r="K1635" s="2" t="str">
        <f>HYPERLINK("https://www.nba.com/game/...-vs-...-0021300421/play-by-play?watchFullGame=true", "SAS vs HOU - Q2 02:38.00")</f>
        <v>SAS vs HOU - Q2 02:38.00</v>
      </c>
      <c r="L1635">
        <v>0</v>
      </c>
      <c r="M1635">
        <v>-2</v>
      </c>
      <c r="N1635">
        <v>-2</v>
      </c>
      <c r="O1635">
        <v>-2</v>
      </c>
      <c r="P1635">
        <v>-2</v>
      </c>
    </row>
    <row r="1636" spans="1:16" x14ac:dyDescent="0.25">
      <c r="A1636">
        <v>21300978</v>
      </c>
      <c r="B1636">
        <v>2013</v>
      </c>
      <c r="C1636" t="s">
        <v>32</v>
      </c>
      <c r="D1636" t="s">
        <v>62</v>
      </c>
      <c r="E1636">
        <v>58</v>
      </c>
      <c r="F1636">
        <v>31</v>
      </c>
      <c r="G1636">
        <v>2</v>
      </c>
      <c r="H1636" s="1">
        <v>2.1296296296296298E-3</v>
      </c>
      <c r="I1636" t="s">
        <v>18</v>
      </c>
      <c r="J1636" s="2" t="str">
        <f>HYPERLINK("https://www.nba.com/stats/events?CFID=&amp;CFPARAMS=&amp;GameEventID=245&amp;GameID=0021300978&amp;Season=2013-14&amp;flag=1&amp;title=Leonard%20%20Dunk%20(6%20PTS)%20(Joseph%205%20AST)", "Leonard  Dunk (6 PTS) (Joseph 5 AST)")</f>
        <v>Leonard  Dunk (6 PTS) (Joseph 5 AST)</v>
      </c>
      <c r="K1636" s="2" t="str">
        <f>HYPERLINK("https://www.nba.com/game/...-vs-...-0021300978/play-by-play?watchFullGame=true", "SAS vs LAL - Q2 03:04.00")</f>
        <v>SAS vs LAL - Q2 03:04.00</v>
      </c>
      <c r="L1636">
        <v>0</v>
      </c>
      <c r="M1636">
        <v>-2</v>
      </c>
      <c r="N1636">
        <v>-2</v>
      </c>
      <c r="O1636">
        <v>-2</v>
      </c>
      <c r="P1636">
        <v>-2</v>
      </c>
    </row>
    <row r="1637" spans="1:16" x14ac:dyDescent="0.25">
      <c r="A1637">
        <v>22000625</v>
      </c>
      <c r="B1637">
        <v>2020</v>
      </c>
      <c r="C1637" t="s">
        <v>32</v>
      </c>
      <c r="D1637" t="s">
        <v>48</v>
      </c>
      <c r="E1637">
        <v>58</v>
      </c>
      <c r="F1637">
        <v>53</v>
      </c>
      <c r="G1637">
        <v>3</v>
      </c>
      <c r="H1637" s="1">
        <v>7.3032407407407404E-3</v>
      </c>
      <c r="I1637" t="s">
        <v>23</v>
      </c>
      <c r="J1637" s="2" t="str">
        <f>HYPERLINK("https://www.nba.com/stats/events?CFID=&amp;CFPARAMS=&amp;GameEventID=355&amp;GameID=0022000625&amp;Season=2020-21&amp;flag=1&amp;title=Leonard%20driving%20DUNK%20(12%20PTS)", "Driving DUNK (12 PTS)")</f>
        <v>Driving DUNK (12 PTS)</v>
      </c>
      <c r="K1637" s="2" t="str">
        <f>HYPERLINK("https://www.nba.com/game/...-vs-...-0022000625/play-by-play?watchFullGame=true", "LAC vs DAL - Q3 10:31.00")</f>
        <v>LAC vs DAL - Q3 10:31.00</v>
      </c>
      <c r="L1637">
        <v>0.19</v>
      </c>
      <c r="M1637">
        <v>5.47</v>
      </c>
      <c r="N1637">
        <v>50.31</v>
      </c>
      <c r="O1637">
        <v>-2</v>
      </c>
      <c r="P1637">
        <v>-1</v>
      </c>
    </row>
    <row r="1638" spans="1:16" x14ac:dyDescent="0.25">
      <c r="A1638">
        <v>21300554</v>
      </c>
      <c r="B1638">
        <v>2013</v>
      </c>
      <c r="C1638" t="s">
        <v>32</v>
      </c>
      <c r="D1638" t="s">
        <v>62</v>
      </c>
      <c r="E1638">
        <v>60</v>
      </c>
      <c r="F1638">
        <v>53</v>
      </c>
      <c r="G1638">
        <v>3</v>
      </c>
      <c r="H1638" s="1">
        <v>6.1805555555555555E-3</v>
      </c>
      <c r="I1638" t="s">
        <v>18</v>
      </c>
      <c r="J1638" s="2" t="str">
        <f>HYPERLINK("https://www.nba.com/stats/events?CFID=&amp;CFPARAMS=&amp;GameEventID=267&amp;GameID=0021300554&amp;Season=2013-14&amp;flag=1&amp;title=Leonard%20%20Dunk%20(8%20PTS)%20(Belinelli%201%20AST)", "Leonard  Dunk (8 PTS) (Belinelli 1 AST)")</f>
        <v>Leonard  Dunk (8 PTS) (Belinelli 1 AST)</v>
      </c>
      <c r="K1638" s="2" t="str">
        <f>HYPERLINK("https://www.nba.com/game/...-vs-...-0021300554/play-by-play?watchFullGame=true", "SAS vs MIN - Q3 08:54.00")</f>
        <v>SAS vs MIN - Q3 08:54.00</v>
      </c>
      <c r="L1638">
        <v>0</v>
      </c>
      <c r="M1638">
        <v>-2</v>
      </c>
      <c r="N1638">
        <v>0</v>
      </c>
      <c r="O1638">
        <v>-2</v>
      </c>
      <c r="P1638">
        <v>0</v>
      </c>
    </row>
    <row r="1639" spans="1:16" x14ac:dyDescent="0.25">
      <c r="A1639">
        <v>21300321</v>
      </c>
      <c r="B1639">
        <v>2013</v>
      </c>
      <c r="C1639" t="s">
        <v>32</v>
      </c>
      <c r="D1639" t="s">
        <v>62</v>
      </c>
      <c r="E1639">
        <v>40</v>
      </c>
      <c r="F1639">
        <v>65</v>
      </c>
      <c r="G1639">
        <v>3</v>
      </c>
      <c r="H1639" s="1">
        <v>8.0902777777777778E-3</v>
      </c>
      <c r="I1639" t="s">
        <v>18</v>
      </c>
      <c r="J1639" s="2" t="str">
        <f>HYPERLINK("https://www.nba.com/stats/events?CFID=&amp;CFPARAMS=&amp;GameEventID=263&amp;GameID=0021300321&amp;Season=2013-14&amp;flag=1&amp;title=Leonard%20%20Dunk%20(9%20PTS)", "Leonard  Dunk (9 PTS)")</f>
        <v>Leonard  Dunk (9 PTS)</v>
      </c>
      <c r="K1639" s="2" t="str">
        <f>HYPERLINK("https://www.nba.com/game/...-vs-...-0021300321/play-by-play?watchFullGame=true", "SAS vs MIL - Q3 11:39.00")</f>
        <v>SAS vs MIL - Q3 11:39.00</v>
      </c>
      <c r="L1639">
        <v>0</v>
      </c>
      <c r="M1639">
        <v>-2</v>
      </c>
      <c r="N1639">
        <v>0</v>
      </c>
      <c r="O1639">
        <v>-2</v>
      </c>
      <c r="P1639">
        <v>0</v>
      </c>
    </row>
    <row r="1640" spans="1:16" x14ac:dyDescent="0.25">
      <c r="A1640">
        <v>41200152</v>
      </c>
      <c r="B1640" t="s">
        <v>27</v>
      </c>
      <c r="C1640" t="s">
        <v>32</v>
      </c>
      <c r="D1640" t="s">
        <v>51</v>
      </c>
      <c r="E1640">
        <v>22</v>
      </c>
      <c r="F1640">
        <v>20</v>
      </c>
      <c r="G1640">
        <v>1</v>
      </c>
      <c r="H1640" s="1">
        <v>1.0648148148148149E-3</v>
      </c>
      <c r="I1640" t="s">
        <v>18</v>
      </c>
      <c r="J1640" s="2" t="str">
        <f>HYPERLINK("https://www.nba.com/stats/events?CFID=&amp;CFPARAMS=&amp;GameEventID=96&amp;GameID=0041200152&amp;Season=2012-13&amp;flag=1&amp;title=Leonard%20%20Reverse%20Layup%20(8%20PTS)%20(Ginobili%201%20AST)", "Leonard  Reverse Layup (8 PTS) (Ginobili 1 AST)")</f>
        <v>Leonard  Reverse Layup (8 PTS) (Ginobili 1 AST)</v>
      </c>
      <c r="K1640" s="2" t="str">
        <f>HYPERLINK("https://www.nba.com/game/...-vs-...-0041200152/play-by-play?watchFullGame=true", "SAS vs LAL - Q1 01:32.00")</f>
        <v>SAS vs LAL - Q1 01:32.00</v>
      </c>
      <c r="L1640">
        <v>0</v>
      </c>
      <c r="M1640">
        <v>-2</v>
      </c>
      <c r="N1640">
        <v>0</v>
      </c>
      <c r="O1640">
        <v>-2</v>
      </c>
      <c r="P1640">
        <v>0</v>
      </c>
    </row>
    <row r="1641" spans="1:16" x14ac:dyDescent="0.25">
      <c r="A1641">
        <v>21401039</v>
      </c>
      <c r="B1641">
        <v>2014</v>
      </c>
      <c r="C1641" t="s">
        <v>32</v>
      </c>
      <c r="D1641" t="s">
        <v>59</v>
      </c>
      <c r="E1641">
        <v>65</v>
      </c>
      <c r="F1641">
        <v>83</v>
      </c>
      <c r="G1641">
        <v>3</v>
      </c>
      <c r="H1641" s="1">
        <v>2.3148148148148147E-5</v>
      </c>
      <c r="I1641" t="s">
        <v>18</v>
      </c>
      <c r="J1641" s="2" t="str">
        <f>HYPERLINK("https://www.nba.com/stats/events?CFID=&amp;CFPARAMS=&amp;GameEventID=379&amp;GameID=0021401039&amp;Season=2014-15&amp;flag=1&amp;title=Leonard%20%20Putback%20Layup%20(17%20PTS)", "Leonard  Putback Layup (17 PTS)")</f>
        <v>Leonard  Putback Layup (17 PTS)</v>
      </c>
      <c r="K1641" s="2" t="str">
        <f>HYPERLINK("https://www.nba.com/game/...-vs-...-0021401039/play-by-play?watchFullGame=true", "SAS vs ATL - Q3 00:02.00")</f>
        <v>SAS vs ATL - Q3 00:02.00</v>
      </c>
      <c r="L1641">
        <v>0</v>
      </c>
      <c r="M1641">
        <v>-2</v>
      </c>
      <c r="N1641">
        <v>0</v>
      </c>
      <c r="O1641">
        <v>-2</v>
      </c>
      <c r="P1641">
        <v>0</v>
      </c>
    </row>
    <row r="1642" spans="1:16" x14ac:dyDescent="0.25">
      <c r="A1642">
        <v>21300554</v>
      </c>
      <c r="B1642">
        <v>2013</v>
      </c>
      <c r="C1642" t="s">
        <v>32</v>
      </c>
      <c r="D1642" t="s">
        <v>57</v>
      </c>
      <c r="E1642">
        <v>95</v>
      </c>
      <c r="F1642">
        <v>79</v>
      </c>
      <c r="G1642">
        <v>4</v>
      </c>
      <c r="H1642" s="1">
        <v>3.425925925925926E-3</v>
      </c>
      <c r="I1642" t="s">
        <v>18</v>
      </c>
      <c r="J1642" s="2" t="str">
        <f>HYPERLINK("https://www.nba.com/stats/events?CFID=&amp;CFPARAMS=&amp;GameEventID=430&amp;GameID=0021300554&amp;Season=2013-14&amp;flag=1&amp;title=Leonard%20%20Layup%20(17%20PTS)", "Leonard  Layup (17 PTS)")</f>
        <v>Leonard  Layup (17 PTS)</v>
      </c>
      <c r="K1642" s="2" t="str">
        <f>HYPERLINK("https://www.nba.com/game/...-vs-...-0021300554/play-by-play?watchFullGame=true", "SAS vs MIN - Q4 04:56.00")</f>
        <v>SAS vs MIN - Q4 04:56.00</v>
      </c>
      <c r="L1642">
        <v>0</v>
      </c>
      <c r="M1642">
        <v>-2</v>
      </c>
      <c r="N1642">
        <v>0</v>
      </c>
      <c r="O1642">
        <v>-2</v>
      </c>
      <c r="P1642">
        <v>0</v>
      </c>
    </row>
    <row r="1643" spans="1:16" x14ac:dyDescent="0.25">
      <c r="A1643">
        <v>41300313</v>
      </c>
      <c r="B1643" t="s">
        <v>26</v>
      </c>
      <c r="C1643" t="s">
        <v>32</v>
      </c>
      <c r="D1643" t="s">
        <v>57</v>
      </c>
      <c r="E1643">
        <v>97</v>
      </c>
      <c r="F1643">
        <v>82</v>
      </c>
      <c r="G1643">
        <v>4</v>
      </c>
      <c r="H1643" s="1">
        <v>4.8958333333333336E-3</v>
      </c>
      <c r="I1643" t="s">
        <v>18</v>
      </c>
      <c r="J1643" s="2" t="str">
        <f>HYPERLINK("https://www.nba.com/stats/events?CFID=&amp;CFPARAMS=&amp;GameEventID=478&amp;GameID=0041300313&amp;Season=2013-14&amp;flag=1&amp;title=Leonard%20%20Layup%20(10%20PTS)%20(Ginobili%204%20AST)", "Leonard  Layup (10 PTS) (Ginobili 4 AST)")</f>
        <v>Leonard  Layup (10 PTS) (Ginobili 4 AST)</v>
      </c>
      <c r="K1643" s="2" t="str">
        <f>HYPERLINK("https://www.nba.com/game/...-vs-...-0041300313/play-by-play?watchFullGame=true", "SAS vs OKC - Q4 07:03.00")</f>
        <v>SAS vs OKC - Q4 07:03.00</v>
      </c>
      <c r="L1643">
        <v>0</v>
      </c>
      <c r="M1643">
        <v>-2</v>
      </c>
      <c r="N1643">
        <v>1</v>
      </c>
      <c r="O1643">
        <v>-2</v>
      </c>
      <c r="P1643">
        <v>1</v>
      </c>
    </row>
    <row r="1644" spans="1:16" x14ac:dyDescent="0.25">
      <c r="A1644">
        <v>22000867</v>
      </c>
      <c r="B1644">
        <v>2020</v>
      </c>
      <c r="C1644" t="s">
        <v>32</v>
      </c>
      <c r="D1644" t="s">
        <v>47</v>
      </c>
      <c r="E1644">
        <v>81</v>
      </c>
      <c r="F1644">
        <v>56</v>
      </c>
      <c r="G1644">
        <v>3</v>
      </c>
      <c r="H1644" s="1">
        <v>6.4930555555555557E-3</v>
      </c>
      <c r="I1644" t="s">
        <v>23</v>
      </c>
      <c r="J1644" s="2" t="str">
        <f>HYPERLINK("https://www.nba.com/stats/events?CFID=&amp;CFPARAMS=&amp;GameEventID=378&amp;GameID=0022000867&amp;Season=2020-21&amp;flag=1&amp;title=Leonard%20running%20alley-oop%20Layup%20(12%20PTS)%20(R.%20Jackson%204%20AST)", "Running alley-oop Layup (12 PTS) (R. Jackson 4 AST)")</f>
        <v>Running alley-oop Layup (12 PTS) (R. Jackson 4 AST)</v>
      </c>
      <c r="K1644" s="2" t="str">
        <f>HYPERLINK("https://www.nba.com/game/...-vs-...-0022000867/play-by-play?watchFullGame=true", "LAC vs MIN - Q3 09:21.00")</f>
        <v>LAC vs MIN - Q3 09:21.00</v>
      </c>
      <c r="L1644">
        <v>0.21</v>
      </c>
      <c r="M1644">
        <v>5.73</v>
      </c>
      <c r="N1644">
        <v>50.31</v>
      </c>
      <c r="O1644">
        <v>-2</v>
      </c>
      <c r="P1644">
        <v>1</v>
      </c>
    </row>
    <row r="1645" spans="1:16" x14ac:dyDescent="0.25">
      <c r="A1645">
        <v>22200668</v>
      </c>
      <c r="B1645">
        <v>2022</v>
      </c>
      <c r="C1645" t="s">
        <v>32</v>
      </c>
      <c r="D1645" t="s">
        <v>48</v>
      </c>
      <c r="E1645">
        <v>52</v>
      </c>
      <c r="F1645">
        <v>60</v>
      </c>
      <c r="G1645">
        <v>2</v>
      </c>
      <c r="H1645" s="1">
        <v>1.076388888888889E-4</v>
      </c>
      <c r="I1645" t="s">
        <v>23</v>
      </c>
      <c r="J1645" s="2" t="str">
        <f>HYPERLINK("https://www.nba.com/stats/events?CFID=&amp;CFPARAMS=&amp;GameEventID=310&amp;GameID=0022200668&amp;Season=2022-23&amp;flag=1&amp;title=Leonard%20running%20DUNK%20(13%20PTS)", "Running DUNK (13 PTS)")</f>
        <v>Running DUNK (13 PTS)</v>
      </c>
      <c r="K1645" s="2" t="str">
        <f>HYPERLINK("https://www.nba.com/game/...-vs-...-0022200668/play-by-play?watchFullGame=true", "LAC vs PHI - Q2 00:09.30")</f>
        <v>LAC vs PHI - Q2 00:09.30</v>
      </c>
      <c r="L1645">
        <v>0.28999999999999998</v>
      </c>
      <c r="M1645">
        <v>94.27</v>
      </c>
      <c r="N1645">
        <v>49.51</v>
      </c>
      <c r="O1645">
        <v>-2</v>
      </c>
      <c r="P1645">
        <v>1</v>
      </c>
    </row>
    <row r="1646" spans="1:16" x14ac:dyDescent="0.25">
      <c r="A1646">
        <v>21400282</v>
      </c>
      <c r="B1646">
        <v>2014</v>
      </c>
      <c r="C1646" t="s">
        <v>32</v>
      </c>
      <c r="D1646" t="s">
        <v>51</v>
      </c>
      <c r="E1646">
        <v>4</v>
      </c>
      <c r="F1646">
        <v>15</v>
      </c>
      <c r="G1646">
        <v>1</v>
      </c>
      <c r="H1646" s="1">
        <v>4.3750000000000004E-3</v>
      </c>
      <c r="I1646" t="s">
        <v>18</v>
      </c>
      <c r="J1646" s="2" t="str">
        <f>HYPERLINK("https://www.nba.com/stats/events?CFID=&amp;CFPARAMS=&amp;GameEventID=50&amp;GameID=0021400282&amp;Season=2014-15&amp;flag=1&amp;title=Leonard%20%20Reverse%20Layup%20(7%20PTS)%20(Duncan%201%20AST)", "Leonard  Reverse Layup (7 PTS) (Duncan 1 AST)")</f>
        <v>Leonard  Reverse Layup (7 PTS) (Duncan 1 AST)</v>
      </c>
      <c r="K1646" s="2" t="str">
        <f>HYPERLINK("https://www.nba.com/game/...-vs-...-0021400282/play-by-play?watchFullGame=true", "SAS vs MEM - Q1 06:18.00")</f>
        <v>SAS vs MEM - Q1 06:18.00</v>
      </c>
      <c r="L1646">
        <v>0</v>
      </c>
      <c r="M1646">
        <v>-2</v>
      </c>
      <c r="N1646">
        <v>1</v>
      </c>
      <c r="O1646">
        <v>-2</v>
      </c>
      <c r="P1646">
        <v>1</v>
      </c>
    </row>
    <row r="1647" spans="1:16" x14ac:dyDescent="0.25">
      <c r="A1647">
        <v>21601135</v>
      </c>
      <c r="B1647">
        <v>2016</v>
      </c>
      <c r="C1647" t="s">
        <v>32</v>
      </c>
      <c r="D1647" t="s">
        <v>57</v>
      </c>
      <c r="E1647">
        <v>71</v>
      </c>
      <c r="F1647">
        <v>65</v>
      </c>
      <c r="G1647">
        <v>3</v>
      </c>
      <c r="H1647" s="1">
        <v>1.4467592592592592E-3</v>
      </c>
      <c r="I1647" t="s">
        <v>18</v>
      </c>
      <c r="J1647" s="2" t="str">
        <f>HYPERLINK("https://www.nba.com/stats/events?CFID=&amp;CFPARAMS=&amp;GameEventID=408&amp;GameID=0021601135&amp;Season=2016-17&amp;flag=1&amp;title=Leonard%20%20Layup%20(18%20PTS)%20(Ginobili%204%20AST)", "Leonard  Layup (18 PTS) (Ginobili 4 AST)")</f>
        <v>Leonard  Layup (18 PTS) (Ginobili 4 AST)</v>
      </c>
      <c r="K1647" s="2" t="str">
        <f>HYPERLINK("https://www.nba.com/game/...-vs-...-0021601135/play-by-play?watchFullGame=true", "SAS vs OKC - Q3 02:05.00")</f>
        <v>SAS vs OKC - Q3 02:05.00</v>
      </c>
      <c r="L1647">
        <v>0</v>
      </c>
      <c r="M1647">
        <v>-2</v>
      </c>
      <c r="N1647">
        <v>2</v>
      </c>
      <c r="O1647">
        <v>-2</v>
      </c>
      <c r="P1647">
        <v>2</v>
      </c>
    </row>
    <row r="1648" spans="1:16" x14ac:dyDescent="0.25">
      <c r="A1648">
        <v>21300465</v>
      </c>
      <c r="B1648">
        <v>2013</v>
      </c>
      <c r="C1648" t="s">
        <v>32</v>
      </c>
      <c r="D1648" t="s">
        <v>51</v>
      </c>
      <c r="E1648">
        <v>71</v>
      </c>
      <c r="F1648">
        <v>48</v>
      </c>
      <c r="G1648">
        <v>3</v>
      </c>
      <c r="H1648" s="1">
        <v>4.6874999999999998E-3</v>
      </c>
      <c r="I1648" t="s">
        <v>18</v>
      </c>
      <c r="J1648" s="2" t="str">
        <f>HYPERLINK("https://www.nba.com/stats/events?CFID=&amp;CFPARAMS=&amp;GameEventID=329&amp;GameID=0021300465&amp;Season=2013-14&amp;flag=1&amp;title=Leonard%20%20Reverse%20Layup%20(4%20PTS)%20(Diaw%202%20AST)", "Leonard  Reverse Layup (4 PTS) (Diaw 2 AST)")</f>
        <v>Leonard  Reverse Layup (4 PTS) (Diaw 2 AST)</v>
      </c>
      <c r="K1648" s="2" t="str">
        <f>HYPERLINK("https://www.nba.com/game/...-vs-...-0021300465/play-by-play?watchFullGame=true", "SAS vs BKN - Q3 06:45.00")</f>
        <v>SAS vs BKN - Q3 06:45.00</v>
      </c>
      <c r="L1648">
        <v>0</v>
      </c>
      <c r="M1648">
        <v>-2</v>
      </c>
      <c r="N1648">
        <v>3</v>
      </c>
      <c r="O1648">
        <v>-2</v>
      </c>
      <c r="P1648">
        <v>3</v>
      </c>
    </row>
    <row r="1649" spans="1:16" x14ac:dyDescent="0.25">
      <c r="A1649">
        <v>41200401</v>
      </c>
      <c r="B1649" t="s">
        <v>27</v>
      </c>
      <c r="C1649" t="s">
        <v>32</v>
      </c>
      <c r="D1649" t="s">
        <v>67</v>
      </c>
      <c r="E1649">
        <v>58</v>
      </c>
      <c r="F1649">
        <v>55</v>
      </c>
      <c r="G1649">
        <v>3</v>
      </c>
      <c r="H1649" s="1">
        <v>5.4166666666666669E-3</v>
      </c>
      <c r="I1649" t="s">
        <v>18</v>
      </c>
      <c r="J1649" s="2" t="str">
        <f>HYPERLINK("https://www.nba.com/stats/events?CFID=&amp;CFPARAMS=&amp;GameEventID=287&amp;GameID=0041200401&amp;Season=2012-13&amp;flag=1&amp;title=Leonard%20%20Driving%20Dunk%20(8%20PTS)", "Leonard  Driving Dunk (8 PTS)")</f>
        <v>Leonard  Driving Dunk (8 PTS)</v>
      </c>
      <c r="K1649" s="2" t="str">
        <f>HYPERLINK("https://www.nba.com/game/...-vs-...-0041200401/play-by-play?watchFullGame=true", "SAS vs MIA - Q3 07:48.00")</f>
        <v>SAS vs MIA - Q3 07:48.00</v>
      </c>
      <c r="L1649">
        <v>0</v>
      </c>
      <c r="M1649">
        <v>-2</v>
      </c>
      <c r="N1649">
        <v>3</v>
      </c>
      <c r="O1649">
        <v>-2</v>
      </c>
      <c r="P1649">
        <v>3</v>
      </c>
    </row>
    <row r="1650" spans="1:16" x14ac:dyDescent="0.25">
      <c r="A1650">
        <v>22000387</v>
      </c>
      <c r="B1650">
        <v>2020</v>
      </c>
      <c r="C1650" t="s">
        <v>32</v>
      </c>
      <c r="D1650" t="s">
        <v>48</v>
      </c>
      <c r="E1650">
        <v>64</v>
      </c>
      <c r="F1650">
        <v>67</v>
      </c>
      <c r="G1650">
        <v>3</v>
      </c>
      <c r="H1650" s="1">
        <v>3.3564814814814816E-3</v>
      </c>
      <c r="I1650" t="s">
        <v>23</v>
      </c>
      <c r="J1650" s="2" t="str">
        <f>HYPERLINK("https://www.nba.com/stats/events?CFID=&amp;CFPARAMS=&amp;GameEventID=423&amp;GameID=0022000387&amp;Season=2020-21&amp;flag=1&amp;title=Leonard%20running%20alley-oop%20DUNK%20(19%20PTS)%20(T.%20Mann%201%20AST)", "Running alley-oop DUNK (19 PTS) (T. Mann 1 AST)")</f>
        <v>Running alley-oop DUNK (19 PTS) (T. Mann 1 AST)</v>
      </c>
      <c r="K1650" s="2" t="str">
        <f>HYPERLINK("https://www.nba.com/game/...-vs-...-0022000387/play-by-play?watchFullGame=true", "LAC vs MIN - Q3 04:50.00")</f>
        <v>LAC vs MIN - Q3 04:50.00</v>
      </c>
      <c r="L1650">
        <v>0.31</v>
      </c>
      <c r="M1650">
        <v>5.86</v>
      </c>
      <c r="N1650">
        <v>50.31</v>
      </c>
      <c r="O1650">
        <v>-2</v>
      </c>
      <c r="P1650">
        <v>3</v>
      </c>
    </row>
    <row r="1651" spans="1:16" x14ac:dyDescent="0.25">
      <c r="A1651">
        <v>21401200</v>
      </c>
      <c r="B1651">
        <v>2014</v>
      </c>
      <c r="C1651" t="s">
        <v>32</v>
      </c>
      <c r="D1651" t="s">
        <v>57</v>
      </c>
      <c r="E1651">
        <v>4</v>
      </c>
      <c r="F1651">
        <v>2</v>
      </c>
      <c r="G1651">
        <v>1</v>
      </c>
      <c r="H1651" s="1">
        <v>7.2685185185185188E-3</v>
      </c>
      <c r="I1651" t="s">
        <v>18</v>
      </c>
      <c r="J1651" s="2" t="str">
        <f>HYPERLINK("https://www.nba.com/stats/events?CFID=&amp;CFPARAMS=&amp;GameEventID=10&amp;GameID=0021401200&amp;Season=2014-15&amp;flag=1&amp;title=Leonard%20%20Layup%20(2%20PTS)%20(Parker%202%20AST)", "Leonard  Layup (2 PTS) (Parker 2 AST)")</f>
        <v>Leonard  Layup (2 PTS) (Parker 2 AST)</v>
      </c>
      <c r="K1651" s="2" t="str">
        <f>HYPERLINK("https://www.nba.com/game/...-vs-...-0021401200/play-by-play?watchFullGame=true", "SAS vs PHX - Q1 10:28.00")</f>
        <v>SAS vs PHX - Q1 10:28.00</v>
      </c>
      <c r="L1651">
        <v>0</v>
      </c>
      <c r="M1651">
        <v>-2</v>
      </c>
      <c r="N1651">
        <v>4</v>
      </c>
      <c r="O1651">
        <v>-2</v>
      </c>
      <c r="P1651">
        <v>4</v>
      </c>
    </row>
    <row r="1652" spans="1:16" x14ac:dyDescent="0.25">
      <c r="A1652">
        <v>41800114</v>
      </c>
      <c r="B1652" t="s">
        <v>20</v>
      </c>
      <c r="C1652" t="s">
        <v>32</v>
      </c>
      <c r="D1652" t="s">
        <v>49</v>
      </c>
      <c r="E1652">
        <v>75</v>
      </c>
      <c r="F1652">
        <v>92</v>
      </c>
      <c r="G1652">
        <v>4</v>
      </c>
      <c r="H1652" s="1">
        <v>5.7986111111111112E-3</v>
      </c>
      <c r="I1652" t="s">
        <v>21</v>
      </c>
      <c r="J1652" s="2" t="str">
        <f>HYPERLINK("https://www.nba.com/stats/events?CFID=&amp;CFPARAMS=&amp;GameEventID=476&amp;GameID=0041800114&amp;Season=2018-19&amp;flag=1&amp;title=Leonard%20Driving%20Layup%20(32%20PTS)", "Leonard Driving Layup (32 PTS)")</f>
        <v>Leonard Driving Layup (32 PTS)</v>
      </c>
      <c r="K1652" s="2" t="str">
        <f>HYPERLINK("https://www.nba.com/game/...-vs-...-0041800114/play-by-play?watchFullGame=true", "TOR vs ORL - Q4 08:21.00")</f>
        <v>TOR vs ORL - Q4 08:21.00</v>
      </c>
      <c r="L1652">
        <v>0</v>
      </c>
      <c r="M1652">
        <v>-2</v>
      </c>
      <c r="N1652">
        <v>4</v>
      </c>
      <c r="O1652">
        <v>-2</v>
      </c>
      <c r="P1652">
        <v>4</v>
      </c>
    </row>
    <row r="1653" spans="1:16" x14ac:dyDescent="0.25">
      <c r="A1653">
        <v>22300807</v>
      </c>
      <c r="B1653">
        <v>2023</v>
      </c>
      <c r="C1653" t="s">
        <v>32</v>
      </c>
      <c r="D1653" t="s">
        <v>48</v>
      </c>
      <c r="E1653">
        <v>93</v>
      </c>
      <c r="F1653">
        <v>94</v>
      </c>
      <c r="G1653">
        <v>4</v>
      </c>
      <c r="H1653" s="1">
        <v>1.0995370370370371E-3</v>
      </c>
      <c r="I1653" t="s">
        <v>23</v>
      </c>
      <c r="J1653" s="2" t="str">
        <f>HYPERLINK("https://www.nba.com/stats/events?CFID=&amp;CFPARAMS=&amp;GameEventID=620&amp;GameID=0022300807&amp;Season=2023-24&amp;flag=1&amp;title=Leonard%20running%20DUNK%20(22%20PTS)", "Running DUNK (22 PTS)")</f>
        <v>Running DUNK (22 PTS)</v>
      </c>
      <c r="K1653" s="2" t="str">
        <f>HYPERLINK("https://www.nba.com/game/...-vs-...-0022300807/play-by-play?watchFullGame=true", "LAC vs MEM - Q4 01:35.00")</f>
        <v>LAC vs MEM - Q4 01:35.00</v>
      </c>
      <c r="L1653">
        <v>0.43</v>
      </c>
      <c r="M1653">
        <v>94.04</v>
      </c>
      <c r="N1653">
        <v>49.51</v>
      </c>
      <c r="O1653">
        <v>-2</v>
      </c>
      <c r="P1653">
        <v>4</v>
      </c>
    </row>
    <row r="1654" spans="1:16" x14ac:dyDescent="0.25">
      <c r="A1654">
        <v>22300658</v>
      </c>
      <c r="B1654">
        <v>2023</v>
      </c>
      <c r="C1654" t="s">
        <v>32</v>
      </c>
      <c r="D1654" t="s">
        <v>47</v>
      </c>
      <c r="E1654">
        <v>42</v>
      </c>
      <c r="F1654">
        <v>47</v>
      </c>
      <c r="G1654">
        <v>2</v>
      </c>
      <c r="H1654" s="1">
        <v>3.0555555555555557E-3</v>
      </c>
      <c r="I1654" t="s">
        <v>23</v>
      </c>
      <c r="J1654" s="2" t="str">
        <f>HYPERLINK("https://www.nba.com/stats/events?CFID=&amp;CFPARAMS=&amp;GameEventID=261&amp;GameID=0022300658&amp;Season=2023-24&amp;flag=1&amp;title=Leonard%20cutting%20Layup%20(10%20PTS)%20(J.%20Harden%205%20AST)", "Cutting Layup (10 PTS) (J. Harden 5 AST)")</f>
        <v>Cutting Layup (10 PTS) (J. Harden 5 AST)</v>
      </c>
      <c r="K1654" s="2" t="str">
        <f>HYPERLINK("https://www.nba.com/game/...-vs-...-0022300658/play-by-play?watchFullGame=true", "LAC vs CLE - Q2 04:24.00")</f>
        <v>LAC vs CLE - Q2 04:24.00</v>
      </c>
      <c r="L1654">
        <v>0.43</v>
      </c>
      <c r="M1654">
        <v>94.04</v>
      </c>
      <c r="N1654">
        <v>49.51</v>
      </c>
      <c r="O1654">
        <v>-2</v>
      </c>
      <c r="P1654">
        <v>4</v>
      </c>
    </row>
    <row r="1655" spans="1:16" x14ac:dyDescent="0.25">
      <c r="A1655">
        <v>41300313</v>
      </c>
      <c r="B1655" t="s">
        <v>26</v>
      </c>
      <c r="C1655" t="s">
        <v>32</v>
      </c>
      <c r="D1655" t="s">
        <v>62</v>
      </c>
      <c r="E1655">
        <v>67</v>
      </c>
      <c r="F1655">
        <v>59</v>
      </c>
      <c r="G1655">
        <v>3</v>
      </c>
      <c r="H1655" s="1">
        <v>5.5787037037037038E-3</v>
      </c>
      <c r="I1655" t="s">
        <v>18</v>
      </c>
      <c r="J1655" s="2" t="str">
        <f>HYPERLINK("https://www.nba.com/stats/events?CFID=&amp;CFPARAMS=&amp;GameEventID=290&amp;GameID=0041300313&amp;Season=2013-14&amp;flag=1&amp;title=Leonard%201'%20Dunk%20(8%20PTS)%20(Parker%204%20AST)", "Leonard 1' Dunk (8 PTS) (Parker 4 AST)")</f>
        <v>Leonard 1' Dunk (8 PTS) (Parker 4 AST)</v>
      </c>
      <c r="K1655" s="2" t="str">
        <f>HYPERLINK("https://www.nba.com/game/...-vs-...-0041300313/play-by-play?watchFullGame=true", "SAS vs OKC - Q3 08:02.00")</f>
        <v>SAS vs OKC - Q3 08:02.00</v>
      </c>
      <c r="L1655">
        <v>1</v>
      </c>
      <c r="M1655">
        <v>-2</v>
      </c>
      <c r="N1655">
        <v>7</v>
      </c>
      <c r="O1655">
        <v>-2</v>
      </c>
      <c r="P1655">
        <v>7</v>
      </c>
    </row>
    <row r="1656" spans="1:16" x14ac:dyDescent="0.25">
      <c r="A1656">
        <v>21500516</v>
      </c>
      <c r="B1656">
        <v>2015</v>
      </c>
      <c r="C1656" t="s">
        <v>32</v>
      </c>
      <c r="D1656" t="s">
        <v>56</v>
      </c>
      <c r="E1656">
        <v>69</v>
      </c>
      <c r="F1656">
        <v>83</v>
      </c>
      <c r="G1656">
        <v>3</v>
      </c>
      <c r="H1656" s="1">
        <v>1.7939814814814815E-3</v>
      </c>
      <c r="I1656" t="s">
        <v>18</v>
      </c>
      <c r="J1656" s="2" t="str">
        <f>HYPERLINK("https://www.nba.com/stats/events?CFID=&amp;CFPARAMS=&amp;GameEventID=380&amp;GameID=0021500516&amp;Season=2015-16&amp;flag=1&amp;title=Leonard%201'%20Running%20Layup%20(20%20PTS)%20(Ginobili%205%20AST)", "Leonard 1' Running Layup (20 PTS) (Ginobili 5 AST)")</f>
        <v>Leonard 1' Running Layup (20 PTS) (Ginobili 5 AST)</v>
      </c>
      <c r="K1656" s="2" t="str">
        <f>HYPERLINK("https://www.nba.com/game/...-vs-...-0021500516/play-by-play?watchFullGame=true", "SAS vs MIL - Q3 02:35.00")</f>
        <v>SAS vs MIL - Q3 02:35.00</v>
      </c>
      <c r="L1656">
        <v>1</v>
      </c>
      <c r="M1656">
        <v>-2</v>
      </c>
      <c r="N1656">
        <v>8</v>
      </c>
      <c r="O1656">
        <v>-2</v>
      </c>
      <c r="P1656">
        <v>8</v>
      </c>
    </row>
    <row r="1657" spans="1:16" x14ac:dyDescent="0.25">
      <c r="A1657">
        <v>22400596</v>
      </c>
      <c r="B1657">
        <v>2024</v>
      </c>
      <c r="C1657" t="s">
        <v>32</v>
      </c>
      <c r="D1657" t="s">
        <v>47</v>
      </c>
      <c r="E1657">
        <v>77</v>
      </c>
      <c r="F1657">
        <v>56</v>
      </c>
      <c r="G1657">
        <v>3</v>
      </c>
      <c r="H1657" s="1">
        <v>5.5439814814814813E-3</v>
      </c>
      <c r="I1657" t="s">
        <v>23</v>
      </c>
      <c r="J1657" s="2" t="str">
        <f>HYPERLINK("https://www.nba.com/stats/events?CFID=&amp;CFPARAMS=&amp;GameEventID=332&amp;GameID=0022400596&amp;Season=2024-25&amp;flag=1&amp;title=Leonard%20Layup%20(13%20PTS)%20(J.%20Harden%207%20AST)", "Layup (13 PTS) (J. Harden 7 AST)")</f>
        <v>Layup (13 PTS) (J. Harden 7 AST)</v>
      </c>
      <c r="K1657" s="2" t="str">
        <f>HYPERLINK("https://www.nba.com/game/...-vs-...-0022400596/play-by-play?watchFullGame=true", "LAC vs LAL - Q3 07:59.00")</f>
        <v>LAC vs LAL - Q3 07:59.00</v>
      </c>
      <c r="L1657">
        <v>0.8</v>
      </c>
      <c r="M1657">
        <v>6.39</v>
      </c>
      <c r="N1657">
        <v>50.49</v>
      </c>
      <c r="O1657">
        <v>-2</v>
      </c>
      <c r="P1657">
        <v>8</v>
      </c>
    </row>
    <row r="1658" spans="1:16" x14ac:dyDescent="0.25">
      <c r="A1658">
        <v>22000105</v>
      </c>
      <c r="B1658">
        <v>2020</v>
      </c>
      <c r="C1658" t="s">
        <v>32</v>
      </c>
      <c r="D1658" t="s">
        <v>48</v>
      </c>
      <c r="E1658">
        <v>27</v>
      </c>
      <c r="F1658">
        <v>26</v>
      </c>
      <c r="G1658">
        <v>1</v>
      </c>
      <c r="H1658" s="1">
        <v>8.2175925925925927E-4</v>
      </c>
      <c r="I1658" t="s">
        <v>23</v>
      </c>
      <c r="J1658" s="2" t="str">
        <f>HYPERLINK("https://www.nba.com/stats/events?CFID=&amp;CFPARAMS=&amp;GameEventID=119&amp;GameID=0022000105&amp;Season=2020-21&amp;flag=1&amp;title=Leonard%20running%20DUNK%20(6%20PTS)", "Running DUNK (6 PTS)")</f>
        <v>Running DUNK (6 PTS)</v>
      </c>
      <c r="K1658" s="2" t="str">
        <f>HYPERLINK("https://www.nba.com/game/...-vs-...-0022000105/play-by-play?watchFullGame=true", "LAC vs SAS - Q1 01:11.00")</f>
        <v>LAC vs SAS - Q1 01:11.00</v>
      </c>
      <c r="L1658">
        <v>0.78</v>
      </c>
      <c r="M1658">
        <v>6.39</v>
      </c>
      <c r="N1658">
        <v>50.31</v>
      </c>
      <c r="O1658">
        <v>-2</v>
      </c>
      <c r="P1658">
        <v>8</v>
      </c>
    </row>
    <row r="1659" spans="1:16" x14ac:dyDescent="0.25">
      <c r="A1659">
        <v>21900576</v>
      </c>
      <c r="B1659">
        <v>2019</v>
      </c>
      <c r="C1659" t="s">
        <v>32</v>
      </c>
      <c r="D1659" t="s">
        <v>65</v>
      </c>
      <c r="E1659">
        <v>106</v>
      </c>
      <c r="F1659">
        <v>100</v>
      </c>
      <c r="G1659">
        <v>4</v>
      </c>
      <c r="H1659" s="1">
        <v>8.7962962962962962E-4</v>
      </c>
      <c r="I1659" t="s">
        <v>23</v>
      </c>
      <c r="J1659" s="2" t="str">
        <f>HYPERLINK("https://www.nba.com/stats/events?CFID=&amp;CFPARAMS=&amp;GameEventID=695&amp;GameID=0021900576&amp;Season=2019-20&amp;flag=1&amp;title=Leonard%20dunk%20(36%20PTS)%20(L.%20Williams%207%20AST)", "Dunk (36 PTS) (L. Williams 7 AST)")</f>
        <v>Dunk (36 PTS) (L. Williams 7 AST)</v>
      </c>
      <c r="K1659" s="2" t="str">
        <f>HYPERLINK("https://www.nba.com/game/...-vs-...-0021900576/play-by-play?watchFullGame=true", "LAC vs GSW - Q4 01:16.00")</f>
        <v>LAC vs GSW - Q4 01:16.00</v>
      </c>
      <c r="L1659">
        <v>1.42</v>
      </c>
      <c r="M1659">
        <v>6.49</v>
      </c>
      <c r="N1659">
        <v>50.42</v>
      </c>
      <c r="O1659">
        <v>-2</v>
      </c>
      <c r="P1659">
        <v>8</v>
      </c>
    </row>
    <row r="1660" spans="1:16" x14ac:dyDescent="0.25">
      <c r="A1660">
        <v>22200476</v>
      </c>
      <c r="B1660">
        <v>2022</v>
      </c>
      <c r="C1660" t="s">
        <v>32</v>
      </c>
      <c r="D1660" t="s">
        <v>48</v>
      </c>
      <c r="E1660">
        <v>25</v>
      </c>
      <c r="F1660">
        <v>10</v>
      </c>
      <c r="G1660">
        <v>1</v>
      </c>
      <c r="H1660" s="1">
        <v>2.8356481481481483E-3</v>
      </c>
      <c r="I1660" t="s">
        <v>23</v>
      </c>
      <c r="J1660" s="2" t="str">
        <f>HYPERLINK("https://www.nba.com/stats/events?CFID=&amp;CFPARAMS=&amp;GameEventID=107&amp;GameID=0022200476&amp;Season=2022-23&amp;flag=1&amp;title=Leonard%20running%20alley-oop%20DUNK%20(4%20PTS)%20(P.%20George%201%20AST)", "Running alley-oop DUNK (4 PTS) (P. George 1 AST)")</f>
        <v>Running alley-oop DUNK (4 PTS) (P. George 1 AST)</v>
      </c>
      <c r="K1660" s="2" t="str">
        <f>HYPERLINK("https://www.nba.com/game/...-vs-...-0022200476/play-by-play?watchFullGame=true", "LAC vs CHA - Q1 04:05.00")</f>
        <v>LAC vs CHA - Q1 04:05.00</v>
      </c>
      <c r="L1660">
        <v>1.03</v>
      </c>
      <c r="M1660">
        <v>93.35</v>
      </c>
      <c r="N1660">
        <v>49.51</v>
      </c>
      <c r="O1660">
        <v>-2</v>
      </c>
      <c r="P1660">
        <v>10</v>
      </c>
    </row>
    <row r="1661" spans="1:16" x14ac:dyDescent="0.25">
      <c r="A1661">
        <v>22301215</v>
      </c>
      <c r="B1661">
        <v>2023</v>
      </c>
      <c r="C1661" t="s">
        <v>32</v>
      </c>
      <c r="D1661" t="s">
        <v>47</v>
      </c>
      <c r="E1661">
        <v>79</v>
      </c>
      <c r="F1661">
        <v>78</v>
      </c>
      <c r="G1661">
        <v>3</v>
      </c>
      <c r="H1661" s="1">
        <v>1.6782407407407408E-3</v>
      </c>
      <c r="I1661" t="s">
        <v>23</v>
      </c>
      <c r="J1661" s="2" t="str">
        <f>HYPERLINK("https://www.nba.com/stats/events?CFID=&amp;CFPARAMS=&amp;GameEventID=433&amp;GameID=0022301215&amp;Season=2023-24&amp;flag=1&amp;title=Leonard%20running%20Layup%20(11%20PTS)%20(N.%20Powell%202%20AST)", "Running Layup (11 PTS) (N. Powell 2 AST)")</f>
        <v>Running Layup (11 PTS) (N. Powell 2 AST)</v>
      </c>
      <c r="K1661" s="2" t="str">
        <f>HYPERLINK("https://www.nba.com/game/...-vs-...-0022301215/play-by-play?watchFullGame=true", "LAC vs DEN - Q3 02:25.00")</f>
        <v>LAC vs DEN - Q3 02:25.00</v>
      </c>
      <c r="L1661">
        <v>1</v>
      </c>
      <c r="M1661">
        <v>6.62</v>
      </c>
      <c r="N1661">
        <v>50.49</v>
      </c>
      <c r="O1661">
        <v>-2</v>
      </c>
      <c r="P1661">
        <v>10</v>
      </c>
    </row>
    <row r="1662" spans="1:16" x14ac:dyDescent="0.25">
      <c r="A1662">
        <v>41800213</v>
      </c>
      <c r="B1662" t="s">
        <v>20</v>
      </c>
      <c r="C1662" t="s">
        <v>32</v>
      </c>
      <c r="D1662" t="s">
        <v>67</v>
      </c>
      <c r="E1662">
        <v>47</v>
      </c>
      <c r="F1662">
        <v>40</v>
      </c>
      <c r="G1662">
        <v>2</v>
      </c>
      <c r="H1662" s="1">
        <v>3.5532407407407409E-3</v>
      </c>
      <c r="I1662" t="s">
        <v>21</v>
      </c>
      <c r="J1662" s="2" t="str">
        <f>HYPERLINK("https://www.nba.com/stats/events?CFID=&amp;CFPARAMS=&amp;GameEventID=243&amp;GameID=0041800213&amp;Season=2018-19&amp;flag=1&amp;title=Leonard%201'%20Driving%20Dunk%20(13%20PTS)", "Leonard 1' Driving Dunk (13 PTS)")</f>
        <v>Leonard 1' Driving Dunk (13 PTS)</v>
      </c>
      <c r="K1662" s="2" t="str">
        <f>HYPERLINK("https://www.nba.com/game/...-vs-...-0041800213/play-by-play?watchFullGame=true", "TOR vs PHI - Q2 05:07.00")</f>
        <v>TOR vs PHI - Q2 05:07.00</v>
      </c>
      <c r="L1662">
        <v>1</v>
      </c>
      <c r="M1662">
        <v>-2</v>
      </c>
      <c r="N1662">
        <v>10</v>
      </c>
      <c r="O1662">
        <v>-2</v>
      </c>
      <c r="P1662">
        <v>10</v>
      </c>
    </row>
    <row r="1663" spans="1:16" x14ac:dyDescent="0.25">
      <c r="A1663">
        <v>22300646</v>
      </c>
      <c r="B1663">
        <v>2023</v>
      </c>
      <c r="C1663" t="s">
        <v>32</v>
      </c>
      <c r="D1663" t="s">
        <v>47</v>
      </c>
      <c r="E1663">
        <v>9</v>
      </c>
      <c r="F1663">
        <v>11</v>
      </c>
      <c r="G1663">
        <v>1</v>
      </c>
      <c r="H1663" s="1">
        <v>4.2939814814814811E-3</v>
      </c>
      <c r="I1663" t="s">
        <v>23</v>
      </c>
      <c r="J1663" s="2" t="str">
        <f>HYPERLINK("https://www.nba.com/stats/events?CFID=&amp;CFPARAMS=&amp;GameEventID=74&amp;GameID=0022300646&amp;Season=2023-24&amp;flag=1&amp;title=Leonard%20running%20finger%20roll%20Layup%20(7%20PTS)", "Running finger roll Layup (7 PTS)")</f>
        <v>Running finger roll Layup (7 PTS)</v>
      </c>
      <c r="K1663" s="2" t="str">
        <f>HYPERLINK("https://www.nba.com/game/...-vs-...-0022300646/play-by-play?watchFullGame=true", "LAC vs BOS - Q1 06:11.00")</f>
        <v>LAC vs BOS - Q1 06:11.00</v>
      </c>
      <c r="L1663">
        <v>1</v>
      </c>
      <c r="M1663">
        <v>93.38</v>
      </c>
      <c r="N1663">
        <v>49.51</v>
      </c>
      <c r="O1663">
        <v>-2</v>
      </c>
      <c r="P1663">
        <v>10</v>
      </c>
    </row>
    <row r="1664" spans="1:16" x14ac:dyDescent="0.25">
      <c r="A1664">
        <v>22000387</v>
      </c>
      <c r="B1664">
        <v>2020</v>
      </c>
      <c r="C1664" t="s">
        <v>32</v>
      </c>
      <c r="D1664" t="s">
        <v>47</v>
      </c>
      <c r="E1664">
        <v>11</v>
      </c>
      <c r="F1664">
        <v>9</v>
      </c>
      <c r="G1664">
        <v>1</v>
      </c>
      <c r="H1664" s="1">
        <v>6.076388888888889E-3</v>
      </c>
      <c r="I1664" t="s">
        <v>23</v>
      </c>
      <c r="J1664" s="2" t="str">
        <f>HYPERLINK("https://www.nba.com/stats/events?CFID=&amp;CFPARAMS=&amp;GameEventID=33&amp;GameID=0022000387&amp;Season=2020-21&amp;flag=1&amp;title=Leonard%20driving%20Layup%20(2%20PTS)%20(Ibaka%201%20AST)", "Driving Layup (2 PTS) (S. Ibaka 1 AST)")</f>
        <v>Driving Layup (2 PTS) (S. Ibaka 1 AST)</v>
      </c>
      <c r="K1664" s="2" t="str">
        <f>HYPERLINK("https://www.nba.com/game/...-vs-...-0022000387/play-by-play?watchFullGame=true", "LAC vs MIN - Q1 08:45.00")</f>
        <v>LAC vs MIN - Q1 08:45.00</v>
      </c>
      <c r="L1664">
        <v>0.99</v>
      </c>
      <c r="M1664">
        <v>93.38</v>
      </c>
      <c r="N1664">
        <v>49.58</v>
      </c>
      <c r="O1664">
        <v>-2</v>
      </c>
      <c r="P1664">
        <v>10</v>
      </c>
    </row>
    <row r="1665" spans="1:16" x14ac:dyDescent="0.25">
      <c r="A1665">
        <v>22200991</v>
      </c>
      <c r="B1665">
        <v>2022</v>
      </c>
      <c r="C1665" t="s">
        <v>32</v>
      </c>
      <c r="D1665" t="s">
        <v>48</v>
      </c>
      <c r="E1665">
        <v>43</v>
      </c>
      <c r="F1665">
        <v>41</v>
      </c>
      <c r="G1665">
        <v>2</v>
      </c>
      <c r="H1665" s="1">
        <v>1.5046296296296296E-3</v>
      </c>
      <c r="I1665" t="s">
        <v>23</v>
      </c>
      <c r="J1665" s="2" t="str">
        <f>HYPERLINK("https://www.nba.com/stats/events?CFID=&amp;CFPARAMS=&amp;GameEventID=271&amp;GameID=0022200991&amp;Season=2022-23&amp;flag=1&amp;title=Leonard%20driving%20DUNK%20(14%20PTS)", "Driving DUNK (14 PTS)")</f>
        <v>Driving DUNK (14 PTS)</v>
      </c>
      <c r="K1665" s="2" t="str">
        <f>HYPERLINK("https://www.nba.com/game/...-vs-...-0022200991/play-by-play?watchFullGame=true", "LAC vs TOR - Q2 02:10.00")</f>
        <v>LAC vs TOR - Q2 02:10.00</v>
      </c>
      <c r="L1665">
        <v>1.1599999999999999</v>
      </c>
      <c r="M1665">
        <v>93.22</v>
      </c>
      <c r="N1665">
        <v>49.51</v>
      </c>
      <c r="O1665">
        <v>-2</v>
      </c>
      <c r="P1665">
        <v>11</v>
      </c>
    </row>
    <row r="1666" spans="1:16" x14ac:dyDescent="0.25">
      <c r="A1666">
        <v>21600213</v>
      </c>
      <c r="B1666">
        <v>2016</v>
      </c>
      <c r="C1666" t="s">
        <v>32</v>
      </c>
      <c r="D1666" t="s">
        <v>57</v>
      </c>
      <c r="E1666">
        <v>53</v>
      </c>
      <c r="F1666">
        <v>52</v>
      </c>
      <c r="G1666">
        <v>2</v>
      </c>
      <c r="H1666" s="1">
        <v>2.0717592592592593E-3</v>
      </c>
      <c r="I1666" t="s">
        <v>18</v>
      </c>
      <c r="J1666" s="2" t="str">
        <f>HYPERLINK("https://www.nba.com/stats/events?CFID=&amp;CFPARAMS=&amp;GameEventID=205&amp;GameID=0021600213&amp;Season=2016-17&amp;flag=1&amp;title=Leonard%201'%20Layup%20(14%20PTS)", "Leonard 1' Layup (14 PTS)")</f>
        <v>Leonard 1' Layup (14 PTS)</v>
      </c>
      <c r="K1666" s="2" t="str">
        <f>HYPERLINK("https://www.nba.com/game/...-vs-...-0021600213/play-by-play?watchFullGame=true", "SAS vs CHA - Q2 02:59.00")</f>
        <v>SAS vs CHA - Q2 02:59.00</v>
      </c>
      <c r="L1666">
        <v>1</v>
      </c>
      <c r="M1666">
        <v>-2</v>
      </c>
      <c r="N1666">
        <v>11</v>
      </c>
      <c r="O1666">
        <v>-2</v>
      </c>
      <c r="P1666">
        <v>11</v>
      </c>
    </row>
    <row r="1667" spans="1:16" x14ac:dyDescent="0.25">
      <c r="A1667">
        <v>22000966</v>
      </c>
      <c r="B1667">
        <v>2020</v>
      </c>
      <c r="C1667" t="s">
        <v>32</v>
      </c>
      <c r="D1667" t="s">
        <v>47</v>
      </c>
      <c r="E1667">
        <v>30</v>
      </c>
      <c r="F1667">
        <v>27</v>
      </c>
      <c r="G1667">
        <v>2</v>
      </c>
      <c r="H1667" s="1">
        <v>7.9861111111111105E-3</v>
      </c>
      <c r="I1667" t="s">
        <v>23</v>
      </c>
      <c r="J1667" s="2" t="str">
        <f>HYPERLINK("https://www.nba.com/stats/events?CFID=&amp;CFPARAMS=&amp;GameEventID=154&amp;GameID=0022000966&amp;Season=2020-21&amp;flag=1&amp;title=Leonard%20Layup%20(7%20PTS)%20(R.%20Rondo%203%20AST)", "Layup (7 PTS) (R. Rondo 3 AST)")</f>
        <v>Layup (7 PTS) (R. Rondo 3 AST)</v>
      </c>
      <c r="K1667" s="2" t="str">
        <f>HYPERLINK("https://www.nba.com/game/...-vs-...-0022000966/play-by-play?watchFullGame=true", "LAC vs DEN - Q2 11:30.00")</f>
        <v>LAC vs DEN - Q2 11:30.00</v>
      </c>
      <c r="L1667">
        <v>1.24</v>
      </c>
      <c r="M1667">
        <v>93.12</v>
      </c>
      <c r="N1667">
        <v>49.58</v>
      </c>
      <c r="O1667">
        <v>-2</v>
      </c>
      <c r="P1667">
        <v>12</v>
      </c>
    </row>
    <row r="1668" spans="1:16" x14ac:dyDescent="0.25">
      <c r="A1668">
        <v>22000701</v>
      </c>
      <c r="B1668">
        <v>2020</v>
      </c>
      <c r="C1668" t="s">
        <v>32</v>
      </c>
      <c r="D1668" t="s">
        <v>47</v>
      </c>
      <c r="E1668">
        <v>117</v>
      </c>
      <c r="F1668">
        <v>101</v>
      </c>
      <c r="G1668">
        <v>4</v>
      </c>
      <c r="H1668" s="1">
        <v>2.9861111111111113E-3</v>
      </c>
      <c r="I1668" t="s">
        <v>23</v>
      </c>
      <c r="J1668" s="2" t="str">
        <f>HYPERLINK("https://www.nba.com/stats/events?CFID=&amp;CFPARAMS=&amp;GameEventID=590&amp;GameID=0022000701&amp;Season=2020-21&amp;flag=1&amp;title=Leonard%20Layup%20(28%20PTS)%20(P.%20George%209%20AST)", "Layup (28 PTS) (P. George 9 AST)")</f>
        <v>Layup (28 PTS) (P. George 9 AST)</v>
      </c>
      <c r="K1668" s="2" t="str">
        <f>HYPERLINK("https://www.nba.com/game/...-vs-...-0022000701/play-by-play?watchFullGame=true", "LAC vs PHI - Q4 04:18.00")</f>
        <v>LAC vs PHI - Q4 04:18.00</v>
      </c>
      <c r="L1668">
        <v>1.26</v>
      </c>
      <c r="M1668">
        <v>93.08</v>
      </c>
      <c r="N1668">
        <v>49.69</v>
      </c>
      <c r="O1668">
        <v>-2</v>
      </c>
      <c r="P1668">
        <v>13</v>
      </c>
    </row>
    <row r="1669" spans="1:16" x14ac:dyDescent="0.25">
      <c r="A1669">
        <v>21300057</v>
      </c>
      <c r="B1669">
        <v>2013</v>
      </c>
      <c r="C1669" t="s">
        <v>32</v>
      </c>
      <c r="D1669" t="s">
        <v>62</v>
      </c>
      <c r="E1669">
        <v>88</v>
      </c>
      <c r="F1669">
        <v>98</v>
      </c>
      <c r="G1669">
        <v>4</v>
      </c>
      <c r="H1669" s="1">
        <v>1.6550925925925926E-3</v>
      </c>
      <c r="I1669" t="s">
        <v>18</v>
      </c>
      <c r="J1669" s="2" t="str">
        <f>HYPERLINK("https://www.nba.com/stats/events?CFID=&amp;CFPARAMS=&amp;GameEventID=518&amp;GameID=0021300057&amp;Season=2013-14&amp;flag=1&amp;title=Leonard%201'%20Dunk%20(14%20PTS)%20(Parker%206%20AST)", "Leonard 1' Dunk (14 PTS) (Parker 6 AST)")</f>
        <v>Leonard 1' Dunk (14 PTS) (Parker 6 AST)</v>
      </c>
      <c r="K1669" s="2" t="str">
        <f>HYPERLINK("https://www.nba.com/game/...-vs-...-0021300057/play-by-play?watchFullGame=true", "SAS vs DEN - Q4 02:23.00")</f>
        <v>SAS vs DEN - Q4 02:23.00</v>
      </c>
      <c r="L1669">
        <v>1</v>
      </c>
      <c r="M1669">
        <v>-2</v>
      </c>
      <c r="N1669">
        <v>14</v>
      </c>
      <c r="O1669">
        <v>-2</v>
      </c>
      <c r="P1669">
        <v>14</v>
      </c>
    </row>
    <row r="1670" spans="1:16" x14ac:dyDescent="0.25">
      <c r="A1670">
        <v>41800304</v>
      </c>
      <c r="B1670" t="s">
        <v>20</v>
      </c>
      <c r="C1670" t="s">
        <v>32</v>
      </c>
      <c r="D1670" t="s">
        <v>68</v>
      </c>
      <c r="E1670">
        <v>67</v>
      </c>
      <c r="F1670">
        <v>57</v>
      </c>
      <c r="G1670">
        <v>3</v>
      </c>
      <c r="H1670" s="1">
        <v>7.6041666666666671E-3</v>
      </c>
      <c r="I1670" t="s">
        <v>21</v>
      </c>
      <c r="J1670" s="2" t="str">
        <f>HYPERLINK("https://www.nba.com/stats/events?CFID=&amp;CFPARAMS=&amp;GameEventID=391&amp;GameID=0041800304&amp;Season=2018-19&amp;flag=1&amp;title=Leonard%202'%20Cutting%20Dunk%20Shot%20(7%20PTS)%20(Gasol%204%20AST)", "Leonard 2' Cutting Dunk Shot (7 PTS) (Gasol 4 AST)")</f>
        <v>Leonard 2' Cutting Dunk Shot (7 PTS) (Gasol 4 AST)</v>
      </c>
      <c r="K1670" s="2" t="str">
        <f>HYPERLINK("https://www.nba.com/game/...-vs-...-0041800304/play-by-play?watchFullGame=true", "TOR vs MIL - Q3 10:57.00")</f>
        <v>TOR vs MIL - Q3 10:57.00</v>
      </c>
      <c r="L1670">
        <v>2</v>
      </c>
      <c r="M1670">
        <v>-2</v>
      </c>
      <c r="N1670">
        <v>16</v>
      </c>
      <c r="O1670">
        <v>-2</v>
      </c>
      <c r="P1670">
        <v>16</v>
      </c>
    </row>
    <row r="1671" spans="1:16" x14ac:dyDescent="0.25">
      <c r="A1671">
        <v>22000520</v>
      </c>
      <c r="B1671">
        <v>2020</v>
      </c>
      <c r="C1671" t="s">
        <v>32</v>
      </c>
      <c r="D1671" t="s">
        <v>48</v>
      </c>
      <c r="E1671">
        <v>73</v>
      </c>
      <c r="F1671">
        <v>75</v>
      </c>
      <c r="G1671">
        <v>3</v>
      </c>
      <c r="H1671" s="1">
        <v>5.9490740740740739E-4</v>
      </c>
      <c r="I1671" t="s">
        <v>23</v>
      </c>
      <c r="J1671" s="2" t="str">
        <f>HYPERLINK("https://www.nba.com/stats/events?CFID=&amp;CFPARAMS=&amp;GameEventID=452&amp;GameID=0022000520&amp;Season=2020-21&amp;flag=1&amp;title=Leonard%20driving%20DUNK%20(21%20PTS)", "Driving DUNK (21 PTS)")</f>
        <v>Driving DUNK (21 PTS)</v>
      </c>
      <c r="K1671" s="2" t="str">
        <f>HYPERLINK("https://www.nba.com/game/...-vs-...-0022000520/play-by-play?watchFullGame=true", "LAC vs MIL - Q3 00:51.40")</f>
        <v>LAC vs MIL - Q3 00:51.40</v>
      </c>
      <c r="L1671">
        <v>1.75</v>
      </c>
      <c r="M1671">
        <v>7.44</v>
      </c>
      <c r="N1671">
        <v>50.31</v>
      </c>
      <c r="O1671">
        <v>-2</v>
      </c>
      <c r="P1671">
        <v>17</v>
      </c>
    </row>
    <row r="1672" spans="1:16" x14ac:dyDescent="0.25">
      <c r="A1672">
        <v>21500790</v>
      </c>
      <c r="B1672">
        <v>2015</v>
      </c>
      <c r="C1672" t="s">
        <v>32</v>
      </c>
      <c r="D1672" t="s">
        <v>57</v>
      </c>
      <c r="E1672">
        <v>40</v>
      </c>
      <c r="F1672">
        <v>50</v>
      </c>
      <c r="G1672">
        <v>2</v>
      </c>
      <c r="H1672" s="1">
        <v>1.8518518518518519E-3</v>
      </c>
      <c r="I1672" t="s">
        <v>18</v>
      </c>
      <c r="J1672" s="2" t="str">
        <f>HYPERLINK("https://www.nba.com/stats/events?CFID=&amp;CFPARAMS=&amp;GameEventID=216&amp;GameID=0021500790&amp;Season=2015-16&amp;flag=1&amp;title=Leonard%202'%20Layup%20(15%20PTS)%20(Mills%203%20AST)", "Leonard 2' Layup (15 PTS) (Mills 3 AST)")</f>
        <v>Leonard 2' Layup (15 PTS) (Mills 3 AST)</v>
      </c>
      <c r="K1672" s="2" t="str">
        <f>HYPERLINK("https://www.nba.com/game/...-vs-...-0021500790/play-by-play?watchFullGame=true", "SAS vs ORL - Q2 02:40.00")</f>
        <v>SAS vs ORL - Q2 02:40.00</v>
      </c>
      <c r="L1672">
        <v>2</v>
      </c>
      <c r="M1672">
        <v>-2</v>
      </c>
      <c r="N1672">
        <v>18</v>
      </c>
      <c r="O1672">
        <v>-2</v>
      </c>
      <c r="P1672">
        <v>18</v>
      </c>
    </row>
    <row r="1673" spans="1:16" x14ac:dyDescent="0.25">
      <c r="A1673">
        <v>22300982</v>
      </c>
      <c r="B1673">
        <v>2023</v>
      </c>
      <c r="C1673" t="s">
        <v>32</v>
      </c>
      <c r="D1673" t="s">
        <v>47</v>
      </c>
      <c r="E1673">
        <v>52</v>
      </c>
      <c r="F1673">
        <v>66</v>
      </c>
      <c r="G1673">
        <v>3</v>
      </c>
      <c r="H1673" s="1">
        <v>6.2037037037037035E-3</v>
      </c>
      <c r="I1673" t="s">
        <v>23</v>
      </c>
      <c r="J1673" s="2" t="str">
        <f>HYPERLINK("https://www.nba.com/stats/events?CFID=&amp;CFPARAMS=&amp;GameEventID=349&amp;GameID=0022300982&amp;Season=2023-24&amp;flag=1&amp;title=Leonard%20Layup%20(21%20PTS)", "Layup (21 PTS)")</f>
        <v>Layup (21 PTS)</v>
      </c>
      <c r="K1673" s="2" t="str">
        <f>HYPERLINK("https://www.nba.com/game/...-vs-...-0022300982/play-by-play?watchFullGame=true", "LAC vs ATL - Q3 08:56.00")</f>
        <v>LAC vs ATL - Q3 08:56.00</v>
      </c>
      <c r="L1673">
        <v>1.86</v>
      </c>
      <c r="M1673">
        <v>7.54</v>
      </c>
      <c r="N1673">
        <v>50.49</v>
      </c>
      <c r="O1673">
        <v>-2</v>
      </c>
      <c r="P1673">
        <v>18</v>
      </c>
    </row>
    <row r="1674" spans="1:16" x14ac:dyDescent="0.25">
      <c r="A1674">
        <v>22000675</v>
      </c>
      <c r="B1674">
        <v>2020</v>
      </c>
      <c r="C1674" t="s">
        <v>32</v>
      </c>
      <c r="D1674" t="s">
        <v>47</v>
      </c>
      <c r="E1674">
        <v>0</v>
      </c>
      <c r="F1674">
        <v>2</v>
      </c>
      <c r="G1674">
        <v>1</v>
      </c>
      <c r="H1674" s="1">
        <v>7.8819444444444449E-3</v>
      </c>
      <c r="I1674" t="s">
        <v>23</v>
      </c>
      <c r="J1674" s="2" t="str">
        <f>HYPERLINK("https://www.nba.com/stats/events?CFID=&amp;CFPARAMS=&amp;GameEventID=11&amp;GameID=0022000675&amp;Season=2020-21&amp;flag=1&amp;title=Leonard%20running%20finger%20roll%20Layup%20(2%20PTS)", "Running finger roll Layup (2 PTS)")</f>
        <v>Running finger roll Layup (2 PTS)</v>
      </c>
      <c r="K1674" s="2" t="str">
        <f>HYPERLINK("https://www.nba.com/game/...-vs-...-0022000675/play-by-play?watchFullGame=true", "LAC vs SAS - Q1 11:21.00")</f>
        <v>LAC vs SAS - Q1 11:21.00</v>
      </c>
      <c r="L1674">
        <v>1.88</v>
      </c>
      <c r="M1674">
        <v>7.57</v>
      </c>
      <c r="N1674">
        <v>50.31</v>
      </c>
      <c r="O1674">
        <v>-2</v>
      </c>
      <c r="P1674">
        <v>19</v>
      </c>
    </row>
    <row r="1675" spans="1:16" x14ac:dyDescent="0.25">
      <c r="A1675">
        <v>21901291</v>
      </c>
      <c r="B1675">
        <v>2019</v>
      </c>
      <c r="C1675" t="s">
        <v>32</v>
      </c>
      <c r="D1675" t="s">
        <v>65</v>
      </c>
      <c r="E1675">
        <v>21</v>
      </c>
      <c r="F1675">
        <v>34</v>
      </c>
      <c r="G1675">
        <v>1</v>
      </c>
      <c r="H1675" s="1">
        <v>1.238425925925926E-3</v>
      </c>
      <c r="I1675" t="s">
        <v>23</v>
      </c>
      <c r="J1675" s="2" t="str">
        <f>HYPERLINK("https://www.nba.com/stats/events?CFID=&amp;CFPARAMS=&amp;GameEventID=109&amp;GameID=0021901291&amp;Season=2019-20&amp;flag=1&amp;title=Leonard%20dunk%20(10%20PTS)", "Dunk (10 PTS)")</f>
        <v>Dunk (10 PTS)</v>
      </c>
      <c r="K1675" s="2" t="str">
        <f>HYPERLINK("https://www.nba.com/game/...-vs-...-0021901291/play-by-play?watchFullGame=true", "LAC vs BKN - Q1 01:47.00")</f>
        <v>LAC vs BKN - Q1 01:47.00</v>
      </c>
      <c r="L1675">
        <v>2.52</v>
      </c>
      <c r="M1675">
        <v>92.33</v>
      </c>
      <c r="N1675">
        <v>49.58</v>
      </c>
      <c r="O1675">
        <v>-2</v>
      </c>
      <c r="P1675">
        <v>20</v>
      </c>
    </row>
    <row r="1676" spans="1:16" x14ac:dyDescent="0.25">
      <c r="A1676">
        <v>21500644</v>
      </c>
      <c r="B1676">
        <v>2015</v>
      </c>
      <c r="C1676" t="s">
        <v>32</v>
      </c>
      <c r="D1676" t="s">
        <v>49</v>
      </c>
      <c r="E1676">
        <v>55</v>
      </c>
      <c r="F1676">
        <v>64</v>
      </c>
      <c r="G1676">
        <v>3</v>
      </c>
      <c r="H1676" s="1">
        <v>5.0231481481481481E-3</v>
      </c>
      <c r="I1676" t="s">
        <v>18</v>
      </c>
      <c r="J1676" s="2" t="str">
        <f>HYPERLINK("https://www.nba.com/stats/events?CFID=&amp;CFPARAMS=&amp;GameEventID=296&amp;GameID=0021500644&amp;Season=2015-16&amp;flag=1&amp;title=Leonard%202'%20Driving%20Layup%20(18%20PTS)", "Leonard 2' Driving Layup (18 PTS)")</f>
        <v>Leonard 2' Driving Layup (18 PTS)</v>
      </c>
      <c r="K1676" s="2" t="str">
        <f>HYPERLINK("https://www.nba.com/game/...-vs-...-0021500644/play-by-play?watchFullGame=true", "SAS vs PHX - Q3 07:14.00")</f>
        <v>SAS vs PHX - Q3 07:14.00</v>
      </c>
      <c r="L1676">
        <v>2</v>
      </c>
      <c r="M1676">
        <v>-2</v>
      </c>
      <c r="N1676">
        <v>21</v>
      </c>
      <c r="O1676">
        <v>-2</v>
      </c>
      <c r="P1676">
        <v>21</v>
      </c>
    </row>
    <row r="1677" spans="1:16" x14ac:dyDescent="0.25">
      <c r="A1677">
        <v>22300304</v>
      </c>
      <c r="B1677">
        <v>2023</v>
      </c>
      <c r="C1677" t="s">
        <v>32</v>
      </c>
      <c r="D1677" t="s">
        <v>47</v>
      </c>
      <c r="E1677">
        <v>91</v>
      </c>
      <c r="F1677">
        <v>88</v>
      </c>
      <c r="G1677">
        <v>3</v>
      </c>
      <c r="H1677" s="1">
        <v>3.2060185185185186E-3</v>
      </c>
      <c r="I1677" t="s">
        <v>23</v>
      </c>
      <c r="J1677" s="2" t="str">
        <f>HYPERLINK("https://www.nba.com/stats/events?CFID=&amp;CFPARAMS=&amp;GameEventID=383&amp;GameID=0022300304&amp;Season=2023-24&amp;flag=1&amp;title=Leonard%20cutting%20Layup%20(19%20PTS)%20(P.%20George%207%20AST)", "Cutting Layup (19 PTS) (P. George 7 AST)")</f>
        <v>Cutting Layup (19 PTS) (P. George 7 AST)</v>
      </c>
      <c r="K1677" s="2" t="str">
        <f>HYPERLINK("https://www.nba.com/game/...-vs-...-0022300304/play-by-play?watchFullGame=true", "LAC vs POR - Q3 04:37.00")</f>
        <v>LAC vs POR - Q3 04:37.00</v>
      </c>
      <c r="L1677">
        <v>2.59</v>
      </c>
      <c r="M1677">
        <v>8.33</v>
      </c>
      <c r="N1677">
        <v>50.49</v>
      </c>
      <c r="O1677">
        <v>-2</v>
      </c>
      <c r="P1677">
        <v>26</v>
      </c>
    </row>
    <row r="1678" spans="1:16" x14ac:dyDescent="0.25">
      <c r="A1678">
        <v>22300074</v>
      </c>
      <c r="B1678">
        <v>2023</v>
      </c>
      <c r="C1678" t="s">
        <v>32</v>
      </c>
      <c r="D1678" t="s">
        <v>47</v>
      </c>
      <c r="E1678">
        <v>74</v>
      </c>
      <c r="F1678">
        <v>52</v>
      </c>
      <c r="G1678">
        <v>3</v>
      </c>
      <c r="H1678" s="1">
        <v>7.1990740740740739E-3</v>
      </c>
      <c r="I1678" t="s">
        <v>23</v>
      </c>
      <c r="J1678" s="2" t="str">
        <f>HYPERLINK("https://www.nba.com/stats/events?CFID=&amp;CFPARAMS=&amp;GameEventID=375&amp;GameID=0022300074&amp;Season=2023-24&amp;flag=1&amp;title=Leonard%20cutting%20Layup%20(10%20PTS)%20(R.%20Westbrook%208%20AST)", "Cutting Layup (10 PTS) (R. Westbrook 8 AST)")</f>
        <v>Cutting Layup (10 PTS) (R. Westbrook 8 AST)</v>
      </c>
      <c r="K1678" s="2" t="str">
        <f>HYPERLINK("https://www.nba.com/game/...-vs-...-0022300074/play-by-play?watchFullGame=true", "LAC vs POR - Q3 10:22.00")</f>
        <v>LAC vs POR - Q3 10:22.00</v>
      </c>
      <c r="L1678">
        <v>2.59</v>
      </c>
      <c r="M1678">
        <v>8.33</v>
      </c>
      <c r="N1678">
        <v>50.49</v>
      </c>
      <c r="O1678">
        <v>-2</v>
      </c>
      <c r="P1678">
        <v>26</v>
      </c>
    </row>
    <row r="1679" spans="1:16" x14ac:dyDescent="0.25">
      <c r="A1679">
        <v>22200649</v>
      </c>
      <c r="B1679">
        <v>2022</v>
      </c>
      <c r="C1679" t="s">
        <v>32</v>
      </c>
      <c r="D1679" t="s">
        <v>48</v>
      </c>
      <c r="E1679">
        <v>84</v>
      </c>
      <c r="F1679">
        <v>82</v>
      </c>
      <c r="G1679">
        <v>3</v>
      </c>
      <c r="H1679" s="1">
        <v>2.1527777777777778E-3</v>
      </c>
      <c r="I1679" t="s">
        <v>23</v>
      </c>
      <c r="J1679" s="2" t="str">
        <f>HYPERLINK("https://www.nba.com/stats/events?CFID=&amp;CFPARAMS=&amp;GameEventID=436&amp;GameID=0022200649&amp;Season=2022-23&amp;flag=1&amp;title=Leonard%20running%20DUNK%20(24%20PTS)", "Running DUNK (24 PTS)")</f>
        <v>Running DUNK (24 PTS)</v>
      </c>
      <c r="K1679" s="2" t="str">
        <f>HYPERLINK("https://www.nba.com/game/...-vs-...-0022200649/play-by-play?watchFullGame=true", "LAC vs HOU - Q3 03:06.00")</f>
        <v>LAC vs HOU - Q3 03:06.00</v>
      </c>
      <c r="L1679">
        <v>2.71</v>
      </c>
      <c r="M1679">
        <v>8.4600000000000009</v>
      </c>
      <c r="N1679">
        <v>50.49</v>
      </c>
      <c r="O1679">
        <v>-2</v>
      </c>
      <c r="P1679">
        <v>27</v>
      </c>
    </row>
    <row r="1680" spans="1:16" x14ac:dyDescent="0.25">
      <c r="A1680">
        <v>22200223</v>
      </c>
      <c r="B1680">
        <v>2022</v>
      </c>
      <c r="C1680" t="s">
        <v>32</v>
      </c>
      <c r="D1680" t="s">
        <v>47</v>
      </c>
      <c r="E1680">
        <v>87</v>
      </c>
      <c r="F1680">
        <v>79</v>
      </c>
      <c r="G1680">
        <v>4</v>
      </c>
      <c r="H1680" s="1">
        <v>2.8240740740740739E-3</v>
      </c>
      <c r="I1680" t="s">
        <v>23</v>
      </c>
      <c r="J1680" s="2" t="str">
        <f>HYPERLINK("https://www.nba.com/stats/events?CFID=&amp;CFPARAMS=&amp;GameEventID=597&amp;GameID=0022200223&amp;Season=2022-23&amp;flag=1&amp;title=Leonard%20driving%20finger%20roll%20Layup%20(6%20PTS)", "Driving finger roll Layup (6 PTS)")</f>
        <v>Driving finger roll Layup (6 PTS)</v>
      </c>
      <c r="K1680" s="2" t="str">
        <f>HYPERLINK("https://www.nba.com/game/...-vs-...-0022200223/play-by-play?watchFullGame=true", "LAC vs DET - Q4 04:04.00")</f>
        <v>LAC vs DET - Q4 04:04.00</v>
      </c>
      <c r="L1680">
        <v>2.84</v>
      </c>
      <c r="M1680">
        <v>8.59</v>
      </c>
      <c r="N1680">
        <v>50.49</v>
      </c>
      <c r="O1680">
        <v>-2</v>
      </c>
      <c r="P1680">
        <v>28</v>
      </c>
    </row>
    <row r="1681" spans="1:16" x14ac:dyDescent="0.25">
      <c r="A1681">
        <v>21900051</v>
      </c>
      <c r="B1681">
        <v>2019</v>
      </c>
      <c r="C1681" t="s">
        <v>32</v>
      </c>
      <c r="D1681" t="s">
        <v>22</v>
      </c>
      <c r="E1681">
        <v>53</v>
      </c>
      <c r="F1681">
        <v>52</v>
      </c>
      <c r="G1681">
        <v>2</v>
      </c>
      <c r="H1681" s="1">
        <v>1.3194444444444445E-3</v>
      </c>
      <c r="I1681" t="s">
        <v>23</v>
      </c>
      <c r="J1681" s="2" t="str">
        <f>HYPERLINK("https://www.nba.com/stats/events?CFID=&amp;CFPARAMS=&amp;GameEventID=299&amp;GameID=0021900051&amp;Season=2019-20&amp;flag=1&amp;title=[LAC]%20Leonard%20jumpshot:%20Made%20(14%20PTS)", "[LAC] Leonard jumpshot: Made (14 PTS)")</f>
        <v>[LAC] Leonard jumpshot: Made (14 PTS)</v>
      </c>
      <c r="K1681" s="2" t="str">
        <f>HYPERLINK("https://www.nba.com/game/...-vs-...-0021900051/play-by-play?watchFullGame=true", "LAC vs CHA - Q2 01:54.00")</f>
        <v>LAC vs CHA - Q2 01:54.00</v>
      </c>
      <c r="L1681">
        <v>3.41</v>
      </c>
      <c r="M1681">
        <v>91.38</v>
      </c>
      <c r="N1681">
        <v>49.69</v>
      </c>
      <c r="O1681">
        <v>-2</v>
      </c>
      <c r="P1681">
        <v>29</v>
      </c>
    </row>
    <row r="1682" spans="1:16" x14ac:dyDescent="0.25">
      <c r="A1682">
        <v>22300309</v>
      </c>
      <c r="B1682">
        <v>2023</v>
      </c>
      <c r="C1682" t="s">
        <v>32</v>
      </c>
      <c r="D1682" t="s">
        <v>19</v>
      </c>
      <c r="E1682">
        <v>54</v>
      </c>
      <c r="F1682">
        <v>36</v>
      </c>
      <c r="G1682">
        <v>2</v>
      </c>
      <c r="H1682" s="1">
        <v>4.8032407407407407E-3</v>
      </c>
      <c r="I1682" t="s">
        <v>23</v>
      </c>
      <c r="J1682" s="2" t="str">
        <f>HYPERLINK("https://www.nba.com/stats/events?CFID=&amp;CFPARAMS=&amp;GameEventID=232&amp;GameID=0022300309&amp;Season=2023-24&amp;flag=1&amp;title=Leonard%20driving%20floating%20Jump%20Shot%20(9%20PTS)", "Driving floating Jump Shot (9 PTS)")</f>
        <v>Driving floating Jump Shot (9 PTS)</v>
      </c>
      <c r="K1682" s="2" t="str">
        <f>HYPERLINK("https://www.nba.com/game/...-vs-...-0022300309/play-by-play?watchFullGame=true", "LAC vs SAC - Q2 06:55.00")</f>
        <v>LAC vs SAC - Q2 06:55.00</v>
      </c>
      <c r="L1682">
        <v>2.99</v>
      </c>
      <c r="M1682">
        <v>91.25</v>
      </c>
      <c r="N1682">
        <v>49.51</v>
      </c>
      <c r="O1682">
        <v>-2</v>
      </c>
      <c r="P1682">
        <v>30</v>
      </c>
    </row>
    <row r="1683" spans="1:16" x14ac:dyDescent="0.25">
      <c r="A1683">
        <v>22300848</v>
      </c>
      <c r="B1683">
        <v>2023</v>
      </c>
      <c r="C1683" t="s">
        <v>32</v>
      </c>
      <c r="D1683" t="s">
        <v>19</v>
      </c>
      <c r="E1683">
        <v>64</v>
      </c>
      <c r="F1683">
        <v>50</v>
      </c>
      <c r="G1683">
        <v>2</v>
      </c>
      <c r="H1683" s="1">
        <v>1.2037037037037038E-3</v>
      </c>
      <c r="I1683" t="s">
        <v>23</v>
      </c>
      <c r="J1683" s="2" t="str">
        <f>HYPERLINK("https://www.nba.com/stats/events?CFID=&amp;CFPARAMS=&amp;GameEventID=297&amp;GameID=0022300848&amp;Season=2023-24&amp;flag=1&amp;title=Leonard%20driving%20floating%20Jump%20Shot%20(14%20PTS)%20(J.%20Harden%204%20AST)", "Driving floating Jump Shot (14 PTS) (J. Harden 4 AST)")</f>
        <v>Driving floating Jump Shot (14 PTS) (J. Harden 4 AST)</v>
      </c>
      <c r="K1683" s="2" t="str">
        <f>HYPERLINK("https://www.nba.com/game/...-vs-...-0022300848/play-by-play?watchFullGame=true", "LAC vs LAL - Q2 01:44.00")</f>
        <v>LAC vs LAL - Q2 01:44.00</v>
      </c>
      <c r="L1683">
        <v>3.24</v>
      </c>
      <c r="M1683">
        <v>90.98</v>
      </c>
      <c r="N1683">
        <v>49.51</v>
      </c>
      <c r="O1683">
        <v>-2</v>
      </c>
      <c r="P1683">
        <v>32</v>
      </c>
    </row>
    <row r="1684" spans="1:16" x14ac:dyDescent="0.25">
      <c r="A1684">
        <v>22300074</v>
      </c>
      <c r="B1684">
        <v>2023</v>
      </c>
      <c r="C1684" t="s">
        <v>32</v>
      </c>
      <c r="D1684" t="s">
        <v>48</v>
      </c>
      <c r="E1684">
        <v>86</v>
      </c>
      <c r="F1684">
        <v>63</v>
      </c>
      <c r="G1684">
        <v>3</v>
      </c>
      <c r="H1684" s="1">
        <v>4.2939814814814811E-3</v>
      </c>
      <c r="I1684" t="s">
        <v>23</v>
      </c>
      <c r="J1684" s="2" t="str">
        <f>HYPERLINK("https://www.nba.com/stats/events?CFID=&amp;CFPARAMS=&amp;GameEventID=425&amp;GameID=0022300074&amp;Season=2023-24&amp;flag=1&amp;title=Leonard%20running%20DUNK%20(15%20PTS)%20(P.%20George%205%20AST)", "Running DUNK (15 PTS) (P. George 5 AST)")</f>
        <v>Running DUNK (15 PTS) (P. George 5 AST)</v>
      </c>
      <c r="K1684" s="2" t="str">
        <f>HYPERLINK("https://www.nba.com/game/...-vs-...-0022300074/play-by-play?watchFullGame=true", "LAC vs POR - Q3 06:11.00")</f>
        <v>LAC vs POR - Q3 06:11.00</v>
      </c>
      <c r="L1684">
        <v>3.58</v>
      </c>
      <c r="M1684">
        <v>9.3800000000000008</v>
      </c>
      <c r="N1684">
        <v>50.49</v>
      </c>
      <c r="O1684">
        <v>-2</v>
      </c>
      <c r="P1684">
        <v>36</v>
      </c>
    </row>
    <row r="1685" spans="1:16" x14ac:dyDescent="0.25">
      <c r="A1685">
        <v>21500945</v>
      </c>
      <c r="B1685">
        <v>2015</v>
      </c>
      <c r="C1685" t="s">
        <v>32</v>
      </c>
      <c r="D1685" t="s">
        <v>54</v>
      </c>
      <c r="E1685">
        <v>11</v>
      </c>
      <c r="F1685">
        <v>15</v>
      </c>
      <c r="G1685">
        <v>1</v>
      </c>
      <c r="H1685" s="1">
        <v>4.2129629629629626E-3</v>
      </c>
      <c r="I1685" t="s">
        <v>18</v>
      </c>
      <c r="J1685" s="2" t="str">
        <f>HYPERLINK("https://www.nba.com/stats/events?CFID=&amp;CFPARAMS=&amp;GameEventID=58&amp;GameID=0021500945&amp;Season=2015-16&amp;flag=1&amp;title=Leonard%204'%20Driving%20Bank%20Shot%20(4%20PTS)", "Leonard 4' Driving Bank Shot (4 PTS)")</f>
        <v>Leonard 4' Driving Bank Shot (4 PTS)</v>
      </c>
      <c r="K1685" s="2" t="str">
        <f>HYPERLINK("https://www.nba.com/game/...-vs-...-0021500945/play-by-play?watchFullGame=true", "SAS vs MIN - Q1 06:04.00")</f>
        <v>SAS vs MIN - Q1 06:04.00</v>
      </c>
      <c r="L1685">
        <v>4</v>
      </c>
      <c r="M1685">
        <v>-2</v>
      </c>
      <c r="N1685">
        <v>41</v>
      </c>
      <c r="O1685">
        <v>-2</v>
      </c>
      <c r="P1685">
        <v>41</v>
      </c>
    </row>
    <row r="1686" spans="1:16" x14ac:dyDescent="0.25">
      <c r="A1686">
        <v>22300956</v>
      </c>
      <c r="B1686">
        <v>2023</v>
      </c>
      <c r="C1686" t="s">
        <v>32</v>
      </c>
      <c r="D1686" t="s">
        <v>19</v>
      </c>
      <c r="E1686">
        <v>26</v>
      </c>
      <c r="F1686">
        <v>35</v>
      </c>
      <c r="G1686">
        <v>1</v>
      </c>
      <c r="H1686" s="1">
        <v>5.3472222222222224E-4</v>
      </c>
      <c r="I1686" t="s">
        <v>23</v>
      </c>
      <c r="J1686" s="2" t="str">
        <f>HYPERLINK("https://www.nba.com/stats/events?CFID=&amp;CFPARAMS=&amp;GameEventID=122&amp;GameID=0022300956&amp;Season=2023-24&amp;flag=1&amp;title=Leonard%20floating%20Jump%20Shot%20(12%20PTS)", "Floating Jump Shot (12 PTS)")</f>
        <v>Floating Jump Shot (12 PTS)</v>
      </c>
      <c r="K1686" s="2" t="str">
        <f>HYPERLINK("https://www.nba.com/game/...-vs-...-0022300956/play-by-play?watchFullGame=true", "LAC vs CHI - Q1 00:46.20")</f>
        <v>LAC vs CHI - Q1 00:46.20</v>
      </c>
      <c r="L1686">
        <v>4.5999999999999996</v>
      </c>
      <c r="M1686">
        <v>10.46</v>
      </c>
      <c r="N1686">
        <v>50.49</v>
      </c>
      <c r="O1686">
        <v>-2</v>
      </c>
      <c r="P1686">
        <v>46</v>
      </c>
    </row>
    <row r="1687" spans="1:16" x14ac:dyDescent="0.25">
      <c r="A1687">
        <v>22200604</v>
      </c>
      <c r="B1687">
        <v>2022</v>
      </c>
      <c r="C1687" t="s">
        <v>32</v>
      </c>
      <c r="D1687" t="s">
        <v>19</v>
      </c>
      <c r="E1687">
        <v>78</v>
      </c>
      <c r="F1687">
        <v>79</v>
      </c>
      <c r="G1687">
        <v>3</v>
      </c>
      <c r="H1687" s="1">
        <v>2.2222222222222222E-3</v>
      </c>
      <c r="I1687" t="s">
        <v>23</v>
      </c>
      <c r="J1687" s="2" t="str">
        <f>HYPERLINK("https://www.nba.com/stats/events?CFID=&amp;CFPARAMS=&amp;GameEventID=445&amp;GameID=0022200604&amp;Season=2022-23&amp;flag=1&amp;title=Leonard%20driving%20floating%20Jump%20Shot%20(20%20PTS)", "Driving floating Jump Shot (20 PTS)")</f>
        <v>Driving floating Jump Shot (20 PTS)</v>
      </c>
      <c r="K1687" s="2" t="str">
        <f>HYPERLINK("https://www.nba.com/game/...-vs-...-0022200604/play-by-play?watchFullGame=true", "LAC vs ATL - Q3 03:12.00")</f>
        <v>LAC vs ATL - Q3 03:12.00</v>
      </c>
      <c r="L1687">
        <v>4.8099999999999996</v>
      </c>
      <c r="M1687">
        <v>10.69</v>
      </c>
      <c r="N1687">
        <v>50.49</v>
      </c>
      <c r="O1687">
        <v>-2</v>
      </c>
      <c r="P1687">
        <v>48</v>
      </c>
    </row>
    <row r="1688" spans="1:16" x14ac:dyDescent="0.25">
      <c r="A1688">
        <v>41400166</v>
      </c>
      <c r="B1688" t="s">
        <v>28</v>
      </c>
      <c r="C1688" t="s">
        <v>32</v>
      </c>
      <c r="D1688" t="s">
        <v>19</v>
      </c>
      <c r="E1688">
        <v>49</v>
      </c>
      <c r="F1688">
        <v>47</v>
      </c>
      <c r="G1688">
        <v>2</v>
      </c>
      <c r="H1688" s="1">
        <v>9.1435185185185185E-4</v>
      </c>
      <c r="I1688" t="s">
        <v>18</v>
      </c>
      <c r="J1688" s="2" t="str">
        <f>HYPERLINK("https://www.nba.com/stats/events?CFID=&amp;CFPARAMS=&amp;GameEventID=297&amp;GameID=0041400166&amp;Season=2014-15&amp;flag=1&amp;title=Leonard%205'%20Jump%20Shot%20(8%20PTS)", "Leonard 5' Jump Shot (8 PTS)")</f>
        <v>Leonard 5' Jump Shot (8 PTS)</v>
      </c>
      <c r="K1688" s="2" t="str">
        <f>HYPERLINK("https://www.nba.com/game/...-vs-...-0041400166/play-by-play?watchFullGame=true", "SAS vs LAC - Q2 01:19.00")</f>
        <v>SAS vs LAC - Q2 01:19.00</v>
      </c>
      <c r="L1688">
        <v>5</v>
      </c>
      <c r="M1688">
        <v>-2</v>
      </c>
      <c r="N1688">
        <v>50</v>
      </c>
      <c r="O1688">
        <v>-2</v>
      </c>
      <c r="P1688">
        <v>50</v>
      </c>
    </row>
    <row r="1689" spans="1:16" x14ac:dyDescent="0.25">
      <c r="A1689">
        <v>22400889</v>
      </c>
      <c r="B1689">
        <v>2024</v>
      </c>
      <c r="C1689" t="s">
        <v>32</v>
      </c>
      <c r="D1689" t="s">
        <v>48</v>
      </c>
      <c r="E1689">
        <v>43</v>
      </c>
      <c r="F1689">
        <v>56</v>
      </c>
      <c r="G1689">
        <v>2</v>
      </c>
      <c r="H1689" s="1">
        <v>1.724537037037037E-3</v>
      </c>
      <c r="I1689" t="s">
        <v>23</v>
      </c>
      <c r="J1689" s="2" t="str">
        <f>HYPERLINK("https://www.nba.com/stats/events?CFID=&amp;CFPARAMS=&amp;GameEventID=267&amp;GameID=0022400889&amp;Season=2024-25&amp;flag=1&amp;title=Leonard%20driving%20DUNK%20(11%20PTS)", "Driving DUNK (11 PTS)")</f>
        <v>Driving DUNK (11 PTS)</v>
      </c>
      <c r="K1689" s="2" t="str">
        <f>HYPERLINK("https://www.nba.com/game/...-vs-...-0022400889/play-by-play?watchFullGame=true", "LAC vs PHX - Q2 02:29.00")</f>
        <v>LAC vs PHX - Q2 02:29.00</v>
      </c>
      <c r="L1689">
        <v>5.51</v>
      </c>
      <c r="M1689">
        <v>88.57</v>
      </c>
      <c r="N1689">
        <v>49.51</v>
      </c>
      <c r="O1689">
        <v>-2</v>
      </c>
      <c r="P1689">
        <v>55</v>
      </c>
    </row>
    <row r="1690" spans="1:16" x14ac:dyDescent="0.25">
      <c r="A1690">
        <v>22201112</v>
      </c>
      <c r="B1690">
        <v>2022</v>
      </c>
      <c r="C1690" t="s">
        <v>32</v>
      </c>
      <c r="D1690" t="s">
        <v>44</v>
      </c>
      <c r="E1690">
        <v>46</v>
      </c>
      <c r="F1690">
        <v>54</v>
      </c>
      <c r="G1690">
        <v>2</v>
      </c>
      <c r="H1690" s="1">
        <v>2.8472222222222223E-3</v>
      </c>
      <c r="I1690" t="s">
        <v>23</v>
      </c>
      <c r="J1690" s="2" t="str">
        <f>HYPERLINK("https://www.nba.com/stats/events?CFID=&amp;CFPARAMS=&amp;GameEventID=260&amp;GameID=0022201112&amp;Season=2022-23&amp;flag=1&amp;title=Leonard%20Hook%20(7%20PTS)", "Hook (7 PTS)")</f>
        <v>Hook (7 PTS)</v>
      </c>
      <c r="K1690" s="2" t="str">
        <f>HYPERLINK("https://www.nba.com/game/...-vs-...-0022201112/play-by-play?watchFullGame=true", "LAC vs NOP - Q2 04:06.00")</f>
        <v>LAC vs NOP - Q2 04:06.00</v>
      </c>
      <c r="L1690">
        <v>5.55</v>
      </c>
      <c r="M1690">
        <v>11.48</v>
      </c>
      <c r="N1690">
        <v>50.49</v>
      </c>
      <c r="O1690">
        <v>-2</v>
      </c>
      <c r="P1690">
        <v>55</v>
      </c>
    </row>
    <row r="1691" spans="1:16" x14ac:dyDescent="0.25">
      <c r="A1691">
        <v>21600657</v>
      </c>
      <c r="B1691">
        <v>2016</v>
      </c>
      <c r="C1691" t="s">
        <v>32</v>
      </c>
      <c r="D1691" t="s">
        <v>29</v>
      </c>
      <c r="E1691">
        <v>12</v>
      </c>
      <c r="F1691">
        <v>6</v>
      </c>
      <c r="G1691">
        <v>1</v>
      </c>
      <c r="H1691" s="1">
        <v>5.5092592592592589E-3</v>
      </c>
      <c r="I1691" t="s">
        <v>18</v>
      </c>
      <c r="J1691" s="2" t="str">
        <f>HYPERLINK("https://www.nba.com/stats/events?CFID=&amp;CFPARAMS=&amp;GameEventID=37&amp;GameID=0021600657&amp;Season=2016-17&amp;flag=1&amp;title=Leonard%206'%20Pullup%20Jump%20Shot%20(4%20PTS)", "Leonard 6' Pullup Jump Shot (4 PTS)")</f>
        <v>Leonard 6' Pullup Jump Shot (4 PTS)</v>
      </c>
      <c r="K1691" s="2" t="str">
        <f>HYPERLINK("https://www.nba.com/game/...-vs-...-0021600657/play-by-play?watchFullGame=true", "SAS vs CLE - Q1 07:56.00")</f>
        <v>SAS vs CLE - Q1 07:56.00</v>
      </c>
      <c r="L1691">
        <v>6</v>
      </c>
      <c r="M1691">
        <v>-2</v>
      </c>
      <c r="N1691">
        <v>56</v>
      </c>
      <c r="O1691">
        <v>-2</v>
      </c>
      <c r="P1691">
        <v>56</v>
      </c>
    </row>
    <row r="1692" spans="1:16" x14ac:dyDescent="0.25">
      <c r="A1692">
        <v>21501018</v>
      </c>
      <c r="B1692">
        <v>2015</v>
      </c>
      <c r="C1692" t="s">
        <v>32</v>
      </c>
      <c r="D1692" t="s">
        <v>70</v>
      </c>
      <c r="E1692">
        <v>19</v>
      </c>
      <c r="F1692">
        <v>20</v>
      </c>
      <c r="G1692">
        <v>1</v>
      </c>
      <c r="H1692" s="1">
        <v>2.3148148148148147E-3</v>
      </c>
      <c r="I1692" t="s">
        <v>18</v>
      </c>
      <c r="J1692" s="2" t="str">
        <f>HYPERLINK("https://www.nba.com/stats/events?CFID=&amp;CFPARAMS=&amp;GameEventID=77&amp;GameID=0021501018&amp;Season=2015-16&amp;flag=1&amp;title=Leonard%206'%20Driving%20Hook%20Shot%20(4%20PTS)%20(Mills%201%20AST)", "Leonard 6' Driving Hook Shot (4 PTS) (Mills 1 AST)")</f>
        <v>Leonard 6' Driving Hook Shot (4 PTS) (Mills 1 AST)</v>
      </c>
      <c r="K1692" s="2" t="str">
        <f>HYPERLINK("https://www.nba.com/game/...-vs-...-0021501018/play-by-play?watchFullGame=true", "SAS vs POR - Q1 03:20.00")</f>
        <v>SAS vs POR - Q1 03:20.00</v>
      </c>
      <c r="L1692">
        <v>6</v>
      </c>
      <c r="M1692">
        <v>-2</v>
      </c>
      <c r="N1692">
        <v>56</v>
      </c>
      <c r="O1692">
        <v>-2</v>
      </c>
      <c r="P1692">
        <v>56</v>
      </c>
    </row>
    <row r="1693" spans="1:16" x14ac:dyDescent="0.25">
      <c r="A1693">
        <v>21900618</v>
      </c>
      <c r="B1693">
        <v>2019</v>
      </c>
      <c r="C1693" t="s">
        <v>32</v>
      </c>
      <c r="D1693" t="s">
        <v>22</v>
      </c>
      <c r="E1693">
        <v>80</v>
      </c>
      <c r="F1693">
        <v>59</v>
      </c>
      <c r="G1693">
        <v>3</v>
      </c>
      <c r="H1693" s="1">
        <v>5.4282407407407404E-3</v>
      </c>
      <c r="I1693" t="s">
        <v>23</v>
      </c>
      <c r="J1693" s="2" t="str">
        <f>HYPERLINK("https://www.nba.com/stats/events?CFID=&amp;CFPARAMS=&amp;GameEventID=366&amp;GameID=0021900618&amp;Season=2019-20&amp;flag=1&amp;title=Leonard%206'%20jumpshot%20(30%20PTS)", "6' jumpshot (30 PTS)")</f>
        <v>6' jumpshot (30 PTS)</v>
      </c>
      <c r="K1693" s="2" t="str">
        <f>HYPERLINK("https://www.nba.com/game/...-vs-...-0021900618/play-by-play?watchFullGame=true", "LAC vs ORL - Q3 07:49.00")</f>
        <v>LAC vs ORL - Q3 07:49.00</v>
      </c>
      <c r="L1693">
        <v>6.22</v>
      </c>
      <c r="M1693">
        <v>11.61</v>
      </c>
      <c r="N1693">
        <v>50.42</v>
      </c>
      <c r="O1693">
        <v>-2</v>
      </c>
      <c r="P1693">
        <v>57</v>
      </c>
    </row>
    <row r="1694" spans="1:16" x14ac:dyDescent="0.25">
      <c r="A1694">
        <v>21600727</v>
      </c>
      <c r="B1694">
        <v>2016</v>
      </c>
      <c r="C1694" t="s">
        <v>32</v>
      </c>
      <c r="D1694" t="s">
        <v>43</v>
      </c>
      <c r="E1694">
        <v>22</v>
      </c>
      <c r="F1694">
        <v>17</v>
      </c>
      <c r="G1694">
        <v>1</v>
      </c>
      <c r="H1694" s="1">
        <v>1.7824074074074075E-3</v>
      </c>
      <c r="I1694" t="s">
        <v>18</v>
      </c>
      <c r="J1694" s="2" t="str">
        <f>HYPERLINK("https://www.nba.com/stats/events?CFID=&amp;CFPARAMS=&amp;GameEventID=130&amp;GameID=0021600727&amp;Season=2016-17&amp;flag=1&amp;title=Leonard%206'%20Turnaround%20Hook%20Shot%20(4%20PTS)", "Leonard 6' Turnaround Hook Shot (4 PTS)")</f>
        <v>Leonard 6' Turnaround Hook Shot (4 PTS)</v>
      </c>
      <c r="K1694" s="2" t="str">
        <f>HYPERLINK("https://www.nba.com/game/...-vs-...-0021600727/play-by-play?watchFullGame=true", "SAS vs OKC - Q1 02:34.00")</f>
        <v>SAS vs OKC - Q1 02:34.00</v>
      </c>
      <c r="L1694">
        <v>6</v>
      </c>
      <c r="M1694">
        <v>-2</v>
      </c>
      <c r="N1694">
        <v>62</v>
      </c>
      <c r="O1694">
        <v>-2</v>
      </c>
      <c r="P1694">
        <v>62</v>
      </c>
    </row>
    <row r="1695" spans="1:16" x14ac:dyDescent="0.25">
      <c r="A1695">
        <v>22300325</v>
      </c>
      <c r="B1695">
        <v>2023</v>
      </c>
      <c r="C1695" t="s">
        <v>32</v>
      </c>
      <c r="D1695" t="s">
        <v>44</v>
      </c>
      <c r="E1695">
        <v>57</v>
      </c>
      <c r="F1695">
        <v>45</v>
      </c>
      <c r="G1695">
        <v>2</v>
      </c>
      <c r="H1695" s="1">
        <v>3.1944444444444446E-3</v>
      </c>
      <c r="I1695" t="s">
        <v>23</v>
      </c>
      <c r="J1695" s="2" t="str">
        <f>HYPERLINK("https://www.nba.com/stats/events?CFID=&amp;CFPARAMS=&amp;GameEventID=289&amp;GameID=0022300325&amp;Season=2023-24&amp;flag=1&amp;title=Leonard%206'%20driving%20Hook%20(16%20PTS)", "6' driving Hook (16 PTS)")</f>
        <v>6' driving Hook (16 PTS)</v>
      </c>
      <c r="K1695" s="2" t="str">
        <f>HYPERLINK("https://www.nba.com/game/...-vs-...-0022300325/play-by-play?watchFullGame=true", "LAC vs GSW - Q2 04:36.00")</f>
        <v>LAC vs GSW - Q2 04:36.00</v>
      </c>
      <c r="L1695">
        <v>6.41</v>
      </c>
      <c r="M1695">
        <v>12.4</v>
      </c>
      <c r="N1695">
        <v>50.49</v>
      </c>
      <c r="O1695">
        <v>-2</v>
      </c>
      <c r="P1695">
        <v>64</v>
      </c>
    </row>
    <row r="1696" spans="1:16" x14ac:dyDescent="0.25">
      <c r="A1696">
        <v>21900618</v>
      </c>
      <c r="B1696">
        <v>2019</v>
      </c>
      <c r="C1696" t="s">
        <v>32</v>
      </c>
      <c r="D1696" t="s">
        <v>22</v>
      </c>
      <c r="E1696">
        <v>9</v>
      </c>
      <c r="F1696">
        <v>7</v>
      </c>
      <c r="G1696">
        <v>1</v>
      </c>
      <c r="H1696" s="1">
        <v>6.8865740740740745E-3</v>
      </c>
      <c r="I1696" t="s">
        <v>23</v>
      </c>
      <c r="J1696" s="2" t="str">
        <f>HYPERLINK("https://www.nba.com/stats/events?CFID=&amp;CFPARAMS=&amp;GameEventID=20&amp;GameID=0021900618&amp;Season=2019-20&amp;flag=1&amp;title=Leonard%207'%20jumpshot%20(4%20PTS)", "7' jumpshot (4 PTS)")</f>
        <v>7' jumpshot (4 PTS)</v>
      </c>
      <c r="K1696" s="2" t="str">
        <f>HYPERLINK("https://www.nba.com/game/...-vs-...-0021900618/play-by-play?watchFullGame=true", "LAC vs ORL - Q1 09:55.00")</f>
        <v>LAC vs ORL - Q1 09:55.00</v>
      </c>
      <c r="L1696">
        <v>7.36</v>
      </c>
      <c r="M1696">
        <v>87.17</v>
      </c>
      <c r="N1696">
        <v>49.69</v>
      </c>
      <c r="O1696">
        <v>-2</v>
      </c>
      <c r="P1696">
        <v>68</v>
      </c>
    </row>
    <row r="1697" spans="1:16" x14ac:dyDescent="0.25">
      <c r="A1697">
        <v>22200902</v>
      </c>
      <c r="B1697">
        <v>2022</v>
      </c>
      <c r="C1697" t="s">
        <v>32</v>
      </c>
      <c r="D1697" t="s">
        <v>44</v>
      </c>
      <c r="E1697">
        <v>114</v>
      </c>
      <c r="F1697">
        <v>104</v>
      </c>
      <c r="G1697">
        <v>3</v>
      </c>
      <c r="H1697" s="1">
        <v>8.3333333333333339E-4</v>
      </c>
      <c r="I1697" t="s">
        <v>23</v>
      </c>
      <c r="J1697" s="2" t="str">
        <f>HYPERLINK("https://www.nba.com/stats/events?CFID=&amp;CFPARAMS=&amp;GameEventID=476&amp;GameID=0022200902&amp;Season=2022-23&amp;flag=1&amp;title=Leonard%206'%20driving%20Hook%20(38%20PTS)", "6' driving Hook (38 PTS)")</f>
        <v>6' driving Hook (38 PTS)</v>
      </c>
      <c r="K1697" s="2" t="str">
        <f>HYPERLINK("https://www.nba.com/game/...-vs-...-0022200902/play-by-play?watchFullGame=true", "LAC vs SAC - Q3 01:12.00")</f>
        <v>LAC vs SAC - Q3 01:12.00</v>
      </c>
      <c r="L1697">
        <v>6.9</v>
      </c>
      <c r="M1697">
        <v>12.93</v>
      </c>
      <c r="N1697">
        <v>50.49</v>
      </c>
      <c r="O1697">
        <v>-2</v>
      </c>
      <c r="P1697">
        <v>69</v>
      </c>
    </row>
    <row r="1698" spans="1:16" x14ac:dyDescent="0.25">
      <c r="A1698">
        <v>21500675</v>
      </c>
      <c r="B1698">
        <v>2015</v>
      </c>
      <c r="C1698" t="s">
        <v>32</v>
      </c>
      <c r="D1698" t="s">
        <v>33</v>
      </c>
      <c r="E1698">
        <v>42</v>
      </c>
      <c r="F1698">
        <v>33</v>
      </c>
      <c r="G1698">
        <v>2</v>
      </c>
      <c r="H1698" s="1">
        <v>4.6759259259259263E-3</v>
      </c>
      <c r="I1698" t="s">
        <v>18</v>
      </c>
      <c r="J1698" s="2" t="str">
        <f>HYPERLINK("https://www.nba.com/stats/events?CFID=&amp;CFPARAMS=&amp;GameEventID=171&amp;GameID=0021500675&amp;Season=2015-16&amp;flag=1&amp;title=Leonard%207'%20Fadeaway%20Jumper%20(6%20PTS)", "Leonard 7' Fadeaway Jumper (6 PTS)")</f>
        <v>Leonard 7' Fadeaway Jumper (6 PTS)</v>
      </c>
      <c r="K1698" s="2" t="str">
        <f>HYPERLINK("https://www.nba.com/game/...-vs-...-0021500675/play-by-play?watchFullGame=true", "SAS vs GSW - Q2 06:44.00")</f>
        <v>SAS vs GSW - Q2 06:44.00</v>
      </c>
      <c r="L1698">
        <v>7</v>
      </c>
      <c r="M1698">
        <v>-2</v>
      </c>
      <c r="N1698">
        <v>70</v>
      </c>
      <c r="O1698">
        <v>-2</v>
      </c>
      <c r="P1698">
        <v>70</v>
      </c>
    </row>
    <row r="1699" spans="1:16" x14ac:dyDescent="0.25">
      <c r="A1699">
        <v>21301030</v>
      </c>
      <c r="B1699">
        <v>2013</v>
      </c>
      <c r="C1699" t="s">
        <v>32</v>
      </c>
      <c r="D1699" t="s">
        <v>78</v>
      </c>
      <c r="E1699">
        <v>32</v>
      </c>
      <c r="F1699">
        <v>42</v>
      </c>
      <c r="G1699">
        <v>2</v>
      </c>
      <c r="H1699" s="1">
        <v>2.9282407407407408E-3</v>
      </c>
      <c r="I1699" t="s">
        <v>18</v>
      </c>
      <c r="J1699" s="2" t="str">
        <f>HYPERLINK("https://www.nba.com/stats/events?CFID=&amp;CFPARAMS=&amp;GameEventID=192&amp;GameID=0021301030&amp;Season=2013-14&amp;flag=1&amp;title=Leonard%208'%20Running%20Hook%20Shot%20(9%20PTS)%20(Parker%202%20AST)", "Leonard 8' Running Hook Shot (9 PTS) (Parker 2 AST)")</f>
        <v>Leonard 8' Running Hook Shot (9 PTS) (Parker 2 AST)</v>
      </c>
      <c r="K1699" s="2" t="str">
        <f>HYPERLINK("https://www.nba.com/game/...-vs-...-0021301030/play-by-play?watchFullGame=true", "SAS vs SAC - Q2 04:13.00")</f>
        <v>SAS vs SAC - Q2 04:13.00</v>
      </c>
      <c r="L1699">
        <v>8</v>
      </c>
      <c r="M1699">
        <v>-2</v>
      </c>
      <c r="N1699">
        <v>78</v>
      </c>
      <c r="O1699">
        <v>-2</v>
      </c>
      <c r="P1699">
        <v>78</v>
      </c>
    </row>
    <row r="1700" spans="1:16" x14ac:dyDescent="0.25">
      <c r="A1700">
        <v>21400102</v>
      </c>
      <c r="B1700">
        <v>2014</v>
      </c>
      <c r="C1700" t="s">
        <v>32</v>
      </c>
      <c r="D1700" t="s">
        <v>45</v>
      </c>
      <c r="E1700">
        <v>40</v>
      </c>
      <c r="F1700">
        <v>39</v>
      </c>
      <c r="G1700">
        <v>2</v>
      </c>
      <c r="H1700" s="1">
        <v>5.6250000000000007E-4</v>
      </c>
      <c r="I1700" t="s">
        <v>18</v>
      </c>
      <c r="J1700" s="2" t="str">
        <f>HYPERLINK("https://www.nba.com/stats/events?CFID=&amp;CFPARAMS=&amp;GameEventID=222&amp;GameID=0021400102&amp;Season=2014-15&amp;flag=1&amp;title=Leonard%209'%20Jump%20Hook%20Shot%20(14%20PTS)", "Leonard 9' Jump Hook Shot (14 PTS)")</f>
        <v>Leonard 9' Jump Hook Shot (14 PTS)</v>
      </c>
      <c r="K1700" s="2" t="str">
        <f>HYPERLINK("https://www.nba.com/game/...-vs-...-0021400102/play-by-play?watchFullGame=true", "SAS vs LAC - Q2 00:48.60")</f>
        <v>SAS vs LAC - Q2 00:48.60</v>
      </c>
      <c r="L1700">
        <v>9</v>
      </c>
      <c r="M1700">
        <v>-2</v>
      </c>
      <c r="N1700">
        <v>85</v>
      </c>
      <c r="O1700">
        <v>-2</v>
      </c>
      <c r="P1700">
        <v>85</v>
      </c>
    </row>
    <row r="1701" spans="1:16" x14ac:dyDescent="0.25">
      <c r="A1701">
        <v>22000387</v>
      </c>
      <c r="B1701">
        <v>2020</v>
      </c>
      <c r="C1701" t="s">
        <v>32</v>
      </c>
      <c r="D1701" t="s">
        <v>19</v>
      </c>
      <c r="E1701">
        <v>69</v>
      </c>
      <c r="F1701">
        <v>79</v>
      </c>
      <c r="G1701">
        <v>3</v>
      </c>
      <c r="H1701" s="1">
        <v>1.2037037037037038E-3</v>
      </c>
      <c r="I1701" t="s">
        <v>23</v>
      </c>
      <c r="J1701" s="2" t="str">
        <f>HYPERLINK("https://www.nba.com/stats/events?CFID=&amp;CFPARAMS=&amp;GameEventID=470&amp;GameID=0022000387&amp;Season=2020-21&amp;flag=1&amp;title=Leonard%209'%20pullup%20Jump%20Shot%20(24%20PTS)", "9' pullup Jump Shot (24 PTS)")</f>
        <v>9' pullup Jump Shot (24 PTS)</v>
      </c>
      <c r="K1701" s="2" t="str">
        <f>HYPERLINK("https://www.nba.com/game/...-vs-...-0022000387/play-by-play?watchFullGame=true", "LAC vs MIN - Q3 01:44.00")</f>
        <v>LAC vs MIN - Q3 01:44.00</v>
      </c>
      <c r="L1701">
        <v>9.0299999999999994</v>
      </c>
      <c r="M1701">
        <v>15.19</v>
      </c>
      <c r="N1701">
        <v>50.31</v>
      </c>
      <c r="O1701">
        <v>-2</v>
      </c>
      <c r="P1701">
        <v>90</v>
      </c>
    </row>
    <row r="1702" spans="1:16" x14ac:dyDescent="0.25">
      <c r="A1702">
        <v>22200784</v>
      </c>
      <c r="B1702">
        <v>2022</v>
      </c>
      <c r="C1702" t="s">
        <v>32</v>
      </c>
      <c r="D1702" t="s">
        <v>19</v>
      </c>
      <c r="E1702">
        <v>9</v>
      </c>
      <c r="F1702">
        <v>22</v>
      </c>
      <c r="G1702">
        <v>1</v>
      </c>
      <c r="H1702" s="1">
        <v>1.7476851851851852E-3</v>
      </c>
      <c r="I1702" t="s">
        <v>23</v>
      </c>
      <c r="J1702" s="2" t="str">
        <f>HYPERLINK("https://www.nba.com/stats/events?CFID=&amp;CFPARAMS=&amp;GameEventID=119&amp;GameID=0022200784&amp;Season=2022-23&amp;flag=1&amp;title=Leonard%209'%20turnaround%20fadeaway%20Jump%20Shot%20(6%20PTS)", "9' turnaround fadeaway Jump Shot (6 PTS)")</f>
        <v>9' turnaround fadeaway Jump Shot (6 PTS)</v>
      </c>
      <c r="K1702" s="2" t="str">
        <f>HYPERLINK("https://www.nba.com/game/...-vs-...-0022200784/play-by-play?watchFullGame=true", "LAC vs MIL - Q1 02:31.00")</f>
        <v>LAC vs MIL - Q1 02:31.00</v>
      </c>
      <c r="L1702">
        <v>9.5299999999999994</v>
      </c>
      <c r="M1702">
        <v>15.72</v>
      </c>
      <c r="N1702">
        <v>50.49</v>
      </c>
      <c r="O1702">
        <v>-2</v>
      </c>
      <c r="P1702">
        <v>95</v>
      </c>
    </row>
    <row r="1703" spans="1:16" x14ac:dyDescent="0.25">
      <c r="A1703">
        <v>22300458</v>
      </c>
      <c r="B1703">
        <v>2023</v>
      </c>
      <c r="C1703" t="s">
        <v>32</v>
      </c>
      <c r="D1703" t="s">
        <v>19</v>
      </c>
      <c r="E1703">
        <v>69</v>
      </c>
      <c r="F1703">
        <v>63</v>
      </c>
      <c r="G1703">
        <v>3</v>
      </c>
      <c r="H1703" s="1">
        <v>6.4930555555555557E-3</v>
      </c>
      <c r="I1703" t="s">
        <v>23</v>
      </c>
      <c r="J1703" s="2" t="str">
        <f>HYPERLINK("https://www.nba.com/stats/events?CFID=&amp;CFPARAMS=&amp;GameEventID=320&amp;GameID=0022300458&amp;Season=2023-24&amp;flag=1&amp;title=Leonard%2010'%20fadeaway%20Jump%20Shot%20(15%20PTS)", "10' fadeaway Jump Shot (15 PTS)")</f>
        <v>10' fadeaway Jump Shot (15 PTS)</v>
      </c>
      <c r="K1703" s="2" t="str">
        <f>HYPERLINK("https://www.nba.com/game/...-vs-...-0022300458/play-by-play?watchFullGame=true", "LAC vs MIA - Q3 09:21.00")</f>
        <v>LAC vs MIA - Q3 09:21.00</v>
      </c>
      <c r="L1703">
        <v>10.24</v>
      </c>
      <c r="M1703">
        <v>16.48</v>
      </c>
      <c r="N1703">
        <v>50.49</v>
      </c>
      <c r="O1703">
        <v>-2</v>
      </c>
      <c r="P1703">
        <v>102</v>
      </c>
    </row>
    <row r="1704" spans="1:16" x14ac:dyDescent="0.25">
      <c r="A1704">
        <v>21900090</v>
      </c>
      <c r="B1704">
        <v>2019</v>
      </c>
      <c r="C1704" t="s">
        <v>32</v>
      </c>
      <c r="D1704" t="s">
        <v>22</v>
      </c>
      <c r="E1704">
        <v>86</v>
      </c>
      <c r="F1704">
        <v>84</v>
      </c>
      <c r="G1704">
        <v>4</v>
      </c>
      <c r="H1704" s="1">
        <v>3.0902777777777777E-3</v>
      </c>
      <c r="I1704" t="s">
        <v>23</v>
      </c>
      <c r="J1704" s="2" t="str">
        <f>HYPERLINK("https://www.nba.com/stats/events?CFID=&amp;CFPARAMS=&amp;GameEventID=614&amp;GameID=0021900090&amp;Season=2019-20&amp;flag=1&amp;title=[LAC]%20Leonard%20jumpshot:%20Made%20(24%20PTS)", "[LAC] Leonard jumpshot: Made (24 PTS)")</f>
        <v>[LAC] Leonard jumpshot: Made (24 PTS)</v>
      </c>
      <c r="K1704" s="2" t="str">
        <f>HYPERLINK("https://www.nba.com/game/...-vs-...-0021900090/play-by-play?watchFullGame=true", "LAC vs UTA - Q4 04:27.00")</f>
        <v>LAC vs UTA - Q4 04:27.00</v>
      </c>
      <c r="L1704">
        <v>10.82</v>
      </c>
      <c r="M1704">
        <v>83.49</v>
      </c>
      <c r="N1704">
        <v>49.69</v>
      </c>
      <c r="O1704">
        <v>-2</v>
      </c>
      <c r="P1704">
        <v>103</v>
      </c>
    </row>
    <row r="1705" spans="1:16" x14ac:dyDescent="0.25">
      <c r="A1705">
        <v>22200423</v>
      </c>
      <c r="B1705">
        <v>2022</v>
      </c>
      <c r="C1705" t="s">
        <v>32</v>
      </c>
      <c r="D1705" t="s">
        <v>19</v>
      </c>
      <c r="E1705">
        <v>78</v>
      </c>
      <c r="F1705">
        <v>73</v>
      </c>
      <c r="G1705">
        <v>4</v>
      </c>
      <c r="H1705" s="1">
        <v>5.4282407407407404E-3</v>
      </c>
      <c r="I1705" t="s">
        <v>23</v>
      </c>
      <c r="J1705" s="2" t="str">
        <f>HYPERLINK("https://www.nba.com/stats/events?CFID=&amp;CFPARAMS=&amp;GameEventID=516&amp;GameID=0022200423&amp;Season=2022-23&amp;flag=1&amp;title=Leonard%2011'%20pullup%20Jump%20Shot%20(15%20PTS)", "11' pullup Jump Shot (15 PTS)")</f>
        <v>11' pullup Jump Shot (15 PTS)</v>
      </c>
      <c r="K1705" s="2" t="str">
        <f>HYPERLINK("https://www.nba.com/game/...-vs-...-0022200423/play-by-play?watchFullGame=true", "LAC vs MIN - Q4 07:49.00")</f>
        <v>LAC vs MIN - Q4 07:49.00</v>
      </c>
      <c r="L1705">
        <v>11.84</v>
      </c>
      <c r="M1705">
        <v>18.18</v>
      </c>
      <c r="N1705">
        <v>50.49</v>
      </c>
      <c r="O1705">
        <v>-2</v>
      </c>
      <c r="P1705">
        <v>118</v>
      </c>
    </row>
    <row r="1706" spans="1:16" x14ac:dyDescent="0.25">
      <c r="A1706">
        <v>21600336</v>
      </c>
      <c r="B1706">
        <v>2016</v>
      </c>
      <c r="C1706" t="s">
        <v>32</v>
      </c>
      <c r="D1706" t="s">
        <v>17</v>
      </c>
      <c r="E1706">
        <v>80</v>
      </c>
      <c r="F1706">
        <v>73</v>
      </c>
      <c r="G1706">
        <v>4</v>
      </c>
      <c r="H1706" s="1">
        <v>5.2777777777777779E-3</v>
      </c>
      <c r="I1706" t="s">
        <v>18</v>
      </c>
      <c r="J1706" s="2" t="str">
        <f>HYPERLINK("https://www.nba.com/stats/events?CFID=&amp;CFPARAMS=&amp;GameEventID=447&amp;GameID=0021600336&amp;Season=2016-17&amp;flag=1&amp;title=Leonard%2012'%20Running%20Jump%20Shot%20(21%20PTS)", "Leonard 12' Running Jump Shot (21 PTS)")</f>
        <v>Leonard 12' Running Jump Shot (21 PTS)</v>
      </c>
      <c r="K1706" s="2" t="str">
        <f>HYPERLINK("https://www.nba.com/game/...-vs-...-0021600336/play-by-play?watchFullGame=true", "SAS vs CHI - Q4 07:36.00")</f>
        <v>SAS vs CHI - Q4 07:36.00</v>
      </c>
      <c r="L1706">
        <v>12</v>
      </c>
      <c r="M1706">
        <v>-2</v>
      </c>
      <c r="N1706">
        <v>120</v>
      </c>
      <c r="O1706">
        <v>-2</v>
      </c>
      <c r="P1706">
        <v>120</v>
      </c>
    </row>
    <row r="1707" spans="1:16" x14ac:dyDescent="0.25">
      <c r="A1707">
        <v>22000077</v>
      </c>
      <c r="B1707">
        <v>2020</v>
      </c>
      <c r="C1707" t="s">
        <v>32</v>
      </c>
      <c r="D1707" t="s">
        <v>19</v>
      </c>
      <c r="E1707">
        <v>43</v>
      </c>
      <c r="F1707">
        <v>35</v>
      </c>
      <c r="G1707">
        <v>2</v>
      </c>
      <c r="H1707" s="1">
        <v>2.6041666666666665E-3</v>
      </c>
      <c r="I1707" t="s">
        <v>23</v>
      </c>
      <c r="J1707" s="2" t="str">
        <f>HYPERLINK("https://www.nba.com/stats/events?CFID=&amp;CFPARAMS=&amp;GameEventID=302&amp;GameID=0022000077&amp;Season=2020-21&amp;flag=1&amp;title=Leonard%2014'%20pullup%20Jump%20Shot%20(9%20PTS)", "14' pullup Jump Shot (9 PTS)")</f>
        <v>14' pullup Jump Shot (9 PTS)</v>
      </c>
      <c r="K1707" s="2" t="str">
        <f>HYPERLINK("https://www.nba.com/game/...-vs-...-0022000077/play-by-play?watchFullGame=true", "LAC vs UTA - Q2 03:45.00")</f>
        <v>LAC vs UTA - Q2 03:45.00</v>
      </c>
      <c r="L1707">
        <v>14.47</v>
      </c>
      <c r="M1707">
        <v>20.98</v>
      </c>
      <c r="N1707">
        <v>50.31</v>
      </c>
      <c r="O1707">
        <v>-2</v>
      </c>
      <c r="P1707">
        <v>145</v>
      </c>
    </row>
    <row r="1708" spans="1:16" x14ac:dyDescent="0.25">
      <c r="A1708">
        <v>41200152</v>
      </c>
      <c r="B1708" t="s">
        <v>27</v>
      </c>
      <c r="C1708" t="s">
        <v>32</v>
      </c>
      <c r="D1708" t="s">
        <v>19</v>
      </c>
      <c r="E1708">
        <v>16</v>
      </c>
      <c r="F1708">
        <v>12</v>
      </c>
      <c r="G1708">
        <v>1</v>
      </c>
      <c r="H1708" s="1">
        <v>3.3564814814814816E-3</v>
      </c>
      <c r="I1708" t="s">
        <v>18</v>
      </c>
      <c r="J1708" s="2" t="str">
        <f>HYPERLINK("https://www.nba.com/stats/events?CFID=&amp;CFPARAMS=&amp;GameEventID=64&amp;GameID=0041200152&amp;Season=2012-13&amp;flag=1&amp;title=Leonard%2015'%20Jump%20Shot%20(6%20PTS)", "Leonard 15' Jump Shot (6 PTS)")</f>
        <v>Leonard 15' Jump Shot (6 PTS)</v>
      </c>
      <c r="K1708" s="2" t="str">
        <f>HYPERLINK("https://www.nba.com/game/...-vs-...-0041200152/play-by-play?watchFullGame=true", "SAS vs LAL - Q1 04:50.00")</f>
        <v>SAS vs LAL - Q1 04:50.00</v>
      </c>
      <c r="L1708">
        <v>15</v>
      </c>
      <c r="M1708">
        <v>-2</v>
      </c>
      <c r="N1708">
        <v>145</v>
      </c>
      <c r="O1708">
        <v>-2</v>
      </c>
      <c r="P1708">
        <v>145</v>
      </c>
    </row>
    <row r="1709" spans="1:16" x14ac:dyDescent="0.25">
      <c r="A1709">
        <v>22300052</v>
      </c>
      <c r="B1709">
        <v>2023</v>
      </c>
      <c r="C1709" t="s">
        <v>32</v>
      </c>
      <c r="D1709" t="s">
        <v>19</v>
      </c>
      <c r="E1709">
        <v>10</v>
      </c>
      <c r="F1709">
        <v>13</v>
      </c>
      <c r="G1709">
        <v>1</v>
      </c>
      <c r="H1709" s="1">
        <v>5.8217592592592592E-3</v>
      </c>
      <c r="I1709" t="s">
        <v>23</v>
      </c>
      <c r="J1709" s="2" t="str">
        <f>HYPERLINK("https://www.nba.com/stats/events?CFID=&amp;CFPARAMS=&amp;GameEventID=33&amp;GameID=0022300052&amp;Season=2023-24&amp;flag=1&amp;title=Leonard%2015'%20Jump%20Shot%20(4%20PTS)%20(P.%20George%201%20AST)", "15' Jump Shot (4 PTS) (P. George 1 AST)")</f>
        <v>15' Jump Shot (4 PTS) (P. George 1 AST)</v>
      </c>
      <c r="K1709" s="2" t="str">
        <f>HYPERLINK("https://www.nba.com/game/...-vs-...-0022300052/play-by-play?watchFullGame=true", "LAC vs NOP - Q1 08:23.00")</f>
        <v>LAC vs NOP - Q1 08:23.00</v>
      </c>
      <c r="L1709">
        <v>15.42</v>
      </c>
      <c r="M1709">
        <v>21.99</v>
      </c>
      <c r="N1709">
        <v>50.49</v>
      </c>
      <c r="O1709">
        <v>-2</v>
      </c>
      <c r="P1709">
        <v>154</v>
      </c>
    </row>
    <row r="1710" spans="1:16" x14ac:dyDescent="0.25">
      <c r="A1710">
        <v>22300956</v>
      </c>
      <c r="B1710">
        <v>2023</v>
      </c>
      <c r="C1710" t="s">
        <v>32</v>
      </c>
      <c r="D1710" t="s">
        <v>19</v>
      </c>
      <c r="E1710">
        <v>5</v>
      </c>
      <c r="F1710">
        <v>9</v>
      </c>
      <c r="G1710">
        <v>1</v>
      </c>
      <c r="H1710" s="1">
        <v>5.4976851851851853E-3</v>
      </c>
      <c r="I1710" t="s">
        <v>23</v>
      </c>
      <c r="J1710" s="2" t="str">
        <f>HYPERLINK("https://www.nba.com/stats/events?CFID=&amp;CFPARAMS=&amp;GameEventID=39&amp;GameID=0022300956&amp;Season=2023-24&amp;flag=1&amp;title=Leonard%2017'%20Jump%20Shot%20(2%20PTS)%20(P.%20George%201%20AST)", "17' Jump Shot (2 PTS) (P. George 1 AST)")</f>
        <v>17' Jump Shot (2 PTS) (P. George 1 AST)</v>
      </c>
      <c r="K1710" s="2" t="str">
        <f>HYPERLINK("https://www.nba.com/game/...-vs-...-0022300956/play-by-play?watchFullGame=true", "LAC vs CHI - Q1 07:55.00")</f>
        <v>LAC vs CHI - Q1 07:55.00</v>
      </c>
      <c r="L1710">
        <v>17.8</v>
      </c>
      <c r="M1710">
        <v>24.52</v>
      </c>
      <c r="N1710">
        <v>50.49</v>
      </c>
      <c r="O1710">
        <v>-2</v>
      </c>
      <c r="P1710">
        <v>178</v>
      </c>
    </row>
    <row r="1711" spans="1:16" x14ac:dyDescent="0.25">
      <c r="A1711">
        <v>21301154</v>
      </c>
      <c r="B1711">
        <v>2013</v>
      </c>
      <c r="C1711" t="s">
        <v>32</v>
      </c>
      <c r="D1711" t="s">
        <v>19</v>
      </c>
      <c r="E1711">
        <v>73</v>
      </c>
      <c r="F1711">
        <v>49</v>
      </c>
      <c r="G1711">
        <v>3</v>
      </c>
      <c r="H1711" s="1">
        <v>4.6759259259259263E-3</v>
      </c>
      <c r="I1711" t="s">
        <v>18</v>
      </c>
      <c r="J1711" s="2" t="str">
        <f>HYPERLINK("https://www.nba.com/stats/events?CFID=&amp;CFPARAMS=&amp;GameEventID=293&amp;GameID=0021301154&amp;Season=2013-14&amp;flag=1&amp;title=Leonard%2018'%20Jump%20Shot%20(19%20PTS)", "Leonard 18' Jump Shot (19 PTS)")</f>
        <v>Leonard 18' Jump Shot (19 PTS)</v>
      </c>
      <c r="K1711" s="2" t="str">
        <f>HYPERLINK("https://www.nba.com/game/...-vs-...-0021301154/play-by-play?watchFullGame=true", "SAS vs MEM - Q3 06:44.00")</f>
        <v>SAS vs MEM - Q3 06:44.00</v>
      </c>
      <c r="L1711">
        <v>18</v>
      </c>
      <c r="M1711">
        <v>-2</v>
      </c>
      <c r="N1711">
        <v>179</v>
      </c>
      <c r="O1711">
        <v>-2</v>
      </c>
      <c r="P1711">
        <v>179</v>
      </c>
    </row>
    <row r="1712" spans="1:16" x14ac:dyDescent="0.25">
      <c r="A1712">
        <v>21500566</v>
      </c>
      <c r="B1712">
        <v>2015</v>
      </c>
      <c r="C1712" t="s">
        <v>32</v>
      </c>
      <c r="D1712" t="s">
        <v>19</v>
      </c>
      <c r="E1712">
        <v>47</v>
      </c>
      <c r="F1712">
        <v>58</v>
      </c>
      <c r="G1712">
        <v>3</v>
      </c>
      <c r="H1712" s="1">
        <v>4.5717592592592589E-3</v>
      </c>
      <c r="I1712" t="s">
        <v>18</v>
      </c>
      <c r="J1712" s="2" t="str">
        <f>HYPERLINK("https://www.nba.com/stats/events?CFID=&amp;CFPARAMS=&amp;GameEventID=254&amp;GameID=0021500566&amp;Season=2015-16&amp;flag=1&amp;title=Leonard%2020'%20Jump%20Shot%20(9%20PTS)%20(Parker%204%20AST)", "Leonard 20' Jump Shot (9 PTS) (Parker 4 AST)")</f>
        <v>Leonard 20' Jump Shot (9 PTS) (Parker 4 AST)</v>
      </c>
      <c r="K1712" s="2" t="str">
        <f>HYPERLINK("https://www.nba.com/game/...-vs-...-0021500566/play-by-play?watchFullGame=true", "SAS vs BKN - Q3 06:35.00")</f>
        <v>SAS vs BKN - Q3 06:35.00</v>
      </c>
      <c r="L1712">
        <v>20</v>
      </c>
      <c r="M1712">
        <v>-2</v>
      </c>
      <c r="N1712">
        <v>198</v>
      </c>
      <c r="O1712">
        <v>-2</v>
      </c>
      <c r="P1712">
        <v>198</v>
      </c>
    </row>
    <row r="1713" spans="1:16" x14ac:dyDescent="0.25">
      <c r="A1713">
        <v>21901291</v>
      </c>
      <c r="B1713">
        <v>2019</v>
      </c>
      <c r="C1713" t="s">
        <v>32</v>
      </c>
      <c r="D1713" t="s">
        <v>22</v>
      </c>
      <c r="E1713">
        <v>12</v>
      </c>
      <c r="F1713">
        <v>26</v>
      </c>
      <c r="G1713">
        <v>1</v>
      </c>
      <c r="H1713" s="1">
        <v>4.1435185185185186E-3</v>
      </c>
      <c r="I1713" t="s">
        <v>23</v>
      </c>
      <c r="J1713" s="2" t="str">
        <f>HYPERLINK("https://www.nba.com/stats/events?CFID=&amp;CFPARAMS=&amp;GameEventID=65&amp;GameID=0021901291&amp;Season=2019-20&amp;flag=1&amp;title=Leonard%2021'%20jumpshot%20(6%20PTS)%20(J.%20Green%201%20AST)", "21' jumpshot (6 PTS) (J. Green 1 AST)")</f>
        <v>21' jumpshot (6 PTS) (J. Green 1 AST)</v>
      </c>
      <c r="K1713" s="2" t="str">
        <f>HYPERLINK("https://www.nba.com/game/...-vs-...-0021901291/play-by-play?watchFullGame=true", "LAC vs BKN - Q1 05:58.00")</f>
        <v>LAC vs BKN - Q1 05:58.00</v>
      </c>
      <c r="L1713">
        <v>20.92</v>
      </c>
      <c r="M1713">
        <v>72.75</v>
      </c>
      <c r="N1713">
        <v>49.58</v>
      </c>
      <c r="O1713">
        <v>-2</v>
      </c>
      <c r="P1713">
        <v>204</v>
      </c>
    </row>
    <row r="1714" spans="1:16" x14ac:dyDescent="0.25">
      <c r="A1714">
        <v>21601227</v>
      </c>
      <c r="B1714">
        <v>2016</v>
      </c>
      <c r="C1714" t="s">
        <v>32</v>
      </c>
      <c r="D1714" t="s">
        <v>19</v>
      </c>
      <c r="E1714">
        <v>53</v>
      </c>
      <c r="F1714">
        <v>46</v>
      </c>
      <c r="G1714">
        <v>2</v>
      </c>
      <c r="H1714" s="1">
        <v>8.2175925925925917E-5</v>
      </c>
      <c r="I1714" t="s">
        <v>18</v>
      </c>
      <c r="J1714" s="2" t="str">
        <f>HYPERLINK("https://www.nba.com/stats/events?CFID=&amp;CFPARAMS=&amp;GameEventID=222&amp;GameID=0021601227&amp;Season=2016-17&amp;flag=1&amp;title=Leonard%2021'%20Jump%20Shot%20(9%20PTS)", "Leonard 21' Jump Shot (9 PTS)")</f>
        <v>Leonard 21' Jump Shot (9 PTS)</v>
      </c>
      <c r="K1714" s="2" t="str">
        <f>HYPERLINK("https://www.nba.com/game/...-vs-...-0021601227/play-by-play?watchFullGame=true", "SAS vs UTA - Q2 00:07.10")</f>
        <v>SAS vs UTA - Q2 00:07.10</v>
      </c>
      <c r="L1714">
        <v>21</v>
      </c>
      <c r="M1714">
        <v>-2</v>
      </c>
      <c r="N1714">
        <v>208</v>
      </c>
      <c r="O1714">
        <v>-2</v>
      </c>
      <c r="P1714">
        <v>208</v>
      </c>
    </row>
    <row r="1715" spans="1:16" x14ac:dyDescent="0.25">
      <c r="A1715">
        <v>21600657</v>
      </c>
      <c r="B1715">
        <v>2016</v>
      </c>
      <c r="C1715" t="s">
        <v>16</v>
      </c>
      <c r="D1715" t="s">
        <v>19</v>
      </c>
      <c r="E1715">
        <v>90</v>
      </c>
      <c r="F1715">
        <v>96</v>
      </c>
      <c r="G1715">
        <v>4</v>
      </c>
      <c r="H1715" s="1">
        <v>6.2962962962962964E-3</v>
      </c>
      <c r="I1715" t="s">
        <v>18</v>
      </c>
      <c r="J1715" s="2" t="str">
        <f>HYPERLINK("https://www.nba.com/stats/events?CFID=&amp;CFPARAMS=&amp;GameEventID=401&amp;GameID=0021600657&amp;Season=2016-17&amp;flag=1&amp;title=Leonard%2026'%203PT%20Jump%20Shot%20(33%20PTS)", "Leonard 26' 3PT Jump Shot (33 PTS)")</f>
        <v>Leonard 26' 3PT Jump Shot (33 PTS)</v>
      </c>
      <c r="K1715" s="2" t="str">
        <f>HYPERLINK("https://www.nba.com/game/...-vs-...-0021600657/play-by-play?watchFullGame=true", "SAS vs CLE - Q4 09:04.00")</f>
        <v>SAS vs CLE - Q4 09:04.00</v>
      </c>
      <c r="L1715">
        <v>26</v>
      </c>
      <c r="M1715">
        <v>-2</v>
      </c>
      <c r="N1715">
        <v>259</v>
      </c>
      <c r="O1715">
        <v>-2</v>
      </c>
      <c r="P1715">
        <v>259</v>
      </c>
    </row>
    <row r="1716" spans="1:16" x14ac:dyDescent="0.25">
      <c r="A1716">
        <v>21901241</v>
      </c>
      <c r="B1716">
        <v>2019</v>
      </c>
      <c r="C1716" t="s">
        <v>16</v>
      </c>
      <c r="D1716" t="s">
        <v>22</v>
      </c>
      <c r="E1716">
        <v>40</v>
      </c>
      <c r="F1716">
        <v>25</v>
      </c>
      <c r="G1716">
        <v>2</v>
      </c>
      <c r="H1716" s="1">
        <v>7.9282407407407409E-3</v>
      </c>
      <c r="I1716" t="s">
        <v>23</v>
      </c>
      <c r="J1716" s="2" t="str">
        <f>HYPERLINK("https://www.nba.com/stats/events?CFID=&amp;CFPARAMS=&amp;GameEventID=163&amp;GameID=0021901241&amp;Season=2019-20&amp;flag=1&amp;title=Leonard%2028'%203PT%20%20(12%20PTS)%20(J.%20Green%202%20AST)", "28' 3PT  (12 PTS) (J. Green 2 AST)")</f>
        <v>28' 3PT  (12 PTS) (J. Green 2 AST)</v>
      </c>
      <c r="K1716" s="2" t="str">
        <f>HYPERLINK("https://www.nba.com/game/...-vs-...-0021901241/play-by-play?watchFullGame=true", "LAC vs NOP - Q2 11:25.00")</f>
        <v>LAC vs NOP - Q2 11:25.00</v>
      </c>
      <c r="L1716">
        <v>27.86</v>
      </c>
      <c r="M1716">
        <v>34.64</v>
      </c>
      <c r="N1716">
        <v>50.31</v>
      </c>
      <c r="O1716">
        <v>-2</v>
      </c>
      <c r="P1716">
        <v>273</v>
      </c>
    </row>
    <row r="1717" spans="1:16" x14ac:dyDescent="0.25">
      <c r="A1717">
        <v>22200766</v>
      </c>
      <c r="B1717">
        <v>2022</v>
      </c>
      <c r="C1717" t="s">
        <v>16</v>
      </c>
      <c r="D1717" t="s">
        <v>19</v>
      </c>
      <c r="E1717">
        <v>100</v>
      </c>
      <c r="F1717">
        <v>104</v>
      </c>
      <c r="G1717">
        <v>4</v>
      </c>
      <c r="H1717" s="1">
        <v>2.1412037037037038E-3</v>
      </c>
      <c r="I1717" t="s">
        <v>23</v>
      </c>
      <c r="J1717" s="2" t="str">
        <f>HYPERLINK("https://www.nba.com/stats/events?CFID=&amp;CFPARAMS=&amp;GameEventID=591&amp;GameID=0022200766&amp;Season=2022-23&amp;flag=1&amp;title=Leonard%2028'%203PT%20pullup%20(31%20PTS)", "28' 3PT pullup (31 PTS)")</f>
        <v>28' 3PT pullup (31 PTS)</v>
      </c>
      <c r="K1717" s="2" t="str">
        <f>HYPERLINK("https://www.nba.com/game/...-vs-...-0022200766/play-by-play?watchFullGame=true", "LAC vs CHI - Q4 03:05.00")</f>
        <v>LAC vs CHI - Q4 03:05.00</v>
      </c>
      <c r="L1717">
        <v>28.02</v>
      </c>
      <c r="M1717">
        <v>64.599999999999994</v>
      </c>
      <c r="N1717">
        <v>49.51</v>
      </c>
      <c r="O1717">
        <v>-2</v>
      </c>
      <c r="P1717">
        <v>280</v>
      </c>
    </row>
    <row r="1718" spans="1:16" x14ac:dyDescent="0.25">
      <c r="A1718">
        <v>21601085</v>
      </c>
      <c r="B1718">
        <v>2016</v>
      </c>
      <c r="C1718" t="s">
        <v>16</v>
      </c>
      <c r="D1718" t="s">
        <v>38</v>
      </c>
      <c r="E1718">
        <v>42</v>
      </c>
      <c r="F1718">
        <v>26</v>
      </c>
      <c r="G1718">
        <v>2</v>
      </c>
      <c r="H1718" s="1">
        <v>5.3009259259259259E-3</v>
      </c>
      <c r="I1718" t="s">
        <v>18</v>
      </c>
      <c r="J1718" s="2" t="str">
        <f>HYPERLINK("https://www.nba.com/stats/events?CFID=&amp;CFPARAMS=&amp;GameEventID=168&amp;GameID=0021601085&amp;Season=2016-17&amp;flag=1&amp;title=Leonard%2029'%203PT%20Jump%20Bank%20Shot%20(12%20PTS)%20(Anderson%202%20AST)", "Leonard 29' 3PT Jump Bank Shot (12 PTS) (Anderson 2 AST)")</f>
        <v>Leonard 29' 3PT Jump Bank Shot (12 PTS) (Anderson 2 AST)</v>
      </c>
      <c r="K1718" s="2" t="str">
        <f>HYPERLINK("https://www.nba.com/game/...-vs-...-0021601085/play-by-play?watchFullGame=true", "SAS vs NYK - Q2 07:38.00")</f>
        <v>SAS vs NYK - Q2 07:38.00</v>
      </c>
      <c r="L1718">
        <v>29</v>
      </c>
      <c r="M1718">
        <v>-2</v>
      </c>
      <c r="N1718">
        <v>287</v>
      </c>
      <c r="O1718">
        <v>-2</v>
      </c>
      <c r="P1718">
        <v>287</v>
      </c>
    </row>
    <row r="1719" spans="1:16" x14ac:dyDescent="0.25">
      <c r="A1719">
        <v>21601085</v>
      </c>
      <c r="B1719">
        <v>2016</v>
      </c>
      <c r="C1719" t="s">
        <v>32</v>
      </c>
      <c r="D1719" t="s">
        <v>56</v>
      </c>
      <c r="E1719">
        <v>26</v>
      </c>
      <c r="F1719">
        <v>18</v>
      </c>
      <c r="G1719">
        <v>1</v>
      </c>
      <c r="H1719" s="1">
        <v>2.3032407407407407E-3</v>
      </c>
      <c r="I1719" t="s">
        <v>18</v>
      </c>
      <c r="J1719" s="2" t="str">
        <f>HYPERLINK("https://www.nba.com/stats/events?CFID=&amp;CFPARAMS=&amp;GameEventID=77&amp;GameID=0021601085&amp;Season=2016-17&amp;flag=1&amp;title=Leonard%201'%20Running%20Layup%20(8%20PTS)%20(Mills%202%20AST)", "Leonard 1' Running Layup (8 PTS) (Mills 2 AST)")</f>
        <v>Leonard 1' Running Layup (8 PTS) (Mills 2 AST)</v>
      </c>
      <c r="K1719" s="2" t="str">
        <f>HYPERLINK("https://www.nba.com/game/...-vs-...-0021601085/play-by-play?watchFullGame=true", "SAS vs NYK - Q1 03:19.00")</f>
        <v>SAS vs NYK - Q1 03:19.00</v>
      </c>
      <c r="L1719">
        <v>1</v>
      </c>
      <c r="M1719">
        <v>-1</v>
      </c>
      <c r="N1719">
        <v>-5</v>
      </c>
      <c r="O1719">
        <v>-1</v>
      </c>
      <c r="P1719">
        <v>-5</v>
      </c>
    </row>
    <row r="1720" spans="1:16" x14ac:dyDescent="0.25">
      <c r="A1720">
        <v>22200687</v>
      </c>
      <c r="B1720">
        <v>2022</v>
      </c>
      <c r="C1720" t="s">
        <v>32</v>
      </c>
      <c r="D1720" t="s">
        <v>48</v>
      </c>
      <c r="E1720">
        <v>54</v>
      </c>
      <c r="F1720">
        <v>51</v>
      </c>
      <c r="G1720">
        <v>2</v>
      </c>
      <c r="H1720" s="1">
        <v>4.2592592592592595E-3</v>
      </c>
      <c r="I1720" t="s">
        <v>23</v>
      </c>
      <c r="J1720" s="2" t="str">
        <f>HYPERLINK("https://www.nba.com/stats/events?CFID=&amp;CFPARAMS=&amp;GameEventID=203&amp;GameID=0022200687&amp;Season=2022-23&amp;flag=1&amp;title=Leonard%20driving%20DUNK%20(11%20PTS)", "Driving DUNK (11 PTS)")</f>
        <v>Driving DUNK (11 PTS)</v>
      </c>
      <c r="K1720" s="2" t="str">
        <f>HYPERLINK("https://www.nba.com/game/...-vs-...-0022200687/play-by-play?watchFullGame=true", "LAC vs SAS - Q2 06:08.00")</f>
        <v>LAC vs SAS - Q2 06:08.00</v>
      </c>
      <c r="L1720">
        <v>0.18</v>
      </c>
      <c r="M1720">
        <v>94.56</v>
      </c>
      <c r="N1720">
        <v>49.75</v>
      </c>
      <c r="O1720">
        <v>-1</v>
      </c>
      <c r="P1720">
        <v>-1</v>
      </c>
    </row>
    <row r="1721" spans="1:16" x14ac:dyDescent="0.25">
      <c r="A1721">
        <v>21500061</v>
      </c>
      <c r="B1721">
        <v>2015</v>
      </c>
      <c r="C1721" t="s">
        <v>32</v>
      </c>
      <c r="D1721" t="s">
        <v>75</v>
      </c>
      <c r="E1721">
        <v>32</v>
      </c>
      <c r="F1721">
        <v>37</v>
      </c>
      <c r="G1721">
        <v>2</v>
      </c>
      <c r="H1721" s="1">
        <v>4.4907407407407405E-3</v>
      </c>
      <c r="I1721" t="s">
        <v>18</v>
      </c>
      <c r="J1721" s="2" t="str">
        <f>HYPERLINK("https://www.nba.com/stats/events?CFID=&amp;CFPARAMS=&amp;GameEventID=161&amp;GameID=0021500061&amp;Season=2015-16&amp;flag=1&amp;title=Leonard%20%20Cutting%20Layup%20Shot%20(9%20PTS)%20(Duncan%204%20AST)", "Leonard  Cutting Layup Shot (9 PTS) (Duncan 4 AST)")</f>
        <v>Leonard  Cutting Layup Shot (9 PTS) (Duncan 4 AST)</v>
      </c>
      <c r="K1721" s="2" t="str">
        <f>HYPERLINK("https://www.nba.com/game/...-vs-...-0021500061/play-by-play?watchFullGame=true", "SAS vs WAS - Q2 06:28.00")</f>
        <v>SAS vs WAS - Q2 06:28.00</v>
      </c>
      <c r="L1721">
        <v>0</v>
      </c>
      <c r="M1721">
        <v>-1</v>
      </c>
      <c r="N1721">
        <v>-1</v>
      </c>
      <c r="O1721">
        <v>-1</v>
      </c>
      <c r="P1721">
        <v>-1</v>
      </c>
    </row>
    <row r="1722" spans="1:16" x14ac:dyDescent="0.25">
      <c r="A1722">
        <v>21501063</v>
      </c>
      <c r="B1722">
        <v>2015</v>
      </c>
      <c r="C1722" t="s">
        <v>32</v>
      </c>
      <c r="D1722" t="s">
        <v>75</v>
      </c>
      <c r="E1722">
        <v>70</v>
      </c>
      <c r="F1722">
        <v>55</v>
      </c>
      <c r="G1722">
        <v>3</v>
      </c>
      <c r="H1722" s="1">
        <v>4.178240740740741E-3</v>
      </c>
      <c r="I1722" t="s">
        <v>18</v>
      </c>
      <c r="J1722" s="2" t="str">
        <f>HYPERLINK("https://www.nba.com/stats/events?CFID=&amp;CFPARAMS=&amp;GameEventID=296&amp;GameID=0021501063&amp;Season=2015-16&amp;flag=1&amp;title=Leonard%20Cutting%20Layup%20Shot%20(31%20PTS)%20(Duncan%204%20AST)", "Leonard Cutting Layup Shot (31 PTS) (Duncan 4 AST)")</f>
        <v>Leonard Cutting Layup Shot (31 PTS) (Duncan 4 AST)</v>
      </c>
      <c r="K1722" s="2" t="str">
        <f>HYPERLINK("https://www.nba.com/game/...-vs-...-0021501063/play-by-play?watchFullGame=true", "SAS vs MIA - Q3 06:01.00")</f>
        <v>SAS vs MIA - Q3 06:01.00</v>
      </c>
      <c r="L1722">
        <v>0</v>
      </c>
      <c r="M1722">
        <v>-1</v>
      </c>
      <c r="N1722">
        <v>0</v>
      </c>
      <c r="O1722">
        <v>-1</v>
      </c>
      <c r="P1722">
        <v>0</v>
      </c>
    </row>
    <row r="1723" spans="1:16" x14ac:dyDescent="0.25">
      <c r="A1723">
        <v>41500154</v>
      </c>
      <c r="B1723" t="s">
        <v>25</v>
      </c>
      <c r="C1723" t="s">
        <v>32</v>
      </c>
      <c r="D1723" t="s">
        <v>75</v>
      </c>
      <c r="E1723">
        <v>36</v>
      </c>
      <c r="F1723">
        <v>39</v>
      </c>
      <c r="G1723">
        <v>2</v>
      </c>
      <c r="H1723" s="1">
        <v>2.0254629629629629E-3</v>
      </c>
      <c r="I1723" t="s">
        <v>18</v>
      </c>
      <c r="J1723" s="2" t="str">
        <f>HYPERLINK("https://www.nba.com/stats/events?CFID=&amp;CFPARAMS=&amp;GameEventID=214&amp;GameID=0041500154&amp;Season=2015-16&amp;flag=1&amp;title=Leonard%20%20Cutting%20Layup%20Shot%20(9%20PTS)%20(Ginobili%201%20AST)", "Leonard  Cutting Layup Shot (9 PTS) (Ginobili 1 AST)")</f>
        <v>Leonard  Cutting Layup Shot (9 PTS) (Ginobili 1 AST)</v>
      </c>
      <c r="K1723" s="2" t="str">
        <f>HYPERLINK("https://www.nba.com/game/...-vs-...-0041500154/play-by-play?watchFullGame=true", "SAS vs MEM - Q2 02:55.00")</f>
        <v>SAS vs MEM - Q2 02:55.00</v>
      </c>
      <c r="L1723">
        <v>0</v>
      </c>
      <c r="M1723">
        <v>-1</v>
      </c>
      <c r="N1723">
        <v>2</v>
      </c>
      <c r="O1723">
        <v>-1</v>
      </c>
      <c r="P1723">
        <v>2</v>
      </c>
    </row>
    <row r="1724" spans="1:16" x14ac:dyDescent="0.25">
      <c r="A1724">
        <v>21500207</v>
      </c>
      <c r="B1724">
        <v>2015</v>
      </c>
      <c r="C1724" t="s">
        <v>32</v>
      </c>
      <c r="D1724" t="s">
        <v>57</v>
      </c>
      <c r="E1724">
        <v>2</v>
      </c>
      <c r="F1724">
        <v>4</v>
      </c>
      <c r="G1724">
        <v>1</v>
      </c>
      <c r="H1724" s="1">
        <v>6.9791666666666665E-3</v>
      </c>
      <c r="I1724" t="s">
        <v>18</v>
      </c>
      <c r="J1724" s="2" t="str">
        <f>HYPERLINK("https://www.nba.com/stats/events?CFID=&amp;CFPARAMS=&amp;GameEventID=19&amp;GameID=0021500207&amp;Season=2015-16&amp;flag=1&amp;title=Leonard%20%20Layup%20(2%20PTS)", "Leonard  Layup (2 PTS)")</f>
        <v>Leonard  Layup (2 PTS)</v>
      </c>
      <c r="K1724" s="2" t="str">
        <f>HYPERLINK("https://www.nba.com/game/...-vs-...-0021500207/play-by-play?watchFullGame=true", "SAS vs PHX - Q1 10:03.00")</f>
        <v>SAS vs PHX - Q1 10:03.00</v>
      </c>
      <c r="L1724">
        <v>0</v>
      </c>
      <c r="M1724">
        <v>-1</v>
      </c>
      <c r="N1724">
        <v>2</v>
      </c>
      <c r="O1724">
        <v>-1</v>
      </c>
      <c r="P1724">
        <v>2</v>
      </c>
    </row>
    <row r="1725" spans="1:16" x14ac:dyDescent="0.25">
      <c r="A1725">
        <v>22000289</v>
      </c>
      <c r="B1725">
        <v>2020</v>
      </c>
      <c r="C1725" t="s">
        <v>32</v>
      </c>
      <c r="D1725" t="s">
        <v>48</v>
      </c>
      <c r="E1725">
        <v>48</v>
      </c>
      <c r="F1725">
        <v>59</v>
      </c>
      <c r="G1725">
        <v>2</v>
      </c>
      <c r="H1725" s="1">
        <v>6.5162037037037033E-4</v>
      </c>
      <c r="I1725" t="s">
        <v>23</v>
      </c>
      <c r="J1725" s="2" t="str">
        <f>HYPERLINK("https://www.nba.com/stats/events?CFID=&amp;CFPARAMS=&amp;GameEventID=302&amp;GameID=0022000289&amp;Season=2020-21&amp;flag=1&amp;title=Leonard%20driving%20DUNK%20(15%20PTS)", "Driving DUNK (15 PTS)")</f>
        <v>Driving DUNK (15 PTS)</v>
      </c>
      <c r="K1725" s="2" t="str">
        <f>HYPERLINK("https://www.nba.com/game/...-vs-...-0022000289/play-by-play?watchFullGame=true", "LAC vs ORL - Q2 00:56.30")</f>
        <v>LAC vs ORL - Q2 00:56.30</v>
      </c>
      <c r="L1725">
        <v>0.49</v>
      </c>
      <c r="M1725">
        <v>93.91</v>
      </c>
      <c r="N1725">
        <v>49.82</v>
      </c>
      <c r="O1725">
        <v>-1</v>
      </c>
      <c r="P1725">
        <v>5</v>
      </c>
    </row>
    <row r="1726" spans="1:16" x14ac:dyDescent="0.25">
      <c r="A1726">
        <v>22200991</v>
      </c>
      <c r="B1726">
        <v>2022</v>
      </c>
      <c r="C1726" t="s">
        <v>32</v>
      </c>
      <c r="D1726" t="s">
        <v>48</v>
      </c>
      <c r="E1726">
        <v>2</v>
      </c>
      <c r="F1726">
        <v>2</v>
      </c>
      <c r="G1726">
        <v>1</v>
      </c>
      <c r="H1726" s="1">
        <v>7.8125E-3</v>
      </c>
      <c r="I1726" t="s">
        <v>23</v>
      </c>
      <c r="J1726" s="2" t="str">
        <f>HYPERLINK("https://www.nba.com/stats/events?CFID=&amp;CFPARAMS=&amp;GameEventID=8&amp;GameID=0022200991&amp;Season=2022-23&amp;flag=1&amp;title=Leonard%20driving%20DUNK%20(2%20PTS)%20(I.%20Zubac%201%20AST)", "Driving DUNK (2 PTS) (I. Zubac 1 AST)")</f>
        <v>Driving DUNK (2 PTS) (I. Zubac 1 AST)</v>
      </c>
      <c r="K1726" s="2" t="str">
        <f>HYPERLINK("https://www.nba.com/game/...-vs-...-0022200991/play-by-play?watchFullGame=true", "LAC vs TOR - Q1 11:15.00")</f>
        <v>LAC vs TOR - Q1 11:15.00</v>
      </c>
      <c r="L1726">
        <v>0.52</v>
      </c>
      <c r="M1726">
        <v>93.87</v>
      </c>
      <c r="N1726">
        <v>49.75</v>
      </c>
      <c r="O1726">
        <v>-1</v>
      </c>
      <c r="P1726">
        <v>5</v>
      </c>
    </row>
    <row r="1727" spans="1:16" x14ac:dyDescent="0.25">
      <c r="A1727">
        <v>41600235</v>
      </c>
      <c r="B1727" t="s">
        <v>30</v>
      </c>
      <c r="C1727" t="s">
        <v>32</v>
      </c>
      <c r="D1727" t="s">
        <v>71</v>
      </c>
      <c r="E1727">
        <v>79</v>
      </c>
      <c r="F1727">
        <v>82</v>
      </c>
      <c r="G1727">
        <v>3</v>
      </c>
      <c r="H1727" s="1">
        <v>1.3773148148148147E-3</v>
      </c>
      <c r="I1727" t="s">
        <v>18</v>
      </c>
      <c r="J1727" s="2" t="str">
        <f>HYPERLINK("https://www.nba.com/stats/events?CFID=&amp;CFPARAMS=&amp;GameEventID=374&amp;GameID=0041600235&amp;Season=2016-17&amp;flag=1&amp;title=Leonard%201'%20Tip%20Layup%20Shot%20(20%20PTS)", "Leonard 1' Tip Layup Shot (20 PTS)")</f>
        <v>Leonard 1' Tip Layup Shot (20 PTS)</v>
      </c>
      <c r="K1727" s="2" t="str">
        <f>HYPERLINK("https://www.nba.com/game/...-vs-...-0041600235/play-by-play?watchFullGame=true", "SAS vs HOU - Q3 01:59.00")</f>
        <v>SAS vs HOU - Q3 01:59.00</v>
      </c>
      <c r="L1727">
        <v>1</v>
      </c>
      <c r="M1727">
        <v>-1</v>
      </c>
      <c r="N1727">
        <v>7</v>
      </c>
      <c r="O1727">
        <v>-1</v>
      </c>
      <c r="P1727">
        <v>7</v>
      </c>
    </row>
    <row r="1728" spans="1:16" x14ac:dyDescent="0.25">
      <c r="A1728">
        <v>21900276</v>
      </c>
      <c r="B1728">
        <v>2019</v>
      </c>
      <c r="C1728" t="s">
        <v>32</v>
      </c>
      <c r="D1728" t="s">
        <v>50</v>
      </c>
      <c r="E1728">
        <v>95</v>
      </c>
      <c r="F1728">
        <v>83</v>
      </c>
      <c r="G1728">
        <v>4</v>
      </c>
      <c r="H1728" s="1">
        <v>4.4907407407407405E-3</v>
      </c>
      <c r="I1728" t="s">
        <v>23</v>
      </c>
      <c r="J1728" s="2" t="str">
        <f>HYPERLINK("https://www.nba.com/stats/events?CFID=&amp;CFPARAMS=&amp;GameEventID=575&amp;GameID=0021900276&amp;Season=2019-20&amp;flag=1&amp;title=Leonard%20layup%20(19%20PTS)", "Layup (19 PTS)")</f>
        <v>Layup (19 PTS)</v>
      </c>
      <c r="K1728" s="2" t="str">
        <f>HYPERLINK("https://www.nba.com/game/...-vs-...-0021900276/play-by-play?watchFullGame=true", "LAC vs SAS - Q4 06:28.00")</f>
        <v>LAC vs SAS - Q4 06:28.00</v>
      </c>
      <c r="L1728">
        <v>1.28</v>
      </c>
      <c r="M1728">
        <v>93.64</v>
      </c>
      <c r="N1728">
        <v>49.82</v>
      </c>
      <c r="O1728">
        <v>-1</v>
      </c>
      <c r="P1728">
        <v>7</v>
      </c>
    </row>
    <row r="1729" spans="1:16" x14ac:dyDescent="0.25">
      <c r="A1729">
        <v>21500275</v>
      </c>
      <c r="B1729">
        <v>2015</v>
      </c>
      <c r="C1729" t="s">
        <v>32</v>
      </c>
      <c r="D1729" t="s">
        <v>49</v>
      </c>
      <c r="E1729">
        <v>41</v>
      </c>
      <c r="F1729">
        <v>30</v>
      </c>
      <c r="G1729">
        <v>2</v>
      </c>
      <c r="H1729" s="1">
        <v>3.1018518518518517E-3</v>
      </c>
      <c r="I1729" t="s">
        <v>18</v>
      </c>
      <c r="J1729" s="2" t="str">
        <f>HYPERLINK("https://www.nba.com/stats/events?CFID=&amp;CFPARAMS=&amp;GameEventID=235&amp;GameID=0021500275&amp;Season=2015-16&amp;flag=1&amp;title=Leonard%201'%20Driving%20Layup%20(9%20PTS)", "Leonard 1' Driving Layup (9 PTS)")</f>
        <v>Leonard 1' Driving Layup (9 PTS)</v>
      </c>
      <c r="K1729" s="2" t="str">
        <f>HYPERLINK("https://www.nba.com/game/...-vs-...-0021500275/play-by-play?watchFullGame=true", "SAS vs MIL - Q2 04:28.00")</f>
        <v>SAS vs MIL - Q2 04:28.00</v>
      </c>
      <c r="L1729">
        <v>1</v>
      </c>
      <c r="M1729">
        <v>-1</v>
      </c>
      <c r="N1729">
        <v>7</v>
      </c>
      <c r="O1729">
        <v>-1</v>
      </c>
      <c r="P1729">
        <v>7</v>
      </c>
    </row>
    <row r="1730" spans="1:16" x14ac:dyDescent="0.25">
      <c r="A1730">
        <v>21600353</v>
      </c>
      <c r="B1730">
        <v>2016</v>
      </c>
      <c r="C1730" t="s">
        <v>32</v>
      </c>
      <c r="D1730" t="s">
        <v>55</v>
      </c>
      <c r="E1730">
        <v>60</v>
      </c>
      <c r="F1730">
        <v>45</v>
      </c>
      <c r="G1730">
        <v>2</v>
      </c>
      <c r="H1730" s="1">
        <v>2.3148148148148147E-3</v>
      </c>
      <c r="I1730" t="s">
        <v>18</v>
      </c>
      <c r="J1730" s="2" t="str">
        <f>HYPERLINK("https://www.nba.com/stats/events?CFID=&amp;CFPARAMS=&amp;GameEventID=195&amp;GameID=0021600353&amp;Season=2016-17&amp;flag=1&amp;title=Leonard%201'%20Driving%20Reverse%20Layup%20(16%20PTS)", "Leonard 1' Driving Reverse Layup (16 PTS)")</f>
        <v>Leonard 1' Driving Reverse Layup (16 PTS)</v>
      </c>
      <c r="K1730" s="2" t="str">
        <f>HYPERLINK("https://www.nba.com/game/...-vs-...-0021600353/play-by-play?watchFullGame=true", "SAS vs BKN - Q2 03:20.00")</f>
        <v>SAS vs BKN - Q2 03:20.00</v>
      </c>
      <c r="L1730">
        <v>1</v>
      </c>
      <c r="M1730">
        <v>-1</v>
      </c>
      <c r="N1730">
        <v>8</v>
      </c>
      <c r="O1730">
        <v>-1</v>
      </c>
      <c r="P1730">
        <v>8</v>
      </c>
    </row>
    <row r="1731" spans="1:16" x14ac:dyDescent="0.25">
      <c r="A1731">
        <v>21900051</v>
      </c>
      <c r="B1731">
        <v>2019</v>
      </c>
      <c r="C1731" t="s">
        <v>32</v>
      </c>
      <c r="D1731" t="s">
        <v>50</v>
      </c>
      <c r="E1731">
        <v>91</v>
      </c>
      <c r="F1731">
        <v>79</v>
      </c>
      <c r="G1731">
        <v>4</v>
      </c>
      <c r="H1731" s="1">
        <v>6.7592592592592591E-3</v>
      </c>
      <c r="I1731" t="s">
        <v>23</v>
      </c>
      <c r="J1731" s="2" t="str">
        <f>HYPERLINK("https://www.nba.com/stats/events?CFID=&amp;CFPARAMS=&amp;GameEventID=534&amp;GameID=0021900051&amp;Season=2019-20&amp;flag=1&amp;title=[LAC]%20Leonard%20layup:%20Made%20(22%20PTS)", "[LAC] Leonard layup: Made (22 PTS)")</f>
        <v>[LAC] Leonard layup: Made (22 PTS)</v>
      </c>
      <c r="K1731" s="2" t="str">
        <f>HYPERLINK("https://www.nba.com/game/...-vs-...-0021900051/play-by-play?watchFullGame=true", "LAC vs CHA - Q4 09:44.00")</f>
        <v>LAC vs CHA - Q4 09:44.00</v>
      </c>
      <c r="L1731">
        <v>1.4</v>
      </c>
      <c r="M1731">
        <v>6.49</v>
      </c>
      <c r="N1731">
        <v>50.18</v>
      </c>
      <c r="O1731">
        <v>-1</v>
      </c>
      <c r="P1731">
        <v>8</v>
      </c>
    </row>
    <row r="1732" spans="1:16" x14ac:dyDescent="0.25">
      <c r="A1732">
        <v>22200476</v>
      </c>
      <c r="B1732">
        <v>2022</v>
      </c>
      <c r="C1732" t="s">
        <v>32</v>
      </c>
      <c r="D1732" t="s">
        <v>48</v>
      </c>
      <c r="E1732">
        <v>54</v>
      </c>
      <c r="F1732">
        <v>27</v>
      </c>
      <c r="G1732">
        <v>2</v>
      </c>
      <c r="H1732" s="1">
        <v>5.4629629629629629E-3</v>
      </c>
      <c r="I1732" t="s">
        <v>23</v>
      </c>
      <c r="J1732" s="2" t="str">
        <f>HYPERLINK("https://www.nba.com/stats/events?CFID=&amp;CFPARAMS=&amp;GameEventID=254&amp;GameID=0022200476&amp;Season=2022-23&amp;flag=1&amp;title=Leonard%20running%20DUNK%20(6%20PTS)%20(R.%20Jackson%202%20AST)", "Running DUNK (6 PTS) (R. Jackson 2 AST)")</f>
        <v>Running DUNK (6 PTS) (R. Jackson 2 AST)</v>
      </c>
      <c r="K1732" s="2" t="str">
        <f>HYPERLINK("https://www.nba.com/game/...-vs-...-0022200476/play-by-play?watchFullGame=true", "LAC vs CHA - Q2 07:52.00")</f>
        <v>LAC vs CHA - Q2 07:52.00</v>
      </c>
      <c r="L1732">
        <v>0.77</v>
      </c>
      <c r="M1732">
        <v>93.61</v>
      </c>
      <c r="N1732">
        <v>49.75</v>
      </c>
      <c r="O1732">
        <v>-1</v>
      </c>
      <c r="P1732">
        <v>8</v>
      </c>
    </row>
    <row r="1733" spans="1:16" x14ac:dyDescent="0.25">
      <c r="A1733">
        <v>41800111</v>
      </c>
      <c r="B1733" t="s">
        <v>20</v>
      </c>
      <c r="C1733" t="s">
        <v>32</v>
      </c>
      <c r="D1733" t="s">
        <v>67</v>
      </c>
      <c r="E1733">
        <v>15</v>
      </c>
      <c r="F1733">
        <v>10</v>
      </c>
      <c r="G1733">
        <v>1</v>
      </c>
      <c r="H1733" s="1">
        <v>3.9236111111111112E-3</v>
      </c>
      <c r="I1733" t="s">
        <v>21</v>
      </c>
      <c r="J1733" s="2" t="str">
        <f>HYPERLINK("https://www.nba.com/stats/events?CFID=&amp;CFPARAMS=&amp;GameEventID=77&amp;GameID=0041800111&amp;Season=2018-19&amp;flag=1&amp;title=Leonard%201'%20Driving%20Dunk%20(9%20PTS)%20(Gasol%201%20AST)", "Leonard 1' Driving Dunk (9 PTS) (Gasol 1 AST)")</f>
        <v>Leonard 1' Driving Dunk (9 PTS) (Gasol 1 AST)</v>
      </c>
      <c r="K1733" s="2" t="str">
        <f>HYPERLINK("https://www.nba.com/game/...-vs-...-0041800111/play-by-play?watchFullGame=true", "TOR vs ORL - Q1 05:39.00")</f>
        <v>TOR vs ORL - Q1 05:39.00</v>
      </c>
      <c r="L1733">
        <v>1</v>
      </c>
      <c r="M1733">
        <v>-1</v>
      </c>
      <c r="N1733">
        <v>10</v>
      </c>
      <c r="O1733">
        <v>-1</v>
      </c>
      <c r="P1733">
        <v>10</v>
      </c>
    </row>
    <row r="1734" spans="1:16" x14ac:dyDescent="0.25">
      <c r="A1734">
        <v>22300600</v>
      </c>
      <c r="B1734">
        <v>2023</v>
      </c>
      <c r="C1734" t="s">
        <v>32</v>
      </c>
      <c r="D1734" t="s">
        <v>48</v>
      </c>
      <c r="E1734">
        <v>47</v>
      </c>
      <c r="F1734">
        <v>57</v>
      </c>
      <c r="G1734">
        <v>2</v>
      </c>
      <c r="H1734" s="1">
        <v>9.837962962962962E-4</v>
      </c>
      <c r="I1734" t="s">
        <v>23</v>
      </c>
      <c r="J1734" s="2" t="str">
        <f>HYPERLINK("https://www.nba.com/stats/events?CFID=&amp;CFPARAMS=&amp;GameEventID=291&amp;GameID=0022300600&amp;Season=2023-24&amp;flag=1&amp;title=Leonard%20driving%20DUNK%20(5%20PTS)", "Driving DUNK (5 PTS)")</f>
        <v>Driving DUNK (5 PTS)</v>
      </c>
      <c r="K1734" s="2" t="str">
        <f>HYPERLINK("https://www.nba.com/game/...-vs-...-0022300600/play-by-play?watchFullGame=true", "LAC vs BKN - Q2 01:25.00")</f>
        <v>LAC vs BKN - Q2 01:25.00</v>
      </c>
      <c r="L1734">
        <v>0.98</v>
      </c>
      <c r="M1734">
        <v>6.62</v>
      </c>
      <c r="N1734">
        <v>50.25</v>
      </c>
      <c r="O1734">
        <v>-1</v>
      </c>
      <c r="P1734">
        <v>10</v>
      </c>
    </row>
    <row r="1735" spans="1:16" x14ac:dyDescent="0.25">
      <c r="A1735">
        <v>22300716</v>
      </c>
      <c r="B1735">
        <v>2023</v>
      </c>
      <c r="C1735" t="s">
        <v>32</v>
      </c>
      <c r="D1735" t="s">
        <v>47</v>
      </c>
      <c r="E1735">
        <v>51</v>
      </c>
      <c r="F1735">
        <v>57</v>
      </c>
      <c r="G1735">
        <v>2</v>
      </c>
      <c r="H1735" s="1">
        <v>2.9398148148148148E-3</v>
      </c>
      <c r="I1735" t="s">
        <v>23</v>
      </c>
      <c r="J1735" s="2" t="str">
        <f>HYPERLINK("https://www.nba.com/stats/events?CFID=&amp;CFPARAMS=&amp;GameEventID=245&amp;GameID=0022300716&amp;Season=2023-24&amp;flag=1&amp;title=Leonard%20running%20Layup%20(10%20PTS)%20(P.%20George%201%20AST)", "Running Layup (10 PTS) (P. George 1 AST)")</f>
        <v>Running Layup (10 PTS) (P. George 1 AST)</v>
      </c>
      <c r="K1735" s="2" t="str">
        <f>HYPERLINK("https://www.nba.com/game/...-vs-...-0022300716/play-by-play?watchFullGame=true", "LAC vs ATL - Q2 04:14.00")</f>
        <v>LAC vs ATL - Q2 04:14.00</v>
      </c>
      <c r="L1735">
        <v>1.1100000000000001</v>
      </c>
      <c r="M1735">
        <v>93.25</v>
      </c>
      <c r="N1735">
        <v>49.75</v>
      </c>
      <c r="O1735">
        <v>-1</v>
      </c>
      <c r="P1735">
        <v>11</v>
      </c>
    </row>
    <row r="1736" spans="1:16" x14ac:dyDescent="0.25">
      <c r="A1736">
        <v>21500860</v>
      </c>
      <c r="B1736">
        <v>2015</v>
      </c>
      <c r="C1736" t="s">
        <v>32</v>
      </c>
      <c r="D1736" t="s">
        <v>63</v>
      </c>
      <c r="E1736">
        <v>49</v>
      </c>
      <c r="F1736">
        <v>54</v>
      </c>
      <c r="G1736">
        <v>3</v>
      </c>
      <c r="H1736" s="1">
        <v>3.9930555555555552E-3</v>
      </c>
      <c r="I1736" t="s">
        <v>18</v>
      </c>
      <c r="J1736" s="2" t="str">
        <f>HYPERLINK("https://www.nba.com/stats/events?CFID=&amp;CFPARAMS=&amp;GameEventID=264&amp;GameID=0021500860&amp;Season=2015-16&amp;flag=1&amp;title=Leonard%201'%20Running%20Dunk%20(19%20PTS)", "Leonard 1' Running Dunk (19 PTS)")</f>
        <v>Leonard 1' Running Dunk (19 PTS)</v>
      </c>
      <c r="K1736" s="2" t="str">
        <f>HYPERLINK("https://www.nba.com/game/...-vs-...-0021500860/play-by-play?watchFullGame=true", "SAS vs UTA - Q3 05:45.00")</f>
        <v>SAS vs UTA - Q3 05:45.00</v>
      </c>
      <c r="L1736">
        <v>1</v>
      </c>
      <c r="M1736">
        <v>-1</v>
      </c>
      <c r="N1736">
        <v>11</v>
      </c>
      <c r="O1736">
        <v>-1</v>
      </c>
      <c r="P1736">
        <v>11</v>
      </c>
    </row>
    <row r="1737" spans="1:16" x14ac:dyDescent="0.25">
      <c r="A1737">
        <v>41600232</v>
      </c>
      <c r="B1737" t="s">
        <v>30</v>
      </c>
      <c r="C1737" t="s">
        <v>32</v>
      </c>
      <c r="D1737" t="s">
        <v>55</v>
      </c>
      <c r="E1737">
        <v>103</v>
      </c>
      <c r="F1737">
        <v>88</v>
      </c>
      <c r="G1737">
        <v>4</v>
      </c>
      <c r="H1737" s="1">
        <v>4.5486111111111109E-3</v>
      </c>
      <c r="I1737" t="s">
        <v>18</v>
      </c>
      <c r="J1737" s="2" t="str">
        <f>HYPERLINK("https://www.nba.com/stats/events?CFID=&amp;CFPARAMS=&amp;GameEventID=394&amp;GameID=0041600232&amp;Season=2016-17&amp;flag=1&amp;title=Leonard%201'%20Driving%20Reverse%20Layup%20(28%20PTS)", "Leonard 1' Driving Reverse Layup (28 PTS)")</f>
        <v>Leonard 1' Driving Reverse Layup (28 PTS)</v>
      </c>
      <c r="K1737" s="2" t="str">
        <f>HYPERLINK("https://www.nba.com/game/...-vs-...-0041600232/play-by-play?watchFullGame=true", "SAS vs HOU - Q4 06:33.00")</f>
        <v>SAS vs HOU - Q4 06:33.00</v>
      </c>
      <c r="L1737">
        <v>1</v>
      </c>
      <c r="M1737">
        <v>-1</v>
      </c>
      <c r="N1737">
        <v>13</v>
      </c>
      <c r="O1737">
        <v>-1</v>
      </c>
      <c r="P1737">
        <v>13</v>
      </c>
    </row>
    <row r="1738" spans="1:16" x14ac:dyDescent="0.25">
      <c r="A1738">
        <v>41800114</v>
      </c>
      <c r="B1738" t="s">
        <v>20</v>
      </c>
      <c r="C1738" t="s">
        <v>32</v>
      </c>
      <c r="D1738" t="s">
        <v>67</v>
      </c>
      <c r="E1738">
        <v>13</v>
      </c>
      <c r="F1738">
        <v>14</v>
      </c>
      <c r="G1738">
        <v>1</v>
      </c>
      <c r="H1738" s="1">
        <v>4.6064814814814814E-3</v>
      </c>
      <c r="I1738" t="s">
        <v>21</v>
      </c>
      <c r="J1738" s="2" t="str">
        <f>HYPERLINK("https://www.nba.com/stats/events?CFID=&amp;CFPARAMS=&amp;GameEventID=62&amp;GameID=0041800114&amp;Season=2018-19&amp;flag=1&amp;title=Leonard%201'%20Driving%20Dunk%20(4%20PTS)", "Leonard 1' Driving Dunk (4 PTS)")</f>
        <v>Leonard 1' Driving Dunk (4 PTS)</v>
      </c>
      <c r="K1738" s="2" t="str">
        <f>HYPERLINK("https://www.nba.com/game/...-vs-...-0041800114/play-by-play?watchFullGame=true", "TOR vs ORL - Q1 06:38.00")</f>
        <v>TOR vs ORL - Q1 06:38.00</v>
      </c>
      <c r="L1738">
        <v>1</v>
      </c>
      <c r="M1738">
        <v>-1</v>
      </c>
      <c r="N1738">
        <v>13</v>
      </c>
      <c r="O1738">
        <v>-1</v>
      </c>
      <c r="P1738">
        <v>13</v>
      </c>
    </row>
    <row r="1739" spans="1:16" x14ac:dyDescent="0.25">
      <c r="A1739">
        <v>21501215</v>
      </c>
      <c r="B1739">
        <v>2015</v>
      </c>
      <c r="C1739" t="s">
        <v>32</v>
      </c>
      <c r="D1739" t="s">
        <v>75</v>
      </c>
      <c r="E1739">
        <v>19</v>
      </c>
      <c r="F1739">
        <v>18</v>
      </c>
      <c r="G1739">
        <v>1</v>
      </c>
      <c r="H1739" s="1">
        <v>3.0902777777777777E-3</v>
      </c>
      <c r="I1739" t="s">
        <v>18</v>
      </c>
      <c r="J1739" s="2" t="str">
        <f>HYPERLINK("https://www.nba.com/stats/events?CFID=&amp;CFPARAMS=&amp;GameEventID=75&amp;GameID=0021501215&amp;Season=2015-16&amp;flag=1&amp;title=Leonard%201'%20Cutting%20Layup%20Shot%20(4%20PTS)%20(Mills%201%20AST)", "Leonard 1' Cutting Layup Shot (4 PTS) (Mills 1 AST)")</f>
        <v>Leonard 1' Cutting Layup Shot (4 PTS) (Mills 1 AST)</v>
      </c>
      <c r="K1739" s="2" t="str">
        <f>HYPERLINK("https://www.nba.com/game/...-vs-...-0021501215/play-by-play?watchFullGame=true", "SAS vs OKC - Q1 04:27.00")</f>
        <v>SAS vs OKC - Q1 04:27.00</v>
      </c>
      <c r="L1739">
        <v>1</v>
      </c>
      <c r="M1739">
        <v>-1</v>
      </c>
      <c r="N1739">
        <v>13</v>
      </c>
      <c r="O1739">
        <v>-1</v>
      </c>
      <c r="P1739">
        <v>13</v>
      </c>
    </row>
    <row r="1740" spans="1:16" x14ac:dyDescent="0.25">
      <c r="A1740">
        <v>21500257</v>
      </c>
      <c r="B1740">
        <v>2015</v>
      </c>
      <c r="C1740" t="s">
        <v>32</v>
      </c>
      <c r="D1740" t="s">
        <v>61</v>
      </c>
      <c r="E1740">
        <v>13</v>
      </c>
      <c r="F1740">
        <v>14</v>
      </c>
      <c r="G1740">
        <v>1</v>
      </c>
      <c r="H1740" s="1">
        <v>4.1435185185185186E-3</v>
      </c>
      <c r="I1740" t="s">
        <v>18</v>
      </c>
      <c r="J1740" s="2" t="str">
        <f>HYPERLINK("https://www.nba.com/stats/events?CFID=&amp;CFPARAMS=&amp;GameEventID=43&amp;GameID=0021500257&amp;Season=2015-16&amp;flag=1&amp;title=Leonard%201'%20Driving%20Finger%20Roll%20Layup%20(4%20PTS)%20(Parker%203%20AST)", "Leonard 1' Driving Finger Roll Layup (4 PTS) (Parker 3 AST)")</f>
        <v>Leonard 1' Driving Finger Roll Layup (4 PTS) (Parker 3 AST)</v>
      </c>
      <c r="K1740" s="2" t="str">
        <f>HYPERLINK("https://www.nba.com/game/...-vs-...-0021500257/play-by-play?watchFullGame=true", "SAS vs CHI - Q1 05:58.00")</f>
        <v>SAS vs CHI - Q1 05:58.00</v>
      </c>
      <c r="L1740">
        <v>1</v>
      </c>
      <c r="M1740">
        <v>-1</v>
      </c>
      <c r="N1740">
        <v>14</v>
      </c>
      <c r="O1740">
        <v>-1</v>
      </c>
      <c r="P1740">
        <v>14</v>
      </c>
    </row>
    <row r="1741" spans="1:16" x14ac:dyDescent="0.25">
      <c r="A1741">
        <v>41800113</v>
      </c>
      <c r="B1741" t="s">
        <v>20</v>
      </c>
      <c r="C1741" t="s">
        <v>32</v>
      </c>
      <c r="D1741" t="s">
        <v>67</v>
      </c>
      <c r="E1741">
        <v>9</v>
      </c>
      <c r="F1741">
        <v>20</v>
      </c>
      <c r="G1741">
        <v>1</v>
      </c>
      <c r="H1741" s="1">
        <v>2.638888888888889E-3</v>
      </c>
      <c r="I1741" t="s">
        <v>21</v>
      </c>
      <c r="J1741" s="2" t="str">
        <f>HYPERLINK("https://www.nba.com/stats/events?CFID=&amp;CFPARAMS=&amp;GameEventID=119&amp;GameID=0041800113&amp;Season=2018-19&amp;flag=1&amp;title=Leonard%202'%20Driving%20Dunk%20(2%20PTS)%20(Siakam%201%20AST)", "Leonard 2' Driving Dunk (2 PTS) (Siakam 1 AST)")</f>
        <v>Leonard 2' Driving Dunk (2 PTS) (Siakam 1 AST)</v>
      </c>
      <c r="K1741" s="2" t="str">
        <f>HYPERLINK("https://www.nba.com/game/...-vs-...-0041800113/play-by-play?watchFullGame=true", "TOR vs ORL - Q1 03:48.00")</f>
        <v>TOR vs ORL - Q1 03:48.00</v>
      </c>
      <c r="L1741">
        <v>2</v>
      </c>
      <c r="M1741">
        <v>-1</v>
      </c>
      <c r="N1741">
        <v>15</v>
      </c>
      <c r="O1741">
        <v>-1</v>
      </c>
      <c r="P1741">
        <v>15</v>
      </c>
    </row>
    <row r="1742" spans="1:16" x14ac:dyDescent="0.25">
      <c r="A1742">
        <v>22300458</v>
      </c>
      <c r="B1742">
        <v>2023</v>
      </c>
      <c r="C1742" t="s">
        <v>32</v>
      </c>
      <c r="D1742" t="s">
        <v>48</v>
      </c>
      <c r="E1742">
        <v>97</v>
      </c>
      <c r="F1742">
        <v>85</v>
      </c>
      <c r="G1742">
        <v>4</v>
      </c>
      <c r="H1742" s="1">
        <v>7.951388888888888E-3</v>
      </c>
      <c r="I1742" t="s">
        <v>23</v>
      </c>
      <c r="J1742" s="2" t="str">
        <f>HYPERLINK("https://www.nba.com/stats/events?CFID=&amp;CFPARAMS=&amp;GameEventID=473&amp;GameID=0022300458&amp;Season=2023-24&amp;flag=1&amp;title=Leonard%20DUNK%20(19%20PTS)%20(R.%20Westbrook%202%20AST)", "DUNK (19 PTS) (R. Westbrook 2 AST)")</f>
        <v>DUNK (19 PTS) (R. Westbrook 2 AST)</v>
      </c>
      <c r="K1742" s="2" t="str">
        <f>HYPERLINK("https://www.nba.com/game/...-vs-...-0022300458/play-by-play?watchFullGame=true", "LAC vs MIA - Q4 11:27.00")</f>
        <v>LAC vs MIA - Q4 11:27.00</v>
      </c>
      <c r="L1742">
        <v>1.47</v>
      </c>
      <c r="M1742">
        <v>7.15</v>
      </c>
      <c r="N1742">
        <v>50.25</v>
      </c>
      <c r="O1742">
        <v>-1</v>
      </c>
      <c r="P1742">
        <v>15</v>
      </c>
    </row>
    <row r="1743" spans="1:16" x14ac:dyDescent="0.25">
      <c r="A1743">
        <v>21600441</v>
      </c>
      <c r="B1743">
        <v>2016</v>
      </c>
      <c r="C1743" t="s">
        <v>32</v>
      </c>
      <c r="D1743" t="s">
        <v>67</v>
      </c>
      <c r="E1743">
        <v>69</v>
      </c>
      <c r="F1743">
        <v>62</v>
      </c>
      <c r="G1743">
        <v>3</v>
      </c>
      <c r="H1743" s="1">
        <v>3.9583333333333337E-3</v>
      </c>
      <c r="I1743" t="s">
        <v>18</v>
      </c>
      <c r="J1743" s="2" t="str">
        <f>HYPERLINK("https://www.nba.com/stats/events?CFID=&amp;CFPARAMS=&amp;GameEventID=375&amp;GameID=0021600441&amp;Season=2016-17&amp;flag=1&amp;title=Leonard%202'%20Driving%20Dunk%20(21%20PTS)%20(Gasol%201%20AST)", "Leonard 2' Driving Dunk (21 PTS) (Gasol 1 AST)")</f>
        <v>Leonard 2' Driving Dunk (21 PTS) (Gasol 1 AST)</v>
      </c>
      <c r="K1743" s="2" t="str">
        <f>HYPERLINK("https://www.nba.com/game/...-vs-...-0021600441/play-by-play?watchFullGame=true", "SAS vs LAC - Q3 05:42.00")</f>
        <v>SAS vs LAC - Q3 05:42.00</v>
      </c>
      <c r="L1743">
        <v>2</v>
      </c>
      <c r="M1743">
        <v>-1</v>
      </c>
      <c r="N1743">
        <v>16</v>
      </c>
      <c r="O1743">
        <v>-1</v>
      </c>
      <c r="P1743">
        <v>16</v>
      </c>
    </row>
    <row r="1744" spans="1:16" x14ac:dyDescent="0.25">
      <c r="A1744">
        <v>41500235</v>
      </c>
      <c r="B1744" t="s">
        <v>25</v>
      </c>
      <c r="C1744" t="s">
        <v>32</v>
      </c>
      <c r="D1744" t="s">
        <v>56</v>
      </c>
      <c r="E1744">
        <v>26</v>
      </c>
      <c r="F1744">
        <v>29</v>
      </c>
      <c r="G1744">
        <v>2</v>
      </c>
      <c r="H1744" s="1">
        <v>5.185185185185185E-3</v>
      </c>
      <c r="I1744" t="s">
        <v>18</v>
      </c>
      <c r="J1744" s="2" t="str">
        <f>HYPERLINK("https://www.nba.com/stats/events?CFID=&amp;CFPARAMS=&amp;GameEventID=172&amp;GameID=0041500235&amp;Season=2015-16&amp;flag=1&amp;title=Leonard%202'%20Running%20Layup%20(10%20PTS)%20(Green%201%20AST)", "Leonard 2' Running Layup (10 PTS) (Green 1 AST)")</f>
        <v>Leonard 2' Running Layup (10 PTS) (Green 1 AST)</v>
      </c>
      <c r="K1744" s="2" t="str">
        <f>HYPERLINK("https://www.nba.com/game/...-vs-...-0041500235/play-by-play?watchFullGame=true", "SAS vs OKC - Q2 07:28.00")</f>
        <v>SAS vs OKC - Q2 07:28.00</v>
      </c>
      <c r="L1744">
        <v>2</v>
      </c>
      <c r="M1744">
        <v>-1</v>
      </c>
      <c r="N1744">
        <v>16</v>
      </c>
      <c r="O1744">
        <v>-1</v>
      </c>
      <c r="P1744">
        <v>16</v>
      </c>
    </row>
    <row r="1745" spans="1:16" x14ac:dyDescent="0.25">
      <c r="A1745">
        <v>21601209</v>
      </c>
      <c r="B1745">
        <v>2016</v>
      </c>
      <c r="C1745" t="s">
        <v>32</v>
      </c>
      <c r="D1745" t="s">
        <v>61</v>
      </c>
      <c r="E1745">
        <v>43</v>
      </c>
      <c r="F1745">
        <v>40</v>
      </c>
      <c r="G1745">
        <v>2</v>
      </c>
      <c r="H1745" s="1">
        <v>2.3726851851851851E-3</v>
      </c>
      <c r="I1745" t="s">
        <v>18</v>
      </c>
      <c r="J1745" s="2" t="str">
        <f>HYPERLINK("https://www.nba.com/stats/events?CFID=&amp;CFPARAMS=&amp;GameEventID=213&amp;GameID=0021601209&amp;Season=2016-17&amp;flag=1&amp;title=Leonard%202'%20Driving%20Finger%20Roll%20Layup%20(9%20PTS)", "Leonard 2' Driving Finger Roll Layup (9 PTS)")</f>
        <v>Leonard 2' Driving Finger Roll Layup (9 PTS)</v>
      </c>
      <c r="K1745" s="2" t="str">
        <f>HYPERLINK("https://www.nba.com/game/...-vs-...-0021601209/play-by-play?watchFullGame=true", "SAS vs POR - Q2 03:25.00")</f>
        <v>SAS vs POR - Q2 03:25.00</v>
      </c>
      <c r="L1745">
        <v>2</v>
      </c>
      <c r="M1745">
        <v>-1</v>
      </c>
      <c r="N1745">
        <v>18</v>
      </c>
      <c r="O1745">
        <v>-1</v>
      </c>
      <c r="P1745">
        <v>18</v>
      </c>
    </row>
    <row r="1746" spans="1:16" x14ac:dyDescent="0.25">
      <c r="A1746">
        <v>22200766</v>
      </c>
      <c r="B1746">
        <v>2022</v>
      </c>
      <c r="C1746" t="s">
        <v>32</v>
      </c>
      <c r="D1746" t="s">
        <v>48</v>
      </c>
      <c r="E1746">
        <v>58</v>
      </c>
      <c r="F1746">
        <v>56</v>
      </c>
      <c r="G1746">
        <v>3</v>
      </c>
      <c r="H1746" s="1">
        <v>7.9282407407407409E-3</v>
      </c>
      <c r="I1746" t="s">
        <v>23</v>
      </c>
      <c r="J1746" s="2" t="str">
        <f>HYPERLINK("https://www.nba.com/stats/events?CFID=&amp;CFPARAMS=&amp;GameEventID=323&amp;GameID=0022200766&amp;Season=2022-23&amp;flag=1&amp;title=Leonard%20driving%20DUNK%20(13%20PTS)%20(P.%20George%204%20AST)", "Driving DUNK (13 PTS) (P. George 4 AST)")</f>
        <v>Driving DUNK (13 PTS) (P. George 4 AST)</v>
      </c>
      <c r="K1746" s="2" t="str">
        <f>HYPERLINK("https://www.nba.com/game/...-vs-...-0022200766/play-by-play?watchFullGame=true", "LAC vs CHI - Q3 11:25.00")</f>
        <v>LAC vs CHI - Q3 11:25.00</v>
      </c>
      <c r="L1746">
        <v>1.84</v>
      </c>
      <c r="M1746">
        <v>92.46</v>
      </c>
      <c r="N1746">
        <v>49.75</v>
      </c>
      <c r="O1746">
        <v>-1</v>
      </c>
      <c r="P1746">
        <v>18</v>
      </c>
    </row>
    <row r="1747" spans="1:16" x14ac:dyDescent="0.25">
      <c r="A1747">
        <v>21500342</v>
      </c>
      <c r="B1747">
        <v>2015</v>
      </c>
      <c r="C1747" t="s">
        <v>32</v>
      </c>
      <c r="D1747" t="s">
        <v>57</v>
      </c>
      <c r="E1747">
        <v>50</v>
      </c>
      <c r="F1747">
        <v>44</v>
      </c>
      <c r="G1747">
        <v>2</v>
      </c>
      <c r="H1747" s="1">
        <v>7.9861111111111116E-4</v>
      </c>
      <c r="I1747" t="s">
        <v>18</v>
      </c>
      <c r="J1747" s="2" t="str">
        <f>HYPERLINK("https://www.nba.com/stats/events?CFID=&amp;CFPARAMS=&amp;GameEventID=209&amp;GameID=0021500342&amp;Season=2015-16&amp;flag=1&amp;title=Leonard%202'%20Layup%20(9%20PTS)%20(West%201%20AST)", "Leonard 2' Layup (9 PTS) (West 1 AST)")</f>
        <v>Leonard 2' Layup (9 PTS) (West 1 AST)</v>
      </c>
      <c r="K1747" s="2" t="str">
        <f>HYPERLINK("https://www.nba.com/game/...-vs-...-0021500342/play-by-play?watchFullGame=true", "SAS vs LAL - Q2 01:09.00")</f>
        <v>SAS vs LAL - Q2 01:09.00</v>
      </c>
      <c r="L1747">
        <v>2</v>
      </c>
      <c r="M1747">
        <v>-1</v>
      </c>
      <c r="N1747">
        <v>18</v>
      </c>
      <c r="O1747">
        <v>-1</v>
      </c>
      <c r="P1747">
        <v>18</v>
      </c>
    </row>
    <row r="1748" spans="1:16" x14ac:dyDescent="0.25">
      <c r="A1748">
        <v>22400874</v>
      </c>
      <c r="B1748">
        <v>2024</v>
      </c>
      <c r="C1748" t="s">
        <v>32</v>
      </c>
      <c r="D1748" t="s">
        <v>47</v>
      </c>
      <c r="E1748">
        <v>56</v>
      </c>
      <c r="F1748">
        <v>45</v>
      </c>
      <c r="G1748">
        <v>3</v>
      </c>
      <c r="H1748" s="1">
        <v>7.9166666666666673E-3</v>
      </c>
      <c r="I1748" t="s">
        <v>23</v>
      </c>
      <c r="J1748" s="2" t="str">
        <f>HYPERLINK("https://www.nba.com/stats/events?CFID=&amp;CFPARAMS=&amp;GameEventID=314&amp;GameID=0022400874&amp;Season=2024-25&amp;flag=1&amp;title=Leonard%20putback%20Layup%20(17%20PTS)", "Putback Layup (17 PTS)")</f>
        <v>Putback Layup (17 PTS)</v>
      </c>
      <c r="K1748" s="2" t="str">
        <f>HYPERLINK("https://www.nba.com/game/...-vs-...-0022400874/play-by-play?watchFullGame=true", "LAC vs LAL - Q3 11:24.00")</f>
        <v>LAC vs LAL - Q3 11:24.00</v>
      </c>
      <c r="L1748">
        <v>1.84</v>
      </c>
      <c r="M1748">
        <v>7.54</v>
      </c>
      <c r="N1748">
        <v>50.25</v>
      </c>
      <c r="O1748">
        <v>-1</v>
      </c>
      <c r="P1748">
        <v>18</v>
      </c>
    </row>
    <row r="1749" spans="1:16" x14ac:dyDescent="0.25">
      <c r="A1749">
        <v>22400927</v>
      </c>
      <c r="B1749">
        <v>2024</v>
      </c>
      <c r="C1749" t="s">
        <v>32</v>
      </c>
      <c r="D1749" t="s">
        <v>47</v>
      </c>
      <c r="E1749">
        <v>39</v>
      </c>
      <c r="F1749">
        <v>42</v>
      </c>
      <c r="G1749">
        <v>2</v>
      </c>
      <c r="H1749" s="1">
        <v>3.1018518518518517E-3</v>
      </c>
      <c r="I1749" t="s">
        <v>23</v>
      </c>
      <c r="J1749" s="2" t="str">
        <f>HYPERLINK("https://www.nba.com/stats/events?CFID=&amp;CFPARAMS=&amp;GameEventID=232&amp;GameID=0022400927&amp;Season=2024-25&amp;flag=1&amp;title=Leonard%20running%20Layup%20(9%20PTS)%20(J.%20Harden%203%20AST)", "Running Layup (9 PTS) (J. Harden 3 AST)")</f>
        <v>Running Layup (9 PTS) (J. Harden 3 AST)</v>
      </c>
      <c r="K1749" s="2" t="str">
        <f>HYPERLINK("https://www.nba.com/game/...-vs-...-0022400927/play-by-play?watchFullGame=true", "LAC vs SAC - Q2 04:28.00")</f>
        <v>LAC vs SAC - Q2 04:28.00</v>
      </c>
      <c r="L1749">
        <v>1.96</v>
      </c>
      <c r="M1749">
        <v>92.33</v>
      </c>
      <c r="N1749">
        <v>49.75</v>
      </c>
      <c r="O1749">
        <v>-1</v>
      </c>
      <c r="P1749">
        <v>20</v>
      </c>
    </row>
    <row r="1750" spans="1:16" x14ac:dyDescent="0.25">
      <c r="A1750">
        <v>22300865</v>
      </c>
      <c r="B1750">
        <v>2023</v>
      </c>
      <c r="C1750" t="s">
        <v>32</v>
      </c>
      <c r="D1750" t="s">
        <v>48</v>
      </c>
      <c r="E1750">
        <v>100</v>
      </c>
      <c r="F1750">
        <v>75</v>
      </c>
      <c r="G1750">
        <v>3</v>
      </c>
      <c r="H1750" s="1">
        <v>2.488425925925926E-3</v>
      </c>
      <c r="I1750" t="s">
        <v>23</v>
      </c>
      <c r="J1750" s="2" t="str">
        <f>HYPERLINK("https://www.nba.com/stats/events?CFID=&amp;CFPARAMS=&amp;GameEventID=427&amp;GameID=0022300865&amp;Season=2023-24&amp;flag=1&amp;title=Leonard%20driving%20DUNK%20(21%20PTS)%20(B.%20Hyland%201%20AST)", "Driving DUNK (21 PTS) (B. Hyland 1 AST)")</f>
        <v>Driving DUNK (21 PTS) (B. Hyland 1 AST)</v>
      </c>
      <c r="K1750" s="2" t="str">
        <f>HYPERLINK("https://www.nba.com/game/...-vs-...-0022300865/play-by-play?watchFullGame=true", "LAC vs WAS - Q3 03:35.00")</f>
        <v>LAC vs WAS - Q3 03:35.00</v>
      </c>
      <c r="L1750">
        <v>1.96</v>
      </c>
      <c r="M1750">
        <v>7.67</v>
      </c>
      <c r="N1750">
        <v>50.25</v>
      </c>
      <c r="O1750">
        <v>-1</v>
      </c>
      <c r="P1750">
        <v>20</v>
      </c>
    </row>
    <row r="1751" spans="1:16" x14ac:dyDescent="0.25">
      <c r="A1751">
        <v>22201004</v>
      </c>
      <c r="B1751">
        <v>2022</v>
      </c>
      <c r="C1751" t="s">
        <v>32</v>
      </c>
      <c r="D1751" t="s">
        <v>48</v>
      </c>
      <c r="E1751">
        <v>12</v>
      </c>
      <c r="F1751">
        <v>4</v>
      </c>
      <c r="G1751">
        <v>1</v>
      </c>
      <c r="H1751" s="1">
        <v>5.0462962962962961E-3</v>
      </c>
      <c r="I1751" t="s">
        <v>23</v>
      </c>
      <c r="J1751" s="2" t="str">
        <f>HYPERLINK("https://www.nba.com/stats/events?CFID=&amp;CFPARAMS=&amp;GameEventID=50&amp;GameID=0022201004&amp;Season=2022-23&amp;flag=1&amp;title=Leonard%20running%20DUNK%20(4%20PTS)", "Running DUNK (4 PTS)")</f>
        <v>Running DUNK (4 PTS)</v>
      </c>
      <c r="K1751" s="2" t="str">
        <f>HYPERLINK("https://www.nba.com/game/...-vs-...-0022201004/play-by-play?watchFullGame=true", "LAC vs NYK - Q1 07:16.00")</f>
        <v>LAC vs NYK - Q1 07:16.00</v>
      </c>
      <c r="L1751">
        <v>1.99</v>
      </c>
      <c r="M1751">
        <v>92.3</v>
      </c>
      <c r="N1751">
        <v>49.75</v>
      </c>
      <c r="O1751">
        <v>-1</v>
      </c>
      <c r="P1751">
        <v>20</v>
      </c>
    </row>
    <row r="1752" spans="1:16" x14ac:dyDescent="0.25">
      <c r="A1752">
        <v>22200719</v>
      </c>
      <c r="B1752">
        <v>2022</v>
      </c>
      <c r="C1752" t="s">
        <v>32</v>
      </c>
      <c r="D1752" t="s">
        <v>48</v>
      </c>
      <c r="E1752">
        <v>103</v>
      </c>
      <c r="F1752">
        <v>121</v>
      </c>
      <c r="G1752">
        <v>4</v>
      </c>
      <c r="H1752" s="1">
        <v>3.5532407407407409E-3</v>
      </c>
      <c r="I1752" t="s">
        <v>23</v>
      </c>
      <c r="J1752" s="2" t="str">
        <f>HYPERLINK("https://www.nba.com/stats/events?CFID=&amp;CFPARAMS=&amp;GameEventID=573&amp;GameID=0022200719&amp;Season=2022-23&amp;flag=1&amp;title=Leonard%20running%20DUNK%20(23%20PTS)%20(N.%20Powell%204%20AST)", "Running DUNK (23 PTS) (N. Powell 4 AST)")</f>
        <v>Running DUNK (23 PTS) (N. Powell 4 AST)</v>
      </c>
      <c r="K1752" s="2" t="str">
        <f>HYPERLINK("https://www.nba.com/game/...-vs-...-0022200719/play-by-play?watchFullGame=true", "LAC vs LAL - Q4 05:07.00")</f>
        <v>LAC vs LAL - Q4 05:07.00</v>
      </c>
      <c r="L1752">
        <v>2.21</v>
      </c>
      <c r="M1752">
        <v>7.93</v>
      </c>
      <c r="N1752">
        <v>50.25</v>
      </c>
      <c r="O1752">
        <v>-1</v>
      </c>
      <c r="P1752">
        <v>22</v>
      </c>
    </row>
    <row r="1753" spans="1:16" x14ac:dyDescent="0.25">
      <c r="A1753">
        <v>22400596</v>
      </c>
      <c r="B1753">
        <v>2024</v>
      </c>
      <c r="C1753" t="s">
        <v>32</v>
      </c>
      <c r="D1753" t="s">
        <v>47</v>
      </c>
      <c r="E1753">
        <v>54</v>
      </c>
      <c r="F1753">
        <v>44</v>
      </c>
      <c r="G1753">
        <v>2</v>
      </c>
      <c r="H1753" s="1">
        <v>3.3564814814814816E-3</v>
      </c>
      <c r="I1753" t="s">
        <v>23</v>
      </c>
      <c r="J1753" s="2" t="str">
        <f>HYPERLINK("https://www.nba.com/stats/events?CFID=&amp;CFPARAMS=&amp;GameEventID=224&amp;GameID=0022400596&amp;Season=2024-25&amp;flag=1&amp;title=Leonard%20cutting%20Layup%20(9%20PTS)%20(J.%20Harden%202%20AST)", "Cutting Layup (9 PTS) (J. Harden 2 AST)")</f>
        <v>Cutting Layup (9 PTS) (J. Harden 2 AST)</v>
      </c>
      <c r="K1753" s="2" t="str">
        <f>HYPERLINK("https://www.nba.com/game/...-vs-...-0022400596/play-by-play?watchFullGame=true", "LAC vs LAL - Q2 04:50.00")</f>
        <v>LAC vs LAL - Q2 04:50.00</v>
      </c>
      <c r="L1753">
        <v>2.4500000000000002</v>
      </c>
      <c r="M1753">
        <v>91.8</v>
      </c>
      <c r="N1753">
        <v>49.75</v>
      </c>
      <c r="O1753">
        <v>-1</v>
      </c>
      <c r="P1753">
        <v>25</v>
      </c>
    </row>
    <row r="1754" spans="1:16" x14ac:dyDescent="0.25">
      <c r="A1754">
        <v>22200043</v>
      </c>
      <c r="B1754">
        <v>2022</v>
      </c>
      <c r="C1754" t="s">
        <v>32</v>
      </c>
      <c r="D1754" t="s">
        <v>47</v>
      </c>
      <c r="E1754">
        <v>26</v>
      </c>
      <c r="F1754">
        <v>43</v>
      </c>
      <c r="G1754">
        <v>2</v>
      </c>
      <c r="H1754" s="1">
        <v>4.5601851851851853E-3</v>
      </c>
      <c r="I1754" t="s">
        <v>23</v>
      </c>
      <c r="J1754" s="2" t="str">
        <f>HYPERLINK("https://www.nba.com/stats/events?CFID=&amp;CFPARAMS=&amp;GameEventID=226&amp;GameID=0022200043&amp;Season=2022-23&amp;flag=1&amp;title=Leonard%20running%20Layup%20(2%20PTS)", "Running Layup (2 PTS)")</f>
        <v>Running Layup (2 PTS)</v>
      </c>
      <c r="K1754" s="2" t="str">
        <f>HYPERLINK("https://www.nba.com/game/...-vs-...-0022200043/play-by-play?watchFullGame=true", "LAC vs PHX - Q2 06:34.00")</f>
        <v>LAC vs PHX - Q2 06:34.00</v>
      </c>
      <c r="L1754">
        <v>2.4500000000000002</v>
      </c>
      <c r="M1754">
        <v>8.1999999999999993</v>
      </c>
      <c r="N1754">
        <v>50.25</v>
      </c>
      <c r="O1754">
        <v>-1</v>
      </c>
      <c r="P1754">
        <v>25</v>
      </c>
    </row>
    <row r="1755" spans="1:16" x14ac:dyDescent="0.25">
      <c r="A1755">
        <v>21501177</v>
      </c>
      <c r="B1755">
        <v>2015</v>
      </c>
      <c r="C1755" t="s">
        <v>32</v>
      </c>
      <c r="D1755" t="s">
        <v>40</v>
      </c>
      <c r="E1755">
        <v>31</v>
      </c>
      <c r="F1755">
        <v>21</v>
      </c>
      <c r="G1755">
        <v>2</v>
      </c>
      <c r="H1755" s="1">
        <v>5.8564814814814816E-3</v>
      </c>
      <c r="I1755" t="s">
        <v>18</v>
      </c>
      <c r="J1755" s="2" t="str">
        <f>HYPERLINK("https://www.nba.com/stats/events?CFID=&amp;CFPARAMS=&amp;GameEventID=154&amp;GameID=0021501177&amp;Season=2015-16&amp;flag=1&amp;title=Leonard%203'%20Hook%20Shot%20(5%20PTS)%20(West%203%20AST)", "Leonard 3' Hook Shot (5 PTS) (West 3 AST)")</f>
        <v>Leonard 3' Hook Shot (5 PTS) (West 3 AST)</v>
      </c>
      <c r="K1755" s="2" t="str">
        <f>HYPERLINK("https://www.nba.com/game/...-vs-...-0021501177/play-by-play?watchFullGame=true", "SAS vs GSW - Q2 08:26.00")</f>
        <v>SAS vs GSW - Q2 08:26.00</v>
      </c>
      <c r="L1755">
        <v>3</v>
      </c>
      <c r="M1755">
        <v>-1</v>
      </c>
      <c r="N1755">
        <v>26</v>
      </c>
      <c r="O1755">
        <v>-1</v>
      </c>
      <c r="P1755">
        <v>26</v>
      </c>
    </row>
    <row r="1756" spans="1:16" x14ac:dyDescent="0.25">
      <c r="A1756">
        <v>22200970</v>
      </c>
      <c r="B1756">
        <v>2022</v>
      </c>
      <c r="C1756" t="s">
        <v>32</v>
      </c>
      <c r="D1756" t="s">
        <v>48</v>
      </c>
      <c r="E1756">
        <v>122</v>
      </c>
      <c r="F1756">
        <v>121</v>
      </c>
      <c r="G1756">
        <v>4</v>
      </c>
      <c r="H1756" s="1">
        <v>2.6967592592592594E-3</v>
      </c>
      <c r="I1756" t="s">
        <v>23</v>
      </c>
      <c r="J1756" s="2" t="str">
        <f>HYPERLINK("https://www.nba.com/stats/events?CFID=&amp;CFPARAMS=&amp;GameEventID=598&amp;GameID=0022200970&amp;Season=2022-23&amp;flag=1&amp;title=Leonard%20running%20DUNK%20(26%20PTS)", "Running DUNK (26 PTS)")</f>
        <v>Running DUNK (26 PTS)</v>
      </c>
      <c r="K1756" s="2" t="str">
        <f>HYPERLINK("https://www.nba.com/game/...-vs-...-0022200970/play-by-play?watchFullGame=true", "LAC vs MEM - Q4 03:53.00")</f>
        <v>LAC vs MEM - Q4 03:53.00</v>
      </c>
      <c r="L1756">
        <v>3.1</v>
      </c>
      <c r="M1756">
        <v>91.11</v>
      </c>
      <c r="N1756">
        <v>49.75</v>
      </c>
      <c r="O1756">
        <v>-1</v>
      </c>
      <c r="P1756">
        <v>31</v>
      </c>
    </row>
    <row r="1757" spans="1:16" x14ac:dyDescent="0.25">
      <c r="A1757">
        <v>22000660</v>
      </c>
      <c r="B1757">
        <v>2020</v>
      </c>
      <c r="C1757" t="s">
        <v>32</v>
      </c>
      <c r="D1757" t="s">
        <v>47</v>
      </c>
      <c r="E1757">
        <v>40</v>
      </c>
      <c r="F1757">
        <v>48</v>
      </c>
      <c r="G1757">
        <v>2</v>
      </c>
      <c r="H1757" s="1">
        <v>3.0902777777777777E-3</v>
      </c>
      <c r="I1757" t="s">
        <v>23</v>
      </c>
      <c r="J1757" s="2" t="str">
        <f>HYPERLINK("https://www.nba.com/stats/events?CFID=&amp;CFPARAMS=&amp;GameEventID=253&amp;GameID=0022000660&amp;Season=2020-21&amp;flag=1&amp;title=Leonard%20driving%20Layup%20(6%20PTS)", "Driving Layup (6 PTS)")</f>
        <v>Driving Layup (6 PTS)</v>
      </c>
      <c r="K1757" s="2" t="str">
        <f>HYPERLINK("https://www.nba.com/game/...-vs-...-0022000660/play-by-play?watchFullGame=true", "LAC vs ATL - Q2 04:27.00")</f>
        <v>LAC vs ATL - Q2 04:27.00</v>
      </c>
      <c r="L1757">
        <v>3.69</v>
      </c>
      <c r="M1757">
        <v>9.51</v>
      </c>
      <c r="N1757">
        <v>50.18</v>
      </c>
      <c r="O1757">
        <v>-1</v>
      </c>
      <c r="P1757">
        <v>37</v>
      </c>
    </row>
    <row r="1758" spans="1:16" x14ac:dyDescent="0.25">
      <c r="A1758">
        <v>22300304</v>
      </c>
      <c r="B1758">
        <v>2023</v>
      </c>
      <c r="C1758" t="s">
        <v>32</v>
      </c>
      <c r="D1758" t="s">
        <v>47</v>
      </c>
      <c r="E1758">
        <v>116</v>
      </c>
      <c r="F1758">
        <v>111</v>
      </c>
      <c r="G1758">
        <v>4</v>
      </c>
      <c r="H1758" s="1">
        <v>4.0277777777777777E-3</v>
      </c>
      <c r="I1758" t="s">
        <v>23</v>
      </c>
      <c r="J1758" s="2" t="str">
        <f>HYPERLINK("https://www.nba.com/stats/events?CFID=&amp;CFPARAMS=&amp;GameEventID=546&amp;GameID=0022300304&amp;Season=2023-24&amp;flag=1&amp;title=Leonard%20driving%20Layup%20(30%20PTS)%20(I.%20Zubac%202%20AST)", "Driving Layup (30 PTS) (I. Zubac 2 AST)")</f>
        <v>Driving Layup (30 PTS) (I. Zubac 2 AST)</v>
      </c>
      <c r="K1758" s="2" t="str">
        <f>HYPERLINK("https://www.nba.com/game/...-vs-...-0022300304/play-by-play?watchFullGame=true", "LAC vs POR - Q4 05:48.00")</f>
        <v>LAC vs POR - Q4 05:48.00</v>
      </c>
      <c r="L1758">
        <v>3.94</v>
      </c>
      <c r="M1758">
        <v>9.77</v>
      </c>
      <c r="N1758">
        <v>50.25</v>
      </c>
      <c r="O1758">
        <v>-1</v>
      </c>
      <c r="P1758">
        <v>39</v>
      </c>
    </row>
    <row r="1759" spans="1:16" x14ac:dyDescent="0.25">
      <c r="A1759">
        <v>21600032</v>
      </c>
      <c r="B1759">
        <v>2016</v>
      </c>
      <c r="C1759" t="s">
        <v>32</v>
      </c>
      <c r="D1759" t="s">
        <v>37</v>
      </c>
      <c r="E1759">
        <v>64</v>
      </c>
      <c r="F1759">
        <v>54</v>
      </c>
      <c r="G1759">
        <v>3</v>
      </c>
      <c r="H1759" s="1">
        <v>5.8796296296296296E-3</v>
      </c>
      <c r="I1759" t="s">
        <v>18</v>
      </c>
      <c r="J1759" s="2" t="str">
        <f>HYPERLINK("https://www.nba.com/stats/events?CFID=&amp;CFPARAMS=&amp;GameEventID=297&amp;GameID=0021600032&amp;Season=2016-17&amp;flag=1&amp;title=Leonard%205'%20Floating%20Jump%20Shot%20(11%20PTS)", "Leonard 5' Floating Jump Shot (11 PTS)")</f>
        <v>Leonard 5' Floating Jump Shot (11 PTS)</v>
      </c>
      <c r="K1759" s="2" t="str">
        <f>HYPERLINK("https://www.nba.com/game/...-vs-...-0021600032/play-by-play?watchFullGame=true", "SAS vs NOP - Q3 08:28.00")</f>
        <v>SAS vs NOP - Q3 08:28.00</v>
      </c>
      <c r="L1759">
        <v>5</v>
      </c>
      <c r="M1759">
        <v>-1</v>
      </c>
      <c r="N1759">
        <v>51</v>
      </c>
      <c r="O1759">
        <v>-1</v>
      </c>
      <c r="P1759">
        <v>51</v>
      </c>
    </row>
    <row r="1760" spans="1:16" x14ac:dyDescent="0.25">
      <c r="A1760">
        <v>22300099</v>
      </c>
      <c r="B1760">
        <v>2023</v>
      </c>
      <c r="C1760" t="s">
        <v>32</v>
      </c>
      <c r="D1760" t="s">
        <v>44</v>
      </c>
      <c r="E1760">
        <v>14</v>
      </c>
      <c r="F1760">
        <v>7</v>
      </c>
      <c r="G1760">
        <v>1</v>
      </c>
      <c r="H1760" s="1">
        <v>4.4675925925925924E-3</v>
      </c>
      <c r="I1760" t="s">
        <v>23</v>
      </c>
      <c r="J1760" s="2" t="str">
        <f>HYPERLINK("https://www.nba.com/stats/events?CFID=&amp;CFPARAMS=&amp;GameEventID=76&amp;GameID=0022300099&amp;Season=2023-24&amp;flag=1&amp;title=Leonard%20driving%20Hook%20(5%20PTS)", "Driving Hook (5 PTS)")</f>
        <v>Driving Hook (5 PTS)</v>
      </c>
      <c r="K1760" s="2" t="str">
        <f>HYPERLINK("https://www.nba.com/game/...-vs-...-0022300099/play-by-play?watchFullGame=true", "LAC vs SAS - Q1 06:26.00")</f>
        <v>LAC vs SAS - Q1 06:26.00</v>
      </c>
      <c r="L1760">
        <v>5.7</v>
      </c>
      <c r="M1760">
        <v>88.35</v>
      </c>
      <c r="N1760">
        <v>49.75</v>
      </c>
      <c r="O1760">
        <v>-1</v>
      </c>
      <c r="P1760">
        <v>57</v>
      </c>
    </row>
    <row r="1761" spans="1:16" x14ac:dyDescent="0.25">
      <c r="A1761">
        <v>21900292</v>
      </c>
      <c r="B1761">
        <v>2019</v>
      </c>
      <c r="C1761" t="s">
        <v>32</v>
      </c>
      <c r="D1761" t="s">
        <v>22</v>
      </c>
      <c r="E1761">
        <v>127</v>
      </c>
      <c r="F1761">
        <v>105</v>
      </c>
      <c r="G1761">
        <v>4</v>
      </c>
      <c r="H1761" s="1">
        <v>5.9027777777777776E-3</v>
      </c>
      <c r="I1761" t="s">
        <v>23</v>
      </c>
      <c r="J1761" s="2" t="str">
        <f>HYPERLINK("https://www.nba.com/stats/events?CFID=&amp;CFPARAMS=&amp;GameEventID=622&amp;GameID=0021900292&amp;Season=2019-20&amp;flag=1&amp;title=Leonard%206'%20jumpshot%20(27%20PTS)", "6' jumpshot (27 PTS)")</f>
        <v>6' jumpshot (27 PTS)</v>
      </c>
      <c r="K1761" s="2" t="str">
        <f>HYPERLINK("https://www.nba.com/game/...-vs-...-0021900292/play-by-play?watchFullGame=true", "LAC vs WAS - Q4 08:30.00")</f>
        <v>LAC vs WAS - Q4 08:30.00</v>
      </c>
      <c r="L1761">
        <v>6.34</v>
      </c>
      <c r="M1761">
        <v>11.74</v>
      </c>
      <c r="N1761">
        <v>50.18</v>
      </c>
      <c r="O1761">
        <v>-1</v>
      </c>
      <c r="P1761">
        <v>58</v>
      </c>
    </row>
    <row r="1762" spans="1:16" x14ac:dyDescent="0.25">
      <c r="A1762">
        <v>22200509</v>
      </c>
      <c r="B1762">
        <v>2022</v>
      </c>
      <c r="C1762" t="s">
        <v>32</v>
      </c>
      <c r="D1762" t="s">
        <v>44</v>
      </c>
      <c r="E1762">
        <v>10</v>
      </c>
      <c r="F1762">
        <v>15</v>
      </c>
      <c r="G1762">
        <v>1</v>
      </c>
      <c r="H1762" s="1">
        <v>4.4444444444444444E-3</v>
      </c>
      <c r="I1762" t="s">
        <v>23</v>
      </c>
      <c r="J1762" s="2" t="str">
        <f>HYPERLINK("https://www.nba.com/stats/events?CFID=&amp;CFPARAMS=&amp;GameEventID=66&amp;GameID=0022200509&amp;Season=2022-23&amp;flag=1&amp;title=Leonard%206'%20driving%20Hook%20(2%20PTS)%20(P.%20George%201%20AST)", "6' driving Hook (2 PTS) (P. George 1 AST)")</f>
        <v>6' driving Hook (2 PTS) (P. George 1 AST)</v>
      </c>
      <c r="K1762" s="2" t="str">
        <f>HYPERLINK("https://www.nba.com/game/...-vs-...-0022200509/play-by-play?watchFullGame=true", "LAC vs TOR - Q1 06:24.00")</f>
        <v>LAC vs TOR - Q1 06:24.00</v>
      </c>
      <c r="L1762">
        <v>6.78</v>
      </c>
      <c r="M1762">
        <v>87.2</v>
      </c>
      <c r="N1762">
        <v>49.75</v>
      </c>
      <c r="O1762">
        <v>-1</v>
      </c>
      <c r="P1762">
        <v>68</v>
      </c>
    </row>
    <row r="1763" spans="1:16" x14ac:dyDescent="0.25">
      <c r="A1763">
        <v>22000717</v>
      </c>
      <c r="B1763">
        <v>2020</v>
      </c>
      <c r="C1763" t="s">
        <v>32</v>
      </c>
      <c r="D1763" t="s">
        <v>19</v>
      </c>
      <c r="E1763">
        <v>68</v>
      </c>
      <c r="F1763">
        <v>59</v>
      </c>
      <c r="G1763">
        <v>3</v>
      </c>
      <c r="H1763" s="1">
        <v>5.9953703703703705E-3</v>
      </c>
      <c r="I1763" t="s">
        <v>23</v>
      </c>
      <c r="J1763" s="2" t="str">
        <f>HYPERLINK("https://www.nba.com/stats/events?CFID=&amp;CFPARAMS=&amp;GameEventID=338&amp;GameID=0022000717&amp;Season=2020-21&amp;flag=1&amp;title=Leonard%207'%20pullup%20Jump%20Shot%20(16%20PTS)", "7' pullup Jump Shot (16 PTS)")</f>
        <v>7' pullup Jump Shot (16 PTS)</v>
      </c>
      <c r="K1763" s="2" t="str">
        <f>HYPERLINK("https://www.nba.com/game/...-vs-...-0022000717/play-by-play?watchFullGame=true", "LAC vs MIL - Q3 08:38.00")</f>
        <v>LAC vs MIL - Q3 08:38.00</v>
      </c>
      <c r="L1763">
        <v>7.27</v>
      </c>
      <c r="M1763">
        <v>86.68</v>
      </c>
      <c r="N1763">
        <v>49.82</v>
      </c>
      <c r="O1763">
        <v>-1</v>
      </c>
      <c r="P1763">
        <v>73</v>
      </c>
    </row>
    <row r="1764" spans="1:16" x14ac:dyDescent="0.25">
      <c r="A1764">
        <v>22201069</v>
      </c>
      <c r="B1764">
        <v>2022</v>
      </c>
      <c r="C1764" t="s">
        <v>32</v>
      </c>
      <c r="D1764" t="s">
        <v>19</v>
      </c>
      <c r="E1764">
        <v>13</v>
      </c>
      <c r="F1764">
        <v>18</v>
      </c>
      <c r="G1764">
        <v>1</v>
      </c>
      <c r="H1764" s="1">
        <v>4.3518518518518515E-3</v>
      </c>
      <c r="I1764" t="s">
        <v>23</v>
      </c>
      <c r="J1764" s="2" t="str">
        <f>HYPERLINK("https://www.nba.com/stats/events?CFID=&amp;CFPARAMS=&amp;GameEventID=66&amp;GameID=0022201069&amp;Season=2022-23&amp;flag=1&amp;title=Leonard%207'%20floating%20Jump%20Shot%20(4%20PTS)", "7' floating Jump Shot (4 PTS)")</f>
        <v>7' floating Jump Shot (4 PTS)</v>
      </c>
      <c r="K1764" s="2" t="str">
        <f>HYPERLINK("https://www.nba.com/game/...-vs-...-0022201069/play-by-play?watchFullGame=true", "LAC vs POR - Q1 06:16.00")</f>
        <v>LAC vs POR - Q1 06:16.00</v>
      </c>
      <c r="L1764">
        <v>7.77</v>
      </c>
      <c r="M1764">
        <v>86.15</v>
      </c>
      <c r="N1764">
        <v>49.75</v>
      </c>
      <c r="O1764">
        <v>-1</v>
      </c>
      <c r="P1764">
        <v>78</v>
      </c>
    </row>
    <row r="1765" spans="1:16" x14ac:dyDescent="0.25">
      <c r="A1765">
        <v>21600003</v>
      </c>
      <c r="B1765">
        <v>2016</v>
      </c>
      <c r="C1765" t="s">
        <v>32</v>
      </c>
      <c r="D1765" t="s">
        <v>70</v>
      </c>
      <c r="E1765">
        <v>64</v>
      </c>
      <c r="F1765">
        <v>80</v>
      </c>
      <c r="G1765">
        <v>3</v>
      </c>
      <c r="H1765" s="1">
        <v>4.0972222222222226E-3</v>
      </c>
      <c r="I1765" t="s">
        <v>18</v>
      </c>
      <c r="J1765" s="2" t="str">
        <f>HYPERLINK("https://www.nba.com/stats/events?CFID=&amp;CFPARAMS=&amp;GameEventID=316&amp;GameID=0021600003&amp;Season=2016-17&amp;flag=1&amp;title=Leonard%2010'%20Driving%20Hook%20Shot%20(23%20PTS)%20(Simmons%202%20AST)", "Leonard 10' Driving Hook Shot (23 PTS) (Simmons 2 AST)")</f>
        <v>Leonard 10' Driving Hook Shot (23 PTS) (Simmons 2 AST)</v>
      </c>
      <c r="K1765" s="2" t="str">
        <f>HYPERLINK("https://www.nba.com/game/...-vs-...-0021600003/play-by-play?watchFullGame=true", "SAS vs GSW - Q3 05:54.00")</f>
        <v>SAS vs GSW - Q3 05:54.00</v>
      </c>
      <c r="L1765">
        <v>10</v>
      </c>
      <c r="M1765">
        <v>-1</v>
      </c>
      <c r="N1765">
        <v>100</v>
      </c>
      <c r="O1765">
        <v>-1</v>
      </c>
      <c r="P1765">
        <v>100</v>
      </c>
    </row>
    <row r="1766" spans="1:16" x14ac:dyDescent="0.25">
      <c r="A1766">
        <v>41600233</v>
      </c>
      <c r="B1766" t="s">
        <v>30</v>
      </c>
      <c r="C1766" t="s">
        <v>32</v>
      </c>
      <c r="D1766" t="s">
        <v>19</v>
      </c>
      <c r="E1766">
        <v>5</v>
      </c>
      <c r="F1766">
        <v>9</v>
      </c>
      <c r="G1766">
        <v>1</v>
      </c>
      <c r="H1766" s="1">
        <v>5.6712962962962967E-3</v>
      </c>
      <c r="I1766" t="s">
        <v>18</v>
      </c>
      <c r="J1766" s="2" t="str">
        <f>HYPERLINK("https://www.nba.com/stats/events?CFID=&amp;CFPARAMS=&amp;GameEventID=41&amp;GameID=0041600233&amp;Season=2016-17&amp;flag=1&amp;title=Leonard%2013'%20Jump%20Shot%20(2%20PTS)", "Leonard 13' Jump Shot (2 PTS)")</f>
        <v>Leonard 13' Jump Shot (2 PTS)</v>
      </c>
      <c r="K1766" s="2" t="str">
        <f>HYPERLINK("https://www.nba.com/game/...-vs-...-0041600233/play-by-play?watchFullGame=true", "SAS vs HOU - Q1 08:10.00")</f>
        <v>SAS vs HOU - Q1 08:10.00</v>
      </c>
      <c r="L1766">
        <v>13</v>
      </c>
      <c r="M1766">
        <v>-1</v>
      </c>
      <c r="N1766">
        <v>129</v>
      </c>
      <c r="O1766">
        <v>-1</v>
      </c>
      <c r="P1766">
        <v>129</v>
      </c>
    </row>
    <row r="1767" spans="1:16" x14ac:dyDescent="0.25">
      <c r="A1767">
        <v>22200902</v>
      </c>
      <c r="B1767">
        <v>2022</v>
      </c>
      <c r="C1767" t="s">
        <v>32</v>
      </c>
      <c r="D1767" t="s">
        <v>19</v>
      </c>
      <c r="E1767">
        <v>102</v>
      </c>
      <c r="F1767">
        <v>96</v>
      </c>
      <c r="G1767">
        <v>3</v>
      </c>
      <c r="H1767" s="1">
        <v>3.0439814814814813E-3</v>
      </c>
      <c r="I1767" t="s">
        <v>23</v>
      </c>
      <c r="J1767" s="2" t="str">
        <f>HYPERLINK("https://www.nba.com/stats/events?CFID=&amp;CFPARAMS=&amp;GameEventID=434&amp;GameID=0022200902&amp;Season=2022-23&amp;flag=1&amp;title=Leonard%2014'%20fadeaway%20Jump%20Shot%20(31%20PTS)", "14' fadeaway Jump Shot (31 PTS)")</f>
        <v>14' fadeaway Jump Shot (31 PTS)</v>
      </c>
      <c r="K1767" s="2" t="str">
        <f>HYPERLINK("https://www.nba.com/game/...-vs-...-0022200902/play-by-play?watchFullGame=true", "LAC vs SAC - Q3 04:23.00")</f>
        <v>LAC vs SAC - Q3 04:23.00</v>
      </c>
      <c r="L1767">
        <v>14.68</v>
      </c>
      <c r="M1767">
        <v>21.21</v>
      </c>
      <c r="N1767">
        <v>50.25</v>
      </c>
      <c r="O1767">
        <v>-1</v>
      </c>
      <c r="P1767">
        <v>147</v>
      </c>
    </row>
    <row r="1768" spans="1:16" x14ac:dyDescent="0.25">
      <c r="A1768">
        <v>21500182</v>
      </c>
      <c r="B1768">
        <v>2015</v>
      </c>
      <c r="C1768" t="s">
        <v>32</v>
      </c>
      <c r="D1768" t="s">
        <v>29</v>
      </c>
      <c r="E1768">
        <v>95</v>
      </c>
      <c r="F1768">
        <v>88</v>
      </c>
      <c r="G1768">
        <v>4</v>
      </c>
      <c r="H1768" s="1">
        <v>2.638888888888889E-3</v>
      </c>
      <c r="I1768" t="s">
        <v>18</v>
      </c>
      <c r="J1768" s="2" t="str">
        <f>HYPERLINK("https://www.nba.com/stats/events?CFID=&amp;CFPARAMS=&amp;GameEventID=526&amp;GameID=0021500182&amp;Season=2015-16&amp;flag=1&amp;title=Leonard%2015'%20Pullup%20Jump%20Shot%20(22%20PTS)", "Leonard 15' Pullup Jump Shot (22 PTS)")</f>
        <v>Leonard 15' Pullup Jump Shot (22 PTS)</v>
      </c>
      <c r="K1768" s="2" t="str">
        <f>HYPERLINK("https://www.nba.com/game/...-vs-...-0021500182/play-by-play?watchFullGame=true", "SAS vs NOP - Q4 03:48.00")</f>
        <v>SAS vs NOP - Q4 03:48.00</v>
      </c>
      <c r="L1768">
        <v>15</v>
      </c>
      <c r="M1768">
        <v>-1</v>
      </c>
      <c r="N1768">
        <v>149</v>
      </c>
      <c r="O1768">
        <v>-1</v>
      </c>
      <c r="P1768">
        <v>149</v>
      </c>
    </row>
    <row r="1769" spans="1:16" x14ac:dyDescent="0.25">
      <c r="A1769">
        <v>22200604</v>
      </c>
      <c r="B1769">
        <v>2022</v>
      </c>
      <c r="C1769" t="s">
        <v>32</v>
      </c>
      <c r="D1769" t="s">
        <v>19</v>
      </c>
      <c r="E1769">
        <v>38</v>
      </c>
      <c r="F1769">
        <v>47</v>
      </c>
      <c r="G1769">
        <v>2</v>
      </c>
      <c r="H1769" s="1">
        <v>3.449074074074074E-3</v>
      </c>
      <c r="I1769" t="s">
        <v>23</v>
      </c>
      <c r="J1769" s="2" t="str">
        <f>HYPERLINK("https://www.nba.com/stats/events?CFID=&amp;CFPARAMS=&amp;GameEventID=249&amp;GameID=0022200604&amp;Season=2022-23&amp;flag=1&amp;title=Leonard%2014'%20pullup%20Jump%20Shot%20(10%20PTS)", "14' pullup Jump Shot (10 PTS)")</f>
        <v>14' pullup Jump Shot (10 PTS)</v>
      </c>
      <c r="K1769" s="2" t="str">
        <f>HYPERLINK("https://www.nba.com/game/...-vs-...-0022200604/play-by-play?watchFullGame=true", "LAC vs ATL - Q2 04:58.00")</f>
        <v>LAC vs ATL - Q2 04:58.00</v>
      </c>
      <c r="L1769">
        <v>14.96</v>
      </c>
      <c r="M1769">
        <v>78.5</v>
      </c>
      <c r="N1769">
        <v>49.75</v>
      </c>
      <c r="O1769">
        <v>-1</v>
      </c>
      <c r="P1769">
        <v>150</v>
      </c>
    </row>
    <row r="1770" spans="1:16" x14ac:dyDescent="0.25">
      <c r="A1770">
        <v>41800304</v>
      </c>
      <c r="B1770" t="s">
        <v>20</v>
      </c>
      <c r="C1770" t="s">
        <v>32</v>
      </c>
      <c r="D1770" t="s">
        <v>29</v>
      </c>
      <c r="E1770">
        <v>88</v>
      </c>
      <c r="F1770">
        <v>76</v>
      </c>
      <c r="G1770">
        <v>3</v>
      </c>
      <c r="H1770" s="1">
        <v>1.736111111111111E-3</v>
      </c>
      <c r="I1770" t="s">
        <v>21</v>
      </c>
      <c r="J1770" s="2" t="str">
        <f>HYPERLINK("https://www.nba.com/stats/events?CFID=&amp;CFPARAMS=&amp;GameEventID=507&amp;GameID=0041800304&amp;Season=2018-19&amp;flag=1&amp;title=Leonard%2017'%20Pullup%20Jump%20Shot%20(15%20PTS)", "Leonard 17' Pullup Jump Shot (15 PTS)")</f>
        <v>Leonard 17' Pullup Jump Shot (15 PTS)</v>
      </c>
      <c r="K1770" s="2" t="str">
        <f>HYPERLINK("https://www.nba.com/game/...-vs-...-0041800304/play-by-play?watchFullGame=true", "TOR vs MIL - Q3 02:30.00")</f>
        <v>TOR vs MIL - Q3 02:30.00</v>
      </c>
      <c r="L1770">
        <v>17</v>
      </c>
      <c r="M1770">
        <v>-1</v>
      </c>
      <c r="N1770">
        <v>172</v>
      </c>
      <c r="O1770">
        <v>-1</v>
      </c>
      <c r="P1770">
        <v>172</v>
      </c>
    </row>
    <row r="1771" spans="1:16" x14ac:dyDescent="0.25">
      <c r="A1771">
        <v>22200408</v>
      </c>
      <c r="B1771">
        <v>2022</v>
      </c>
      <c r="C1771" t="s">
        <v>32</v>
      </c>
      <c r="D1771" t="s">
        <v>19</v>
      </c>
      <c r="E1771">
        <v>42</v>
      </c>
      <c r="F1771">
        <v>39</v>
      </c>
      <c r="G1771">
        <v>2</v>
      </c>
      <c r="H1771" s="1">
        <v>3.6689814814814814E-3</v>
      </c>
      <c r="I1771" t="s">
        <v>23</v>
      </c>
      <c r="J1771" s="2" t="str">
        <f>HYPERLINK("https://www.nba.com/stats/events?CFID=&amp;CFPARAMS=&amp;GameEventID=257&amp;GameID=0022200408&amp;Season=2022-23&amp;flag=1&amp;title=Leonard%2018'%20pullup%20Jump%20Shot%20(6%20PTS)", "18' pullup Jump Shot (6 PTS)")</f>
        <v>18' pullup Jump Shot (6 PTS)</v>
      </c>
      <c r="K1771" s="2" t="str">
        <f>HYPERLINK("https://www.nba.com/game/...-vs-...-0022200408/play-by-play?watchFullGame=true", "LAC vs BOS - Q2 05:17.00")</f>
        <v>LAC vs BOS - Q2 05:17.00</v>
      </c>
      <c r="L1771">
        <v>18.47</v>
      </c>
      <c r="M1771">
        <v>74.77</v>
      </c>
      <c r="N1771">
        <v>49.84</v>
      </c>
      <c r="O1771">
        <v>-1</v>
      </c>
      <c r="P1771">
        <v>185</v>
      </c>
    </row>
    <row r="1772" spans="1:16" x14ac:dyDescent="0.25">
      <c r="A1772">
        <v>21600865</v>
      </c>
      <c r="B1772">
        <v>2016</v>
      </c>
      <c r="C1772" t="s">
        <v>32</v>
      </c>
      <c r="D1772" t="s">
        <v>29</v>
      </c>
      <c r="E1772">
        <v>37</v>
      </c>
      <c r="F1772">
        <v>39</v>
      </c>
      <c r="G1772">
        <v>2</v>
      </c>
      <c r="H1772" s="1">
        <v>1.25E-3</v>
      </c>
      <c r="I1772" t="s">
        <v>18</v>
      </c>
      <c r="J1772" s="2" t="str">
        <f>HYPERLINK("https://www.nba.com/stats/events?CFID=&amp;CFPARAMS=&amp;GameEventID=222&amp;GameID=0021600865&amp;Season=2016-17&amp;flag=1&amp;title=Leonard%2020'%20Pullup%20Jump%20Shot%20(8%20PTS)", "Leonard 20' Pullup Jump Shot (8 PTS)")</f>
        <v>Leonard 20' Pullup Jump Shot (8 PTS)</v>
      </c>
      <c r="K1772" s="2" t="str">
        <f>HYPERLINK("https://www.nba.com/game/...-vs-...-0021600865/play-by-play?watchFullGame=true", "SAS vs LAC - Q2 01:48.00")</f>
        <v>SAS vs LAC - Q2 01:48.00</v>
      </c>
      <c r="L1772">
        <v>20</v>
      </c>
      <c r="M1772">
        <v>-1</v>
      </c>
      <c r="N1772">
        <v>200</v>
      </c>
      <c r="O1772">
        <v>-1</v>
      </c>
      <c r="P1772">
        <v>200</v>
      </c>
    </row>
    <row r="1773" spans="1:16" x14ac:dyDescent="0.25">
      <c r="A1773">
        <v>22300458</v>
      </c>
      <c r="B1773">
        <v>2023</v>
      </c>
      <c r="C1773" t="s">
        <v>16</v>
      </c>
      <c r="D1773" t="s">
        <v>19</v>
      </c>
      <c r="E1773">
        <v>106</v>
      </c>
      <c r="F1773">
        <v>90</v>
      </c>
      <c r="G1773">
        <v>4</v>
      </c>
      <c r="H1773" s="1">
        <v>6.030092592592593E-3</v>
      </c>
      <c r="I1773" t="s">
        <v>23</v>
      </c>
      <c r="J1773" s="2" t="str">
        <f>HYPERLINK("https://www.nba.com/stats/events?CFID=&amp;CFPARAMS=&amp;GameEventID=507&amp;GameID=0022300458&amp;Season=2023-24&amp;flag=1&amp;title=Leonard%2025'%203PT%20running%20pullup%20(24%20PTS)", "25' 3PT running pullup (24 PTS)")</f>
        <v>25' 3PT running pullup (24 PTS)</v>
      </c>
      <c r="K1773" s="2" t="str">
        <f>HYPERLINK("https://www.nba.com/game/...-vs-...-0022300458/play-by-play?watchFullGame=true", "LAC vs MIA - Q4 08:41.00")</f>
        <v>LAC vs MIA - Q4 08:41.00</v>
      </c>
      <c r="L1773">
        <v>25.31</v>
      </c>
      <c r="M1773">
        <v>32.51</v>
      </c>
      <c r="N1773">
        <v>50.25</v>
      </c>
      <c r="O1773">
        <v>-1</v>
      </c>
      <c r="P1773">
        <v>253</v>
      </c>
    </row>
    <row r="1774" spans="1:16" x14ac:dyDescent="0.25">
      <c r="A1774">
        <v>21600782</v>
      </c>
      <c r="B1774">
        <v>2016</v>
      </c>
      <c r="C1774" t="s">
        <v>16</v>
      </c>
      <c r="D1774" t="s">
        <v>29</v>
      </c>
      <c r="E1774">
        <v>42</v>
      </c>
      <c r="F1774">
        <v>55</v>
      </c>
      <c r="G1774">
        <v>2</v>
      </c>
      <c r="H1774" s="1">
        <v>2.2106481481481482E-3</v>
      </c>
      <c r="I1774" t="s">
        <v>18</v>
      </c>
      <c r="J1774" s="2" t="str">
        <f>HYPERLINK("https://www.nba.com/stats/events?CFID=&amp;CFPARAMS=&amp;GameEventID=205&amp;GameID=0021600782&amp;Season=2016-17&amp;flag=1&amp;title=Leonard%2025'%203PT%20Pullup%20Jump%20Shot%20(17%20PTS)", "Leonard 25' 3PT Pullup Jump Shot (17 PTS)")</f>
        <v>Leonard 25' 3PT Pullup Jump Shot (17 PTS)</v>
      </c>
      <c r="K1774" s="2" t="str">
        <f>HYPERLINK("https://www.nba.com/game/...-vs-...-0021600782/play-by-play?watchFullGame=true", "SAS vs PHI - Q2 03:11.00")</f>
        <v>SAS vs PHI - Q2 03:11.00</v>
      </c>
      <c r="L1774">
        <v>25</v>
      </c>
      <c r="M1774">
        <v>-1</v>
      </c>
      <c r="N1774">
        <v>254</v>
      </c>
      <c r="O1774">
        <v>-1</v>
      </c>
      <c r="P1774">
        <v>254</v>
      </c>
    </row>
    <row r="1775" spans="1:16" x14ac:dyDescent="0.25">
      <c r="A1775">
        <v>21301186</v>
      </c>
      <c r="B1775">
        <v>2013</v>
      </c>
      <c r="C1775" t="s">
        <v>32</v>
      </c>
      <c r="D1775" t="s">
        <v>51</v>
      </c>
      <c r="E1775">
        <v>76</v>
      </c>
      <c r="F1775">
        <v>78</v>
      </c>
      <c r="G1775">
        <v>3</v>
      </c>
      <c r="H1775" s="1">
        <v>2.8240740740740739E-3</v>
      </c>
      <c r="I1775" t="s">
        <v>18</v>
      </c>
      <c r="J1775" s="2" t="str">
        <f>HYPERLINK("https://www.nba.com/stats/events?CFID=&amp;CFPARAMS=&amp;GameEventID=331&amp;GameID=0021301186&amp;Season=2013-14&amp;flag=1&amp;title=Leonard%201'%20Reverse%20Layup%20(10%20PTS)%20(Diaw%203%20AST)", "Leonard 1' Reverse Layup (10 PTS) (Diaw 3 AST)")</f>
        <v>Leonard 1' Reverse Layup (10 PTS) (Diaw 3 AST)</v>
      </c>
      <c r="K1775" s="2" t="str">
        <f>HYPERLINK("https://www.nba.com/game/...-vs-...-0021301186/play-by-play?watchFullGame=true", "SAS vs PHX - Q3 04:04.00")</f>
        <v>SAS vs PHX - Q3 04:04.00</v>
      </c>
      <c r="L1775">
        <v>1</v>
      </c>
      <c r="M1775">
        <v>0</v>
      </c>
      <c r="N1775">
        <v>-8</v>
      </c>
      <c r="O1775">
        <v>0</v>
      </c>
      <c r="P1775">
        <v>-8</v>
      </c>
    </row>
    <row r="1776" spans="1:16" x14ac:dyDescent="0.25">
      <c r="A1776">
        <v>41800217</v>
      </c>
      <c r="B1776" t="s">
        <v>20</v>
      </c>
      <c r="C1776" t="s">
        <v>32</v>
      </c>
      <c r="D1776" t="s">
        <v>71</v>
      </c>
      <c r="E1776">
        <v>2</v>
      </c>
      <c r="F1776">
        <v>0</v>
      </c>
      <c r="G1776">
        <v>1</v>
      </c>
      <c r="H1776" s="1">
        <v>7.9745370370370369E-3</v>
      </c>
      <c r="I1776" t="s">
        <v>21</v>
      </c>
      <c r="J1776" s="2" t="str">
        <f>HYPERLINK("https://www.nba.com/stats/events?CFID=&amp;CFPARAMS=&amp;GameEventID=11&amp;GameID=0041800217&amp;Season=2018-19&amp;flag=1&amp;title=Leonard%201'%20Tip%20Layup%20Shot%20(2%20PTS)", "Leonard 1' Tip Layup Shot (2 PTS)")</f>
        <v>Leonard 1' Tip Layup Shot (2 PTS)</v>
      </c>
      <c r="K1776" s="2" t="str">
        <f>HYPERLINK("https://www.nba.com/game/...-vs-...-0041800217/play-by-play?watchFullGame=true", "TOR vs PHI - Q1 11:29.00")</f>
        <v>TOR vs PHI - Q1 11:29.00</v>
      </c>
      <c r="L1776">
        <v>1</v>
      </c>
      <c r="M1776">
        <v>0</v>
      </c>
      <c r="N1776">
        <v>-6</v>
      </c>
      <c r="O1776">
        <v>0</v>
      </c>
      <c r="P1776">
        <v>-6</v>
      </c>
    </row>
    <row r="1777" spans="1:16" x14ac:dyDescent="0.25">
      <c r="A1777">
        <v>41800303</v>
      </c>
      <c r="B1777" t="s">
        <v>20</v>
      </c>
      <c r="C1777" t="s">
        <v>32</v>
      </c>
      <c r="D1777" t="s">
        <v>71</v>
      </c>
      <c r="E1777">
        <v>63</v>
      </c>
      <c r="F1777">
        <v>53</v>
      </c>
      <c r="G1777">
        <v>3</v>
      </c>
      <c r="H1777" s="1">
        <v>6.9097222222222225E-3</v>
      </c>
      <c r="I1777" t="s">
        <v>21</v>
      </c>
      <c r="J1777" s="2" t="str">
        <f>HYPERLINK("https://www.nba.com/stats/events?CFID=&amp;CFPARAMS=&amp;GameEventID=377&amp;GameID=0041800303&amp;Season=2018-19&amp;flag=1&amp;title=Leonard%201'%20Tip%20Layup%20Shot%20(17%20PTS)", "Leonard 1' Tip Layup Shot (17 PTS)")</f>
        <v>Leonard 1' Tip Layup Shot (17 PTS)</v>
      </c>
      <c r="K1777" s="2" t="str">
        <f>HYPERLINK("https://www.nba.com/game/...-vs-...-0041800303/play-by-play?watchFullGame=true", "TOR vs MIL - Q3 09:57.00")</f>
        <v>TOR vs MIL - Q3 09:57.00</v>
      </c>
      <c r="L1777">
        <v>1</v>
      </c>
      <c r="M1777">
        <v>0</v>
      </c>
      <c r="N1777">
        <v>-6</v>
      </c>
      <c r="O1777">
        <v>0</v>
      </c>
      <c r="P1777">
        <v>-6</v>
      </c>
    </row>
    <row r="1778" spans="1:16" x14ac:dyDescent="0.25">
      <c r="A1778">
        <v>41800402</v>
      </c>
      <c r="B1778" t="s">
        <v>20</v>
      </c>
      <c r="C1778" t="s">
        <v>32</v>
      </c>
      <c r="D1778" t="s">
        <v>71</v>
      </c>
      <c r="E1778">
        <v>12</v>
      </c>
      <c r="F1778">
        <v>9</v>
      </c>
      <c r="G1778">
        <v>1</v>
      </c>
      <c r="H1778" s="1">
        <v>4.0393518518518521E-3</v>
      </c>
      <c r="I1778" t="s">
        <v>21</v>
      </c>
      <c r="J1778" s="2" t="str">
        <f>HYPERLINK("https://www.nba.com/stats/events?CFID=&amp;CFPARAMS=&amp;GameEventID=77&amp;GameID=0041800402&amp;Season=2018-19&amp;flag=1&amp;title=Leonard%201'%20Tip%20Layup%20Shot%20(7%20PTS)", "Leonard 1' Tip Layup Shot (7 PTS)")</f>
        <v>Leonard 1' Tip Layup Shot (7 PTS)</v>
      </c>
      <c r="K1778" s="2" t="str">
        <f>HYPERLINK("https://www.nba.com/game/...-vs-...-0041800402/play-by-play?watchFullGame=true", "TOR vs GSW - Q1 05:49.00")</f>
        <v>TOR vs GSW - Q1 05:49.00</v>
      </c>
      <c r="L1778">
        <v>1</v>
      </c>
      <c r="M1778">
        <v>0</v>
      </c>
      <c r="N1778">
        <v>-6</v>
      </c>
      <c r="O1778">
        <v>0</v>
      </c>
      <c r="P1778">
        <v>-6</v>
      </c>
    </row>
    <row r="1779" spans="1:16" x14ac:dyDescent="0.25">
      <c r="A1779">
        <v>41300146</v>
      </c>
      <c r="B1779" t="s">
        <v>26</v>
      </c>
      <c r="C1779" t="s">
        <v>32</v>
      </c>
      <c r="D1779" t="s">
        <v>63</v>
      </c>
      <c r="E1779">
        <v>41</v>
      </c>
      <c r="F1779">
        <v>36</v>
      </c>
      <c r="G1779">
        <v>2</v>
      </c>
      <c r="H1779" s="1">
        <v>5.324074074074074E-3</v>
      </c>
      <c r="I1779" t="s">
        <v>18</v>
      </c>
      <c r="J1779" s="2" t="str">
        <f>HYPERLINK("https://www.nba.com/stats/events?CFID=&amp;CFPARAMS=&amp;GameEventID=186&amp;GameID=0041300146&amp;Season=2013-14&amp;flag=1&amp;title=Leonard%20%20Running%20Dunk%20(6%20PTS)%20(Duncan%204%20AST)", "Leonard  Running Dunk (6 PTS) (Duncan 4 AST)")</f>
        <v>Leonard  Running Dunk (6 PTS) (Duncan 4 AST)</v>
      </c>
      <c r="K1779" s="2" t="str">
        <f>HYPERLINK("https://www.nba.com/game/...-vs-...-0041300146/play-by-play?watchFullGame=true", "SAS vs DAL - Q2 07:40.00")</f>
        <v>SAS vs DAL - Q2 07:40.00</v>
      </c>
      <c r="L1779">
        <v>0</v>
      </c>
      <c r="M1779">
        <v>0</v>
      </c>
      <c r="N1779">
        <v>-3</v>
      </c>
      <c r="O1779">
        <v>0</v>
      </c>
      <c r="P1779">
        <v>-3</v>
      </c>
    </row>
    <row r="1780" spans="1:16" x14ac:dyDescent="0.25">
      <c r="A1780">
        <v>41300405</v>
      </c>
      <c r="B1780" t="s">
        <v>26</v>
      </c>
      <c r="C1780" t="s">
        <v>32</v>
      </c>
      <c r="D1780" t="s">
        <v>57</v>
      </c>
      <c r="E1780">
        <v>52</v>
      </c>
      <c r="F1780">
        <v>42</v>
      </c>
      <c r="G1780">
        <v>3</v>
      </c>
      <c r="H1780" s="1">
        <v>5.3009259259259259E-3</v>
      </c>
      <c r="I1780" t="s">
        <v>18</v>
      </c>
      <c r="J1780" s="2" t="str">
        <f>HYPERLINK("https://www.nba.com/stats/events?CFID=&amp;CFPARAMS=&amp;GameEventID=296&amp;GameID=0041300405&amp;Season=2013-14&amp;flag=1&amp;title=Leonard%20%20Layup%20(18%20PTS)%20(Duncan%201%20AST)", "Leonard  Layup (18 PTS) (Duncan 1 AST)")</f>
        <v>Leonard  Layup (18 PTS) (Duncan 1 AST)</v>
      </c>
      <c r="K1780" s="2" t="str">
        <f>HYPERLINK("https://www.nba.com/game/...-vs-...-0041300405/play-by-play?watchFullGame=true", "SAS vs MIA - Q3 07:38.00")</f>
        <v>SAS vs MIA - Q3 07:38.00</v>
      </c>
      <c r="L1780">
        <v>0</v>
      </c>
      <c r="M1780">
        <v>0</v>
      </c>
      <c r="N1780">
        <v>-2</v>
      </c>
      <c r="O1780">
        <v>0</v>
      </c>
      <c r="P1780">
        <v>-2</v>
      </c>
    </row>
    <row r="1781" spans="1:16" x14ac:dyDescent="0.25">
      <c r="A1781">
        <v>41600235</v>
      </c>
      <c r="B1781" t="s">
        <v>30</v>
      </c>
      <c r="C1781" t="s">
        <v>32</v>
      </c>
      <c r="D1781" t="s">
        <v>51</v>
      </c>
      <c r="E1781">
        <v>60</v>
      </c>
      <c r="F1781">
        <v>65</v>
      </c>
      <c r="G1781">
        <v>3</v>
      </c>
      <c r="H1781" s="1">
        <v>6.2037037037037035E-3</v>
      </c>
      <c r="I1781" t="s">
        <v>18</v>
      </c>
      <c r="J1781" s="2" t="str">
        <f>HYPERLINK("https://www.nba.com/stats/events?CFID=&amp;CFPARAMS=&amp;GameEventID=307&amp;GameID=0041600235&amp;Season=2016-17&amp;flag=1&amp;title=Leonard%20Reverse%20Layup%20(14%20PTS)", "Leonard Reverse Layup (14 PTS)")</f>
        <v>Leonard Reverse Layup (14 PTS)</v>
      </c>
      <c r="K1781" s="2" t="str">
        <f>HYPERLINK("https://www.nba.com/game/...-vs-...-0041600235/play-by-play?watchFullGame=true", "SAS vs HOU - Q3 08:56.00")</f>
        <v>SAS vs HOU - Q3 08:56.00</v>
      </c>
      <c r="L1781">
        <v>0</v>
      </c>
      <c r="M1781">
        <v>0</v>
      </c>
      <c r="N1781">
        <v>-1</v>
      </c>
      <c r="O1781">
        <v>0</v>
      </c>
      <c r="P1781">
        <v>-1</v>
      </c>
    </row>
    <row r="1782" spans="1:16" x14ac:dyDescent="0.25">
      <c r="A1782">
        <v>21500939</v>
      </c>
      <c r="B1782">
        <v>2015</v>
      </c>
      <c r="C1782" t="s">
        <v>32</v>
      </c>
      <c r="D1782" t="s">
        <v>49</v>
      </c>
      <c r="E1782">
        <v>41</v>
      </c>
      <c r="F1782">
        <v>30</v>
      </c>
      <c r="G1782">
        <v>2</v>
      </c>
      <c r="H1782" s="1">
        <v>1.7013888888888888E-3</v>
      </c>
      <c r="I1782" t="s">
        <v>18</v>
      </c>
      <c r="J1782" s="2" t="str">
        <f>HYPERLINK("https://www.nba.com/stats/events?CFID=&amp;CFPARAMS=&amp;GameEventID=224&amp;GameID=0021500939&amp;Season=2015-16&amp;flag=1&amp;title=Leonard%20Driving%20Layup%20(11%20PTS)", "Leonard Driving Layup (11 PTS)")</f>
        <v>Leonard Driving Layup (11 PTS)</v>
      </c>
      <c r="K1782" s="2" t="str">
        <f>HYPERLINK("https://www.nba.com/game/...-vs-...-0021500939/play-by-play?watchFullGame=true", "SAS vs IND - Q2 02:27.00")</f>
        <v>SAS vs IND - Q2 02:27.00</v>
      </c>
      <c r="L1782">
        <v>0</v>
      </c>
      <c r="M1782">
        <v>0</v>
      </c>
      <c r="N1782">
        <v>-1</v>
      </c>
      <c r="O1782">
        <v>0</v>
      </c>
      <c r="P1782">
        <v>-1</v>
      </c>
    </row>
    <row r="1783" spans="1:16" x14ac:dyDescent="0.25">
      <c r="A1783">
        <v>41600155</v>
      </c>
      <c r="B1783" t="s">
        <v>30</v>
      </c>
      <c r="C1783" t="s">
        <v>32</v>
      </c>
      <c r="D1783" t="s">
        <v>69</v>
      </c>
      <c r="E1783">
        <v>104</v>
      </c>
      <c r="F1783">
        <v>97</v>
      </c>
      <c r="G1783">
        <v>4</v>
      </c>
      <c r="H1783" s="1">
        <v>3.1828703703703702E-3</v>
      </c>
      <c r="I1783" t="s">
        <v>18</v>
      </c>
      <c r="J1783" s="2" t="str">
        <f>HYPERLINK("https://www.nba.com/stats/events?CFID=&amp;CFPARAMS=&amp;GameEventID=417&amp;GameID=0041600155&amp;Season=2016-17&amp;flag=1&amp;title=Leonard%20%20Cutting%20Finger%20Roll%20Layup%20Shot%20(26%20PTS)%20(Lee%201%20AST)", "Leonard  Cutting Finger Roll Layup Shot (26 PTS) (Lee 1 AST)")</f>
        <v>Leonard  Cutting Finger Roll Layup Shot (26 PTS) (Lee 1 AST)</v>
      </c>
      <c r="K1783" s="2" t="str">
        <f>HYPERLINK("https://www.nba.com/game/...-vs-...-0041600155/play-by-play?watchFullGame=true", "SAS vs MEM - Q4 04:35.00")</f>
        <v>SAS vs MEM - Q4 04:35.00</v>
      </c>
      <c r="L1783">
        <v>0</v>
      </c>
      <c r="M1783">
        <v>0</v>
      </c>
      <c r="N1783">
        <v>-1</v>
      </c>
      <c r="O1783">
        <v>0</v>
      </c>
      <c r="P1783">
        <v>-1</v>
      </c>
    </row>
    <row r="1784" spans="1:16" x14ac:dyDescent="0.25">
      <c r="A1784">
        <v>21400089</v>
      </c>
      <c r="B1784">
        <v>2014</v>
      </c>
      <c r="C1784" t="s">
        <v>32</v>
      </c>
      <c r="D1784" t="s">
        <v>72</v>
      </c>
      <c r="E1784">
        <v>40</v>
      </c>
      <c r="F1784">
        <v>43</v>
      </c>
      <c r="G1784">
        <v>2</v>
      </c>
      <c r="H1784" s="1">
        <v>3.6574074074074074E-3</v>
      </c>
      <c r="I1784" t="s">
        <v>18</v>
      </c>
      <c r="J1784" s="2" t="str">
        <f>HYPERLINK("https://www.nba.com/stats/events?CFID=&amp;CFPARAMS=&amp;GameEventID=183&amp;GameID=0021400089&amp;Season=2014-15&amp;flag=1&amp;title=Leonard%20%20Tip%20Shot%20(3%20PTS)", "Leonard  Tip Shot (3 PTS)")</f>
        <v>Leonard  Tip Shot (3 PTS)</v>
      </c>
      <c r="K1784" s="2" t="str">
        <f>HYPERLINK("https://www.nba.com/game/...-vs-...-0021400089/play-by-play?watchFullGame=true", "SAS vs NOP - Q2 05:16.00")</f>
        <v>SAS vs NOP - Q2 05:16.00</v>
      </c>
      <c r="L1784">
        <v>0</v>
      </c>
      <c r="M1784">
        <v>0</v>
      </c>
      <c r="N1784">
        <v>1</v>
      </c>
      <c r="O1784">
        <v>0</v>
      </c>
      <c r="P1784">
        <v>1</v>
      </c>
    </row>
    <row r="1785" spans="1:16" x14ac:dyDescent="0.25">
      <c r="A1785">
        <v>21401157</v>
      </c>
      <c r="B1785">
        <v>2014</v>
      </c>
      <c r="C1785" t="s">
        <v>32</v>
      </c>
      <c r="D1785" t="s">
        <v>60</v>
      </c>
      <c r="E1785">
        <v>5</v>
      </c>
      <c r="F1785">
        <v>9</v>
      </c>
      <c r="G1785">
        <v>1</v>
      </c>
      <c r="H1785" s="1">
        <v>4.8263888888888887E-3</v>
      </c>
      <c r="I1785" t="s">
        <v>18</v>
      </c>
      <c r="J1785" s="2" t="str">
        <f>HYPERLINK("https://www.nba.com/stats/events?CFID=&amp;CFPARAMS=&amp;GameEventID=56&amp;GameID=0021401157&amp;Season=2014-15&amp;flag=1&amp;title=Leonard%20%20Alley%20Oop%20Dunk%20(7%20PTS)%20(Duncan%201%20AST)", "Leonard  Alley Oop Dunk (7 PTS) (Duncan 1 AST)")</f>
        <v>Leonard  Alley Oop Dunk (7 PTS) (Duncan 1 AST)</v>
      </c>
      <c r="K1785" s="2" t="str">
        <f>HYPERLINK("https://www.nba.com/game/...-vs-...-0021401157/play-by-play?watchFullGame=true", "SAS vs OKC - Q1 06:57.00")</f>
        <v>SAS vs OKC - Q1 06:57.00</v>
      </c>
      <c r="L1785">
        <v>0</v>
      </c>
      <c r="M1785">
        <v>0</v>
      </c>
      <c r="N1785">
        <v>1</v>
      </c>
      <c r="O1785">
        <v>0</v>
      </c>
      <c r="P1785">
        <v>1</v>
      </c>
    </row>
    <row r="1786" spans="1:16" x14ac:dyDescent="0.25">
      <c r="A1786">
        <v>21500570</v>
      </c>
      <c r="B1786">
        <v>2015</v>
      </c>
      <c r="C1786" t="s">
        <v>32</v>
      </c>
      <c r="D1786" t="s">
        <v>60</v>
      </c>
      <c r="E1786">
        <v>33</v>
      </c>
      <c r="F1786">
        <v>34</v>
      </c>
      <c r="G1786">
        <v>2</v>
      </c>
      <c r="H1786" s="1">
        <v>5.7638888888888887E-3</v>
      </c>
      <c r="I1786" t="s">
        <v>18</v>
      </c>
      <c r="J1786" s="2" t="str">
        <f>HYPERLINK("https://www.nba.com/stats/events?CFID=&amp;CFPARAMS=&amp;GameEventID=187&amp;GameID=0021500570&amp;Season=2015-16&amp;flag=1&amp;title=Leonard%20%20Alley%20Oop%20Dunk%20(2%20PTS)%20(Duncan%201%20AST)", "Leonard  Alley Oop Dunk (2 PTS) (Duncan 1 AST)")</f>
        <v>Leonard  Alley Oop Dunk (2 PTS) (Duncan 1 AST)</v>
      </c>
      <c r="K1786" s="2" t="str">
        <f>HYPERLINK("https://www.nba.com/game/...-vs-...-0021500570/play-by-play?watchFullGame=true", "SAS vs DET - Q2 08:18.00")</f>
        <v>SAS vs DET - Q2 08:18.00</v>
      </c>
      <c r="L1786">
        <v>0</v>
      </c>
      <c r="M1786">
        <v>0</v>
      </c>
      <c r="N1786">
        <v>1</v>
      </c>
      <c r="O1786">
        <v>0</v>
      </c>
      <c r="P1786">
        <v>1</v>
      </c>
    </row>
    <row r="1787" spans="1:16" x14ac:dyDescent="0.25">
      <c r="A1787">
        <v>21500644</v>
      </c>
      <c r="B1787">
        <v>2015</v>
      </c>
      <c r="C1787" t="s">
        <v>32</v>
      </c>
      <c r="D1787" t="s">
        <v>62</v>
      </c>
      <c r="E1787">
        <v>53</v>
      </c>
      <c r="F1787">
        <v>62</v>
      </c>
      <c r="G1787">
        <v>3</v>
      </c>
      <c r="H1787" s="1">
        <v>5.4282407407407404E-3</v>
      </c>
      <c r="I1787" t="s">
        <v>18</v>
      </c>
      <c r="J1787" s="2" t="str">
        <f>HYPERLINK("https://www.nba.com/stats/events?CFID=&amp;CFPARAMS=&amp;GameEventID=288&amp;GameID=0021500644&amp;Season=2015-16&amp;flag=1&amp;title=Leonard%20%20Dunk%20(16%20PTS)%20(Green%201%20AST)", "Leonard  Dunk (16 PTS) (Green 1 AST)")</f>
        <v>Leonard  Dunk (16 PTS) (Green 1 AST)</v>
      </c>
      <c r="K1787" s="2" t="str">
        <f>HYPERLINK("https://www.nba.com/game/...-vs-...-0021500644/play-by-play?watchFullGame=true", "SAS vs PHX - Q3 07:49.00")</f>
        <v>SAS vs PHX - Q3 07:49.00</v>
      </c>
      <c r="L1787">
        <v>0</v>
      </c>
      <c r="M1787">
        <v>0</v>
      </c>
      <c r="N1787">
        <v>1</v>
      </c>
      <c r="O1787">
        <v>0</v>
      </c>
      <c r="P1787">
        <v>1</v>
      </c>
    </row>
    <row r="1788" spans="1:16" x14ac:dyDescent="0.25">
      <c r="A1788">
        <v>21600543</v>
      </c>
      <c r="B1788">
        <v>2016</v>
      </c>
      <c r="C1788" t="s">
        <v>32</v>
      </c>
      <c r="D1788" t="s">
        <v>67</v>
      </c>
      <c r="E1788">
        <v>90</v>
      </c>
      <c r="F1788">
        <v>110</v>
      </c>
      <c r="G1788">
        <v>4</v>
      </c>
      <c r="H1788" s="1">
        <v>3.7615740740740739E-3</v>
      </c>
      <c r="I1788" t="s">
        <v>18</v>
      </c>
      <c r="J1788" s="2" t="str">
        <f>HYPERLINK("https://www.nba.com/stats/events?CFID=&amp;CFPARAMS=&amp;GameEventID=455&amp;GameID=0021600543&amp;Season=2016-17&amp;flag=1&amp;title=Leonard%20%20Driving%20Dunk%20(24%20PTS)%20(Murray%201%20AST)", "Leonard  Driving Dunk (24 PTS) (Murray 1 AST)")</f>
        <v>Leonard  Driving Dunk (24 PTS) (Murray 1 AST)</v>
      </c>
      <c r="K1788" s="2" t="str">
        <f>HYPERLINK("https://www.nba.com/game/...-vs-...-0021600543/play-by-play?watchFullGame=true", "SAS vs DEN - Q4 05:25.00")</f>
        <v>SAS vs DEN - Q4 05:25.00</v>
      </c>
      <c r="L1788">
        <v>0</v>
      </c>
      <c r="M1788">
        <v>0</v>
      </c>
      <c r="N1788">
        <v>1</v>
      </c>
      <c r="O1788">
        <v>0</v>
      </c>
      <c r="P1788">
        <v>1</v>
      </c>
    </row>
    <row r="1789" spans="1:16" x14ac:dyDescent="0.25">
      <c r="A1789">
        <v>21600575</v>
      </c>
      <c r="B1789">
        <v>2016</v>
      </c>
      <c r="C1789" t="s">
        <v>32</v>
      </c>
      <c r="D1789" t="s">
        <v>68</v>
      </c>
      <c r="E1789">
        <v>64</v>
      </c>
      <c r="F1789">
        <v>58</v>
      </c>
      <c r="G1789">
        <v>3</v>
      </c>
      <c r="H1789" s="1">
        <v>6.2268518518518515E-3</v>
      </c>
      <c r="I1789" t="s">
        <v>18</v>
      </c>
      <c r="J1789" s="2" t="str">
        <f>HYPERLINK("https://www.nba.com/stats/events?CFID=&amp;CFPARAMS=&amp;GameEventID=279&amp;GameID=0021600575&amp;Season=2016-17&amp;flag=1&amp;title=Leonard%20%20Cutting%20Dunk%20Shot%20(18%20PTS)%20(Gasol%204%20AST)", "Leonard  Cutting Dunk Shot (18 PTS) (Gasol 4 AST)")</f>
        <v>Leonard  Cutting Dunk Shot (18 PTS) (Gasol 4 AST)</v>
      </c>
      <c r="K1789" s="2" t="str">
        <f>HYPERLINK("https://www.nba.com/game/...-vs-...-0021600575/play-by-play?watchFullGame=true", "SAS vs MIL - Q3 08:58.00")</f>
        <v>SAS vs MIL - Q3 08:58.00</v>
      </c>
      <c r="L1789">
        <v>0</v>
      </c>
      <c r="M1789">
        <v>0</v>
      </c>
      <c r="N1789">
        <v>1</v>
      </c>
      <c r="O1789">
        <v>0</v>
      </c>
      <c r="P1789">
        <v>1</v>
      </c>
    </row>
    <row r="1790" spans="1:16" x14ac:dyDescent="0.25">
      <c r="A1790">
        <v>21600834</v>
      </c>
      <c r="B1790">
        <v>2016</v>
      </c>
      <c r="C1790" t="s">
        <v>32</v>
      </c>
      <c r="D1790" t="s">
        <v>63</v>
      </c>
      <c r="E1790">
        <v>27</v>
      </c>
      <c r="F1790">
        <v>48</v>
      </c>
      <c r="G1790">
        <v>2</v>
      </c>
      <c r="H1790" s="1">
        <v>2.3148148148148147E-3</v>
      </c>
      <c r="I1790" t="s">
        <v>18</v>
      </c>
      <c r="J1790" s="2" t="str">
        <f>HYPERLINK("https://www.nba.com/stats/events?CFID=&amp;CFPARAMS=&amp;GameEventID=227&amp;GameID=0021600834&amp;Season=2016-17&amp;flag=1&amp;title=Leonard%20%20Running%20Dunk%20(13%20PTS)%20(Ginobili%202%20AST)", "Leonard  Running Dunk (13 PTS) (Ginobili 2 AST)")</f>
        <v>Leonard  Running Dunk (13 PTS) (Ginobili 2 AST)</v>
      </c>
      <c r="K1790" s="2" t="str">
        <f>HYPERLINK("https://www.nba.com/game/...-vs-...-0021600834/play-by-play?watchFullGame=true", "SAS vs ORL - Q2 03:20.00")</f>
        <v>SAS vs ORL - Q2 03:20.00</v>
      </c>
      <c r="L1790">
        <v>0</v>
      </c>
      <c r="M1790">
        <v>0</v>
      </c>
      <c r="N1790">
        <v>1</v>
      </c>
      <c r="O1790">
        <v>0</v>
      </c>
      <c r="P1790">
        <v>1</v>
      </c>
    </row>
    <row r="1791" spans="1:16" x14ac:dyDescent="0.25">
      <c r="A1791">
        <v>21600865</v>
      </c>
      <c r="B1791">
        <v>2016</v>
      </c>
      <c r="C1791" t="s">
        <v>32</v>
      </c>
      <c r="D1791" t="s">
        <v>67</v>
      </c>
      <c r="E1791">
        <v>86</v>
      </c>
      <c r="F1791">
        <v>94</v>
      </c>
      <c r="G1791">
        <v>4</v>
      </c>
      <c r="H1791" s="1">
        <v>3.1018518518518517E-3</v>
      </c>
      <c r="I1791" t="s">
        <v>18</v>
      </c>
      <c r="J1791" s="2" t="str">
        <f>HYPERLINK("https://www.nba.com/stats/events?CFID=&amp;CFPARAMS=&amp;GameEventID=512&amp;GameID=0021600865&amp;Season=2016-17&amp;flag=1&amp;title=Leonard%20%20Driving%20Dunk%20(18%20PTS)%20(Gasol%202%20AST)", "Leonard  Driving Dunk (18 PTS) (Gasol 2 AST)")</f>
        <v>Leonard  Driving Dunk (18 PTS) (Gasol 2 AST)</v>
      </c>
      <c r="K1791" s="2" t="str">
        <f>HYPERLINK("https://www.nba.com/game/...-vs-...-0021600865/play-by-play?watchFullGame=true", "SAS vs LAC - Q4 04:28.00")</f>
        <v>SAS vs LAC - Q4 04:28.00</v>
      </c>
      <c r="L1791">
        <v>0</v>
      </c>
      <c r="M1791">
        <v>0</v>
      </c>
      <c r="N1791">
        <v>1</v>
      </c>
      <c r="O1791">
        <v>0</v>
      </c>
      <c r="P1791">
        <v>1</v>
      </c>
    </row>
    <row r="1792" spans="1:16" x14ac:dyDescent="0.25">
      <c r="A1792">
        <v>41200152</v>
      </c>
      <c r="B1792" t="s">
        <v>27</v>
      </c>
      <c r="C1792" t="s">
        <v>32</v>
      </c>
      <c r="D1792" t="s">
        <v>62</v>
      </c>
      <c r="E1792">
        <v>53</v>
      </c>
      <c r="F1792">
        <v>46</v>
      </c>
      <c r="G1792">
        <v>2</v>
      </c>
      <c r="H1792" s="1">
        <v>4.8379629629629624E-4</v>
      </c>
      <c r="I1792" t="s">
        <v>18</v>
      </c>
      <c r="J1792" s="2" t="str">
        <f>HYPERLINK("https://www.nba.com/stats/events?CFID=&amp;CFPARAMS=&amp;GameEventID=220&amp;GameID=0041200152&amp;Season=2012-13&amp;flag=1&amp;title=Leonard%20%20Dunk%20(14%20PTS)%20(Ginobili%204%20AST)", "Leonard  Dunk (14 PTS) (Ginobili 4 AST)")</f>
        <v>Leonard  Dunk (14 PTS) (Ginobili 4 AST)</v>
      </c>
      <c r="K1792" s="2" t="str">
        <f>HYPERLINK("https://www.nba.com/game/...-vs-...-0041200152/play-by-play?watchFullGame=true", "SAS vs LAL - Q2 00:41.80")</f>
        <v>SAS vs LAL - Q2 00:41.80</v>
      </c>
      <c r="L1792">
        <v>0</v>
      </c>
      <c r="M1792">
        <v>0</v>
      </c>
      <c r="N1792">
        <v>1</v>
      </c>
      <c r="O1792">
        <v>0</v>
      </c>
      <c r="P1792">
        <v>1</v>
      </c>
    </row>
    <row r="1793" spans="1:16" x14ac:dyDescent="0.25">
      <c r="A1793">
        <v>41500152</v>
      </c>
      <c r="B1793" t="s">
        <v>25</v>
      </c>
      <c r="C1793" t="s">
        <v>32</v>
      </c>
      <c r="D1793" t="s">
        <v>62</v>
      </c>
      <c r="E1793">
        <v>56</v>
      </c>
      <c r="F1793">
        <v>40</v>
      </c>
      <c r="G1793">
        <v>3</v>
      </c>
      <c r="H1793" s="1">
        <v>5.2430555555555555E-3</v>
      </c>
      <c r="I1793" t="s">
        <v>18</v>
      </c>
      <c r="J1793" s="2" t="str">
        <f>HYPERLINK("https://www.nba.com/stats/events?CFID=&amp;CFPARAMS=&amp;GameEventID=291&amp;GameID=0041500152&amp;Season=2015-16&amp;flag=1&amp;title=Leonard%20%20Dunk%20(11%20PTS)%20(Green%202%20AST)", "Leonard  Dunk (11 PTS) (Green 2 AST)")</f>
        <v>Leonard  Dunk (11 PTS) (Green 2 AST)</v>
      </c>
      <c r="K1793" s="2" t="str">
        <f>HYPERLINK("https://www.nba.com/game/...-vs-...-0041500152/play-by-play?watchFullGame=true", "SAS vs MEM - Q3 07:33.00")</f>
        <v>SAS vs MEM - Q3 07:33.00</v>
      </c>
      <c r="L1793">
        <v>0</v>
      </c>
      <c r="M1793">
        <v>0</v>
      </c>
      <c r="N1793">
        <v>1</v>
      </c>
      <c r="O1793">
        <v>0</v>
      </c>
      <c r="P1793">
        <v>1</v>
      </c>
    </row>
    <row r="1794" spans="1:16" x14ac:dyDescent="0.25">
      <c r="A1794">
        <v>21400790</v>
      </c>
      <c r="B1794">
        <v>2014</v>
      </c>
      <c r="C1794" t="s">
        <v>32</v>
      </c>
      <c r="D1794" t="s">
        <v>67</v>
      </c>
      <c r="E1794">
        <v>39</v>
      </c>
      <c r="F1794">
        <v>52</v>
      </c>
      <c r="G1794">
        <v>3</v>
      </c>
      <c r="H1794" s="1">
        <v>7.3611111111111108E-3</v>
      </c>
      <c r="I1794" t="s">
        <v>18</v>
      </c>
      <c r="J1794" s="2" t="str">
        <f>HYPERLINK("https://www.nba.com/stats/events?CFID=&amp;CFPARAMS=&amp;GameEventID=257&amp;GameID=0021400790&amp;Season=2014-15&amp;flag=1&amp;title=Leonard%20%20Driving%20Dunk%20(6%20PTS)", "Leonard  Driving Dunk (6 PTS)")</f>
        <v>Leonard  Driving Dunk (6 PTS)</v>
      </c>
      <c r="K1794" s="2" t="str">
        <f>HYPERLINK("https://www.nba.com/game/...-vs-...-0021400790/play-by-play?watchFullGame=true", "SAS vs DET - Q3 10:36.00")</f>
        <v>SAS vs DET - Q3 10:36.00</v>
      </c>
      <c r="L1794">
        <v>0</v>
      </c>
      <c r="M1794">
        <v>0</v>
      </c>
      <c r="N1794">
        <v>1</v>
      </c>
      <c r="O1794">
        <v>0</v>
      </c>
      <c r="P1794">
        <v>1</v>
      </c>
    </row>
    <row r="1795" spans="1:16" x14ac:dyDescent="0.25">
      <c r="A1795">
        <v>21500156</v>
      </c>
      <c r="B1795">
        <v>2015</v>
      </c>
      <c r="C1795" t="s">
        <v>32</v>
      </c>
      <c r="D1795" t="s">
        <v>63</v>
      </c>
      <c r="E1795">
        <v>51</v>
      </c>
      <c r="F1795">
        <v>38</v>
      </c>
      <c r="G1795">
        <v>3</v>
      </c>
      <c r="H1795" s="1">
        <v>4.3287037037037035E-3</v>
      </c>
      <c r="I1795" t="s">
        <v>18</v>
      </c>
      <c r="J1795" s="2" t="str">
        <f>HYPERLINK("https://www.nba.com/stats/events?CFID=&amp;CFPARAMS=&amp;GameEventID=292&amp;GameID=0021500156&amp;Season=2015-16&amp;flag=1&amp;title=Leonard%20%20Running%20Dunk%20(11%20PTS)%20(Green%202%20AST)", "Leonard  Running Dunk (11 PTS) (Green 2 AST)")</f>
        <v>Leonard  Running Dunk (11 PTS) (Green 2 AST)</v>
      </c>
      <c r="K1795" s="2" t="str">
        <f>HYPERLINK("https://www.nba.com/game/...-vs-...-0021500156/play-by-play?watchFullGame=true", "SAS vs POR - Q3 06:14.00")</f>
        <v>SAS vs POR - Q3 06:14.00</v>
      </c>
      <c r="L1795">
        <v>0</v>
      </c>
      <c r="M1795">
        <v>0</v>
      </c>
      <c r="N1795">
        <v>1</v>
      </c>
      <c r="O1795">
        <v>0</v>
      </c>
      <c r="P1795">
        <v>1</v>
      </c>
    </row>
    <row r="1796" spans="1:16" x14ac:dyDescent="0.25">
      <c r="A1796">
        <v>21500431</v>
      </c>
      <c r="B1796">
        <v>2015</v>
      </c>
      <c r="C1796" t="s">
        <v>32</v>
      </c>
      <c r="D1796" t="s">
        <v>63</v>
      </c>
      <c r="E1796">
        <v>67</v>
      </c>
      <c r="F1796">
        <v>89</v>
      </c>
      <c r="G1796">
        <v>4</v>
      </c>
      <c r="H1796" s="1">
        <v>5.7291666666666663E-3</v>
      </c>
      <c r="I1796" t="s">
        <v>18</v>
      </c>
      <c r="J1796" s="2" t="str">
        <f>HYPERLINK("https://www.nba.com/stats/events?CFID=&amp;CFPARAMS=&amp;GameEventID=394&amp;GameID=0021500431&amp;Season=2015-16&amp;flag=1&amp;title=Leonard%20%20Running%20Dunk%20(14%20PTS)%20(Parker%205%20AST)", "Leonard  Running Dunk (14 PTS) (Parker 5 AST)")</f>
        <v>Leonard  Running Dunk (14 PTS) (Parker 5 AST)</v>
      </c>
      <c r="K1796" s="2" t="str">
        <f>HYPERLINK("https://www.nba.com/game/...-vs-...-0021500431/play-by-play?watchFullGame=true", "SAS vs MIN - Q4 08:15.00")</f>
        <v>SAS vs MIN - Q4 08:15.00</v>
      </c>
      <c r="L1796">
        <v>0</v>
      </c>
      <c r="M1796">
        <v>0</v>
      </c>
      <c r="N1796">
        <v>1</v>
      </c>
      <c r="O1796">
        <v>0</v>
      </c>
      <c r="P1796">
        <v>1</v>
      </c>
    </row>
    <row r="1797" spans="1:16" x14ac:dyDescent="0.25">
      <c r="A1797">
        <v>21500532</v>
      </c>
      <c r="B1797">
        <v>2015</v>
      </c>
      <c r="C1797" t="s">
        <v>32</v>
      </c>
      <c r="D1797" t="s">
        <v>63</v>
      </c>
      <c r="E1797">
        <v>4</v>
      </c>
      <c r="F1797">
        <v>2</v>
      </c>
      <c r="G1797">
        <v>1</v>
      </c>
      <c r="H1797" s="1">
        <v>7.4999999999999997E-3</v>
      </c>
      <c r="I1797" t="s">
        <v>18</v>
      </c>
      <c r="J1797" s="2" t="str">
        <f>HYPERLINK("https://www.nba.com/stats/events?CFID=&amp;CFPARAMS=&amp;GameEventID=7&amp;GameID=0021500532&amp;Season=2015-16&amp;flag=1&amp;title=Leonard%20%20Running%20Dunk%20(2%20PTS)%20(West%201%20AST)", "Leonard  Running Dunk (2 PTS) (West 1 AST)")</f>
        <v>Leonard  Running Dunk (2 PTS) (West 1 AST)</v>
      </c>
      <c r="K1797" s="2" t="str">
        <f>HYPERLINK("https://www.nba.com/game/...-vs-...-0021500532/play-by-play?watchFullGame=true", "SAS vs UTA - Q1 10:48.00")</f>
        <v>SAS vs UTA - Q1 10:48.00</v>
      </c>
      <c r="L1797">
        <v>0</v>
      </c>
      <c r="M1797">
        <v>0</v>
      </c>
      <c r="N1797">
        <v>1</v>
      </c>
      <c r="O1797">
        <v>0</v>
      </c>
      <c r="P1797">
        <v>1</v>
      </c>
    </row>
    <row r="1798" spans="1:16" x14ac:dyDescent="0.25">
      <c r="A1798">
        <v>21500566</v>
      </c>
      <c r="B1798">
        <v>2015</v>
      </c>
      <c r="C1798" t="s">
        <v>32</v>
      </c>
      <c r="D1798" t="s">
        <v>60</v>
      </c>
      <c r="E1798">
        <v>28</v>
      </c>
      <c r="F1798">
        <v>35</v>
      </c>
      <c r="G1798">
        <v>2</v>
      </c>
      <c r="H1798" s="1">
        <v>4.0856481481481481E-3</v>
      </c>
      <c r="I1798" t="s">
        <v>18</v>
      </c>
      <c r="J1798" s="2" t="str">
        <f>HYPERLINK("https://www.nba.com/stats/events?CFID=&amp;CFPARAMS=&amp;GameEventID=150&amp;GameID=0021500566&amp;Season=2015-16&amp;flag=1&amp;title=Leonard%20%20Alley%20Oop%20Dunk%20(6%20PTS)%20(Duncan%201%20AST)", "Leonard  Alley Oop Dunk (6 PTS) (Duncan 1 AST)")</f>
        <v>Leonard  Alley Oop Dunk (6 PTS) (Duncan 1 AST)</v>
      </c>
      <c r="K1798" s="2" t="str">
        <f>HYPERLINK("https://www.nba.com/game/...-vs-...-0021500566/play-by-play?watchFullGame=true", "SAS vs BKN - Q2 05:53.00")</f>
        <v>SAS vs BKN - Q2 05:53.00</v>
      </c>
      <c r="L1798">
        <v>0</v>
      </c>
      <c r="M1798">
        <v>0</v>
      </c>
      <c r="N1798">
        <v>1</v>
      </c>
      <c r="O1798">
        <v>0</v>
      </c>
      <c r="P1798">
        <v>1</v>
      </c>
    </row>
    <row r="1799" spans="1:16" x14ac:dyDescent="0.25">
      <c r="A1799">
        <v>21600387</v>
      </c>
      <c r="B1799">
        <v>2016</v>
      </c>
      <c r="C1799" t="s">
        <v>32</v>
      </c>
      <c r="D1799" t="s">
        <v>60</v>
      </c>
      <c r="E1799">
        <v>77</v>
      </c>
      <c r="F1799">
        <v>78</v>
      </c>
      <c r="G1799">
        <v>4</v>
      </c>
      <c r="H1799" s="1">
        <v>6.8402777777777776E-3</v>
      </c>
      <c r="I1799" t="s">
        <v>18</v>
      </c>
      <c r="J1799" s="2" t="str">
        <f>HYPERLINK("https://www.nba.com/stats/events?CFID=&amp;CFPARAMS=&amp;GameEventID=410&amp;GameID=0021600387&amp;Season=2016-17&amp;flag=1&amp;title=Leonard%20%20Alley%20Oop%20Dunk%20(16%20PTS)%20(Gasol%202%20AST)", "Leonard  Alley Oop Dunk (16 PTS) (Gasol 2 AST)")</f>
        <v>Leonard  Alley Oop Dunk (16 PTS) (Gasol 2 AST)</v>
      </c>
      <c r="K1799" s="2" t="str">
        <f>HYPERLINK("https://www.nba.com/game/...-vs-...-0021600387/play-by-play?watchFullGame=true", "SAS vs PHX - Q4 09:51.00")</f>
        <v>SAS vs PHX - Q4 09:51.00</v>
      </c>
      <c r="L1799">
        <v>0</v>
      </c>
      <c r="M1799">
        <v>0</v>
      </c>
      <c r="N1799">
        <v>1</v>
      </c>
      <c r="O1799">
        <v>0</v>
      </c>
      <c r="P1799">
        <v>1</v>
      </c>
    </row>
    <row r="1800" spans="1:16" x14ac:dyDescent="0.25">
      <c r="A1800">
        <v>21600605</v>
      </c>
      <c r="B1800">
        <v>2016</v>
      </c>
      <c r="C1800" t="s">
        <v>32</v>
      </c>
      <c r="D1800" t="s">
        <v>67</v>
      </c>
      <c r="E1800">
        <v>46</v>
      </c>
      <c r="F1800">
        <v>55</v>
      </c>
      <c r="G1800">
        <v>2</v>
      </c>
      <c r="H1800" s="1">
        <v>1.4351851851851852E-3</v>
      </c>
      <c r="I1800" t="s">
        <v>18</v>
      </c>
      <c r="J1800" s="2" t="str">
        <f>HYPERLINK("https://www.nba.com/stats/events?CFID=&amp;CFPARAMS=&amp;GameEventID=249&amp;GameID=0021600605&amp;Season=2016-17&amp;flag=1&amp;title=Leonard%20%20Driving%20Dunk%20(14%20PTS)", "Leonard  Driving Dunk (14 PTS)")</f>
        <v>Leonard  Driving Dunk (14 PTS)</v>
      </c>
      <c r="K1800" s="2" t="str">
        <f>HYPERLINK("https://www.nba.com/game/...-vs-...-0021600605/play-by-play?watchFullGame=true", "SAS vs PHX - Q2 02:04.00")</f>
        <v>SAS vs PHX - Q2 02:04.00</v>
      </c>
      <c r="L1800">
        <v>0</v>
      </c>
      <c r="M1800">
        <v>0</v>
      </c>
      <c r="N1800">
        <v>1</v>
      </c>
      <c r="O1800">
        <v>0</v>
      </c>
      <c r="P1800">
        <v>1</v>
      </c>
    </row>
    <row r="1801" spans="1:16" x14ac:dyDescent="0.25">
      <c r="A1801">
        <v>21600639</v>
      </c>
      <c r="B1801">
        <v>2016</v>
      </c>
      <c r="C1801" t="s">
        <v>32</v>
      </c>
      <c r="D1801" t="s">
        <v>63</v>
      </c>
      <c r="E1801">
        <v>65</v>
      </c>
      <c r="F1801">
        <v>58</v>
      </c>
      <c r="G1801">
        <v>3</v>
      </c>
      <c r="H1801" s="1">
        <v>7.6041666666666671E-3</v>
      </c>
      <c r="I1801" t="s">
        <v>18</v>
      </c>
      <c r="J1801" s="2" t="str">
        <f>HYPERLINK("https://www.nba.com/stats/events?CFID=&amp;CFPARAMS=&amp;GameEventID=277&amp;GameID=0021600639&amp;Season=2016-17&amp;flag=1&amp;title=Leonard%20%20Running%20Dunk%20(15%20PTS)%20(Lee%201%20AST)", "Leonard  Running Dunk (15 PTS) (Lee 1 AST)")</f>
        <v>Leonard  Running Dunk (15 PTS) (Lee 1 AST)</v>
      </c>
      <c r="K1801" s="2" t="str">
        <f>HYPERLINK("https://www.nba.com/game/...-vs-...-0021600639/play-by-play?watchFullGame=true", "SAS vs DEN - Q3 10:57.00")</f>
        <v>SAS vs DEN - Q3 10:57.00</v>
      </c>
      <c r="L1801">
        <v>0</v>
      </c>
      <c r="M1801">
        <v>0</v>
      </c>
      <c r="N1801">
        <v>1</v>
      </c>
      <c r="O1801">
        <v>0</v>
      </c>
      <c r="P1801">
        <v>1</v>
      </c>
    </row>
    <row r="1802" spans="1:16" x14ac:dyDescent="0.25">
      <c r="A1802">
        <v>21601099</v>
      </c>
      <c r="B1802">
        <v>2016</v>
      </c>
      <c r="C1802" t="s">
        <v>32</v>
      </c>
      <c r="D1802" t="s">
        <v>68</v>
      </c>
      <c r="E1802">
        <v>85</v>
      </c>
      <c r="F1802">
        <v>58</v>
      </c>
      <c r="G1802">
        <v>4</v>
      </c>
      <c r="H1802" s="1">
        <v>7.8240740740740736E-3</v>
      </c>
      <c r="I1802" t="s">
        <v>18</v>
      </c>
      <c r="J1802" s="2" t="str">
        <f>HYPERLINK("https://www.nba.com/stats/events?CFID=&amp;CFPARAMS=&amp;GameEventID=407&amp;GameID=0021601099&amp;Season=2016-17&amp;flag=1&amp;title=Leonard%20Cutting%20Dunk%20Shot%20(21%20PTS)%20(Mills%207%20AST)", "Leonard Cutting Dunk Shot (21 PTS) (Mills 7 AST)")</f>
        <v>Leonard Cutting Dunk Shot (21 PTS) (Mills 7 AST)</v>
      </c>
      <c r="K1802" s="2" t="str">
        <f>HYPERLINK("https://www.nba.com/game/...-vs-...-0021601099/play-by-play?watchFullGame=true", "SAS vs CLE - Q4 11:16.00")</f>
        <v>SAS vs CLE - Q4 11:16.00</v>
      </c>
      <c r="L1802">
        <v>0</v>
      </c>
      <c r="M1802">
        <v>0</v>
      </c>
      <c r="N1802">
        <v>1</v>
      </c>
      <c r="O1802">
        <v>0</v>
      </c>
      <c r="P1802">
        <v>1</v>
      </c>
    </row>
    <row r="1803" spans="1:16" x14ac:dyDescent="0.25">
      <c r="A1803">
        <v>41500235</v>
      </c>
      <c r="B1803" t="s">
        <v>25</v>
      </c>
      <c r="C1803" t="s">
        <v>32</v>
      </c>
      <c r="D1803" t="s">
        <v>63</v>
      </c>
      <c r="E1803">
        <v>88</v>
      </c>
      <c r="F1803">
        <v>82</v>
      </c>
      <c r="G1803">
        <v>4</v>
      </c>
      <c r="H1803" s="1">
        <v>2.7777777777777779E-3</v>
      </c>
      <c r="I1803" t="s">
        <v>18</v>
      </c>
      <c r="J1803" s="2" t="str">
        <f>HYPERLINK("https://www.nba.com/stats/events?CFID=&amp;CFPARAMS=&amp;GameEventID=481&amp;GameID=0041500235&amp;Season=2015-16&amp;flag=1&amp;title=Leonard%20%20Running%20Dunk%20(26%20PTS)", "Leonard  Running Dunk (26 PTS)")</f>
        <v>Leonard  Running Dunk (26 PTS)</v>
      </c>
      <c r="K1803" s="2" t="str">
        <f>HYPERLINK("https://www.nba.com/game/...-vs-...-0041500235/play-by-play?watchFullGame=true", "SAS vs OKC - Q4 04:00.00")</f>
        <v>SAS vs OKC - Q4 04:00.00</v>
      </c>
      <c r="L1803">
        <v>0</v>
      </c>
      <c r="M1803">
        <v>0</v>
      </c>
      <c r="N1803">
        <v>1</v>
      </c>
      <c r="O1803">
        <v>0</v>
      </c>
      <c r="P1803">
        <v>1</v>
      </c>
    </row>
    <row r="1804" spans="1:16" x14ac:dyDescent="0.25">
      <c r="A1804">
        <v>41600153</v>
      </c>
      <c r="B1804" t="s">
        <v>30</v>
      </c>
      <c r="C1804" t="s">
        <v>32</v>
      </c>
      <c r="D1804" t="s">
        <v>67</v>
      </c>
      <c r="E1804">
        <v>8</v>
      </c>
      <c r="F1804">
        <v>11</v>
      </c>
      <c r="G1804">
        <v>1</v>
      </c>
      <c r="H1804" s="1">
        <v>4.0162037037037041E-3</v>
      </c>
      <c r="I1804" t="s">
        <v>18</v>
      </c>
      <c r="J1804" s="2" t="str">
        <f>HYPERLINK("https://www.nba.com/stats/events?CFID=&amp;CFPARAMS=&amp;GameEventID=61&amp;GameID=0041600153&amp;Season=2016-17&amp;flag=1&amp;title=Leonard%20%20Driving%20Dunk%20(4%20PTS)", "Leonard  Driving Dunk (4 PTS)")</f>
        <v>Leonard  Driving Dunk (4 PTS)</v>
      </c>
      <c r="K1804" s="2" t="str">
        <f>HYPERLINK("https://www.nba.com/game/...-vs-...-0041600153/play-by-play?watchFullGame=true", "SAS vs MEM - Q1 05:47.00")</f>
        <v>SAS vs MEM - Q1 05:47.00</v>
      </c>
      <c r="L1804">
        <v>0</v>
      </c>
      <c r="M1804">
        <v>0</v>
      </c>
      <c r="N1804">
        <v>1</v>
      </c>
      <c r="O1804">
        <v>0</v>
      </c>
      <c r="P1804">
        <v>1</v>
      </c>
    </row>
    <row r="1805" spans="1:16" x14ac:dyDescent="0.25">
      <c r="A1805">
        <v>21600240</v>
      </c>
      <c r="B1805">
        <v>2016</v>
      </c>
      <c r="C1805" t="s">
        <v>32</v>
      </c>
      <c r="D1805" t="s">
        <v>62</v>
      </c>
      <c r="E1805">
        <v>44</v>
      </c>
      <c r="F1805">
        <v>59</v>
      </c>
      <c r="G1805">
        <v>3</v>
      </c>
      <c r="H1805" s="1">
        <v>7.858796296296296E-3</v>
      </c>
      <c r="I1805" t="s">
        <v>18</v>
      </c>
      <c r="J1805" s="2" t="str">
        <f>HYPERLINK("https://www.nba.com/stats/events?CFID=&amp;CFPARAMS=&amp;GameEventID=266&amp;GameID=0021600240&amp;Season=2016-17&amp;flag=1&amp;title=Leonard%20%20Dunk%20(10%20PTS)", "Leonard  Dunk (10 PTS)")</f>
        <v>Leonard  Dunk (10 PTS)</v>
      </c>
      <c r="K1805" s="2" t="str">
        <f>HYPERLINK("https://www.nba.com/game/...-vs-...-0021600240/play-by-play?watchFullGame=true", "SAS vs WAS - Q3 11:19.00")</f>
        <v>SAS vs WAS - Q3 11:19.00</v>
      </c>
      <c r="L1805">
        <v>0</v>
      </c>
      <c r="M1805">
        <v>0</v>
      </c>
      <c r="N1805">
        <v>1</v>
      </c>
      <c r="O1805">
        <v>0</v>
      </c>
      <c r="P1805">
        <v>1</v>
      </c>
    </row>
    <row r="1806" spans="1:16" x14ac:dyDescent="0.25">
      <c r="A1806">
        <v>21600309</v>
      </c>
      <c r="B1806">
        <v>2016</v>
      </c>
      <c r="C1806" t="s">
        <v>32</v>
      </c>
      <c r="D1806" t="s">
        <v>67</v>
      </c>
      <c r="E1806">
        <v>75</v>
      </c>
      <c r="F1806">
        <v>74</v>
      </c>
      <c r="G1806">
        <v>4</v>
      </c>
      <c r="H1806" s="1">
        <v>7.0717592592592594E-3</v>
      </c>
      <c r="I1806" t="s">
        <v>18</v>
      </c>
      <c r="J1806" s="2" t="str">
        <f>HYPERLINK("https://www.nba.com/stats/events?CFID=&amp;CFPARAMS=&amp;GameEventID=458&amp;GameID=0021600309&amp;Season=2016-17&amp;flag=1&amp;title=Leonard%20%20Driving%20Dunk%20(7%20PTS)", "Leonard  Driving Dunk (7 PTS)")</f>
        <v>Leonard  Driving Dunk (7 PTS)</v>
      </c>
      <c r="K1806" s="2" t="str">
        <f>HYPERLINK("https://www.nba.com/game/...-vs-...-0021600309/play-by-play?watchFullGame=true", "SAS vs MIL - Q4 10:11.00")</f>
        <v>SAS vs MIL - Q4 10:11.00</v>
      </c>
      <c r="L1806">
        <v>0</v>
      </c>
      <c r="M1806">
        <v>0</v>
      </c>
      <c r="N1806">
        <v>1</v>
      </c>
      <c r="O1806">
        <v>0</v>
      </c>
      <c r="P1806">
        <v>1</v>
      </c>
    </row>
    <row r="1807" spans="1:16" x14ac:dyDescent="0.25">
      <c r="A1807">
        <v>21600727</v>
      </c>
      <c r="B1807">
        <v>2016</v>
      </c>
      <c r="C1807" t="s">
        <v>32</v>
      </c>
      <c r="D1807" t="s">
        <v>62</v>
      </c>
      <c r="E1807">
        <v>27</v>
      </c>
      <c r="F1807">
        <v>17</v>
      </c>
      <c r="G1807">
        <v>1</v>
      </c>
      <c r="H1807" s="1">
        <v>1.0185185185185184E-3</v>
      </c>
      <c r="I1807" t="s">
        <v>18</v>
      </c>
      <c r="J1807" s="2" t="str">
        <f>HYPERLINK("https://www.nba.com/stats/events?CFID=&amp;CFPARAMS=&amp;GameEventID=138&amp;GameID=0021600727&amp;Season=2016-17&amp;flag=1&amp;title=Leonard%20%20Dunk%20(6%20PTS)%20(Ginobili%202%20AST)", "Leonard  Dunk (6 PTS) (Ginobili 2 AST)")</f>
        <v>Leonard  Dunk (6 PTS) (Ginobili 2 AST)</v>
      </c>
      <c r="K1807" s="2" t="str">
        <f>HYPERLINK("https://www.nba.com/game/...-vs-...-0021600727/play-by-play?watchFullGame=true", "SAS vs OKC - Q1 01:28.00")</f>
        <v>SAS vs OKC - Q1 01:28.00</v>
      </c>
      <c r="L1807">
        <v>0</v>
      </c>
      <c r="M1807">
        <v>0</v>
      </c>
      <c r="N1807">
        <v>1</v>
      </c>
      <c r="O1807">
        <v>0</v>
      </c>
      <c r="P1807">
        <v>1</v>
      </c>
    </row>
    <row r="1808" spans="1:16" x14ac:dyDescent="0.25">
      <c r="A1808">
        <v>21601099</v>
      </c>
      <c r="B1808">
        <v>2016</v>
      </c>
      <c r="C1808" t="s">
        <v>32</v>
      </c>
      <c r="D1808" t="s">
        <v>62</v>
      </c>
      <c r="E1808">
        <v>72</v>
      </c>
      <c r="F1808">
        <v>45</v>
      </c>
      <c r="G1808">
        <v>3</v>
      </c>
      <c r="H1808" s="1">
        <v>4.0740740740740737E-3</v>
      </c>
      <c r="I1808" t="s">
        <v>18</v>
      </c>
      <c r="J1808" s="2" t="str">
        <f>HYPERLINK("https://www.nba.com/stats/events?CFID=&amp;CFPARAMS=&amp;GameEventID=321&amp;GameID=0021601099&amp;Season=2016-17&amp;flag=1&amp;title=Leonard%20Dunk%20(19%20PTS)%20(Parker%201%20AST)", "Leonard Dunk (19 PTS) (Parker 1 AST)")</f>
        <v>Leonard Dunk (19 PTS) (Parker 1 AST)</v>
      </c>
      <c r="K1808" s="2" t="str">
        <f>HYPERLINK("https://www.nba.com/game/...-vs-...-0021601099/play-by-play?watchFullGame=true", "SAS vs CLE - Q3 05:52.00")</f>
        <v>SAS vs CLE - Q3 05:52.00</v>
      </c>
      <c r="L1808">
        <v>0</v>
      </c>
      <c r="M1808">
        <v>0</v>
      </c>
      <c r="N1808">
        <v>1</v>
      </c>
      <c r="O1808">
        <v>0</v>
      </c>
      <c r="P1808">
        <v>1</v>
      </c>
    </row>
    <row r="1809" spans="1:16" x14ac:dyDescent="0.25">
      <c r="A1809">
        <v>41500152</v>
      </c>
      <c r="B1809" t="s">
        <v>25</v>
      </c>
      <c r="C1809" t="s">
        <v>32</v>
      </c>
      <c r="D1809" t="s">
        <v>79</v>
      </c>
      <c r="E1809">
        <v>7</v>
      </c>
      <c r="F1809">
        <v>2</v>
      </c>
      <c r="G1809">
        <v>1</v>
      </c>
      <c r="H1809" s="1">
        <v>6.1342592592592594E-3</v>
      </c>
      <c r="I1809" t="s">
        <v>18</v>
      </c>
      <c r="J1809" s="2" t="str">
        <f>HYPERLINK("https://www.nba.com/stats/events?CFID=&amp;CFPARAMS=&amp;GameEventID=18&amp;GameID=0041500152&amp;Season=2015-16&amp;flag=1&amp;title=Leonard%20%20Reverse%20Dunk%20(2%20PTS)%20(Parker%202%20AST)", "Leonard  Reverse Dunk (2 PTS) (Parker 2 AST)")</f>
        <v>Leonard  Reverse Dunk (2 PTS) (Parker 2 AST)</v>
      </c>
      <c r="K1809" s="2" t="str">
        <f>HYPERLINK("https://www.nba.com/game/...-vs-...-0041500152/play-by-play?watchFullGame=true", "SAS vs MEM - Q1 08:50.00")</f>
        <v>SAS vs MEM - Q1 08:50.00</v>
      </c>
      <c r="L1809">
        <v>0</v>
      </c>
      <c r="M1809">
        <v>0</v>
      </c>
      <c r="N1809">
        <v>1</v>
      </c>
      <c r="O1809">
        <v>0</v>
      </c>
      <c r="P1809">
        <v>1</v>
      </c>
    </row>
    <row r="1810" spans="1:16" x14ac:dyDescent="0.25">
      <c r="A1810">
        <v>21300898</v>
      </c>
      <c r="B1810">
        <v>2013</v>
      </c>
      <c r="C1810" t="s">
        <v>32</v>
      </c>
      <c r="D1810" t="s">
        <v>57</v>
      </c>
      <c r="E1810">
        <v>80</v>
      </c>
      <c r="F1810">
        <v>108</v>
      </c>
      <c r="G1810">
        <v>4</v>
      </c>
      <c r="H1810" s="1">
        <v>4.7337962962962967E-3</v>
      </c>
      <c r="I1810" t="s">
        <v>18</v>
      </c>
      <c r="J1810" s="2" t="str">
        <f>HYPERLINK("https://www.nba.com/stats/events?CFID=&amp;CFPARAMS=&amp;GameEventID=485&amp;GameID=0021300898&amp;Season=2013-14&amp;flag=1&amp;title=Leonard%20%20Layup%20(18%20PTS)%20(Green%203%20AST)", "Leonard  Layup (18 PTS) (Green 3 AST)")</f>
        <v>Leonard  Layup (18 PTS) (Green 3 AST)</v>
      </c>
      <c r="K1810" s="2" t="str">
        <f>HYPERLINK("https://www.nba.com/game/...-vs-...-0021300898/play-by-play?watchFullGame=true", "SAS vs CLE - Q4 06:49.00")</f>
        <v>SAS vs CLE - Q4 06:49.00</v>
      </c>
      <c r="L1810">
        <v>0</v>
      </c>
      <c r="M1810">
        <v>0</v>
      </c>
      <c r="N1810">
        <v>1</v>
      </c>
      <c r="O1810">
        <v>0</v>
      </c>
      <c r="P1810">
        <v>1</v>
      </c>
    </row>
    <row r="1811" spans="1:16" x14ac:dyDescent="0.25">
      <c r="A1811">
        <v>21400595</v>
      </c>
      <c r="B1811">
        <v>2014</v>
      </c>
      <c r="C1811" t="s">
        <v>32</v>
      </c>
      <c r="D1811" t="s">
        <v>62</v>
      </c>
      <c r="E1811">
        <v>43</v>
      </c>
      <c r="F1811">
        <v>37</v>
      </c>
      <c r="G1811">
        <v>2</v>
      </c>
      <c r="H1811" s="1">
        <v>5.2430555555555555E-3</v>
      </c>
      <c r="I1811" t="s">
        <v>18</v>
      </c>
      <c r="J1811" s="2" t="str">
        <f>HYPERLINK("https://www.nba.com/stats/events?CFID=&amp;CFPARAMS=&amp;GameEventID=167&amp;GameID=0021400595&amp;Season=2014-15&amp;flag=1&amp;title=Leonard%20%20Dunk%20(8%20PTS)%20(Duncan%203%20AST)", "Leonard  Dunk (8 PTS) (Duncan 3 AST)")</f>
        <v>Leonard  Dunk (8 PTS) (Duncan 3 AST)</v>
      </c>
      <c r="K1811" s="2" t="str">
        <f>HYPERLINK("https://www.nba.com/game/...-vs-...-0021400595/play-by-play?watchFullGame=true", "SAS vs POR - Q2 07:33.00")</f>
        <v>SAS vs POR - Q2 07:33.00</v>
      </c>
      <c r="L1811">
        <v>0</v>
      </c>
      <c r="M1811">
        <v>0</v>
      </c>
      <c r="N1811">
        <v>1</v>
      </c>
      <c r="O1811">
        <v>0</v>
      </c>
      <c r="P1811">
        <v>1</v>
      </c>
    </row>
    <row r="1812" spans="1:16" x14ac:dyDescent="0.25">
      <c r="A1812">
        <v>21400931</v>
      </c>
      <c r="B1812">
        <v>2014</v>
      </c>
      <c r="C1812" t="s">
        <v>32</v>
      </c>
      <c r="D1812" t="s">
        <v>62</v>
      </c>
      <c r="E1812">
        <v>17</v>
      </c>
      <c r="F1812">
        <v>10</v>
      </c>
      <c r="G1812">
        <v>1</v>
      </c>
      <c r="H1812" s="1">
        <v>3.2175925925925926E-3</v>
      </c>
      <c r="I1812" t="s">
        <v>18</v>
      </c>
      <c r="J1812" s="2" t="str">
        <f>HYPERLINK("https://www.nba.com/stats/events?CFID=&amp;CFPARAMS=&amp;GameEventID=67&amp;GameID=0021400931&amp;Season=2014-15&amp;flag=1&amp;title=Leonard%20%20Dunk%20(4%20PTS)%20(Splitter%202%20AST)", "Leonard  Dunk (4 PTS) (Splitter 2 AST)")</f>
        <v>Leonard  Dunk (4 PTS) (Splitter 2 AST)</v>
      </c>
      <c r="K1812" s="2" t="str">
        <f>HYPERLINK("https://www.nba.com/game/...-vs-...-0021400931/play-by-play?watchFullGame=true", "SAS vs CHI - Q1 04:38.00")</f>
        <v>SAS vs CHI - Q1 04:38.00</v>
      </c>
      <c r="L1812">
        <v>0</v>
      </c>
      <c r="M1812">
        <v>0</v>
      </c>
      <c r="N1812">
        <v>1</v>
      </c>
      <c r="O1812">
        <v>0</v>
      </c>
      <c r="P1812">
        <v>1</v>
      </c>
    </row>
    <row r="1813" spans="1:16" x14ac:dyDescent="0.25">
      <c r="A1813">
        <v>21401150</v>
      </c>
      <c r="B1813">
        <v>2014</v>
      </c>
      <c r="C1813" t="s">
        <v>32</v>
      </c>
      <c r="D1813" t="s">
        <v>62</v>
      </c>
      <c r="E1813">
        <v>79</v>
      </c>
      <c r="F1813">
        <v>59</v>
      </c>
      <c r="G1813">
        <v>3</v>
      </c>
      <c r="H1813" s="1">
        <v>3.1828703703703702E-3</v>
      </c>
      <c r="I1813" t="s">
        <v>18</v>
      </c>
      <c r="J1813" s="2" t="str">
        <f>HYPERLINK("https://www.nba.com/stats/events?CFID=&amp;CFPARAMS=&amp;GameEventID=306&amp;GameID=0021401150&amp;Season=2014-15&amp;flag=1&amp;title=Leonard%20%20Dunk%20(26%20PTS)", "Leonard  Dunk (26 PTS)")</f>
        <v>Leonard  Dunk (26 PTS)</v>
      </c>
      <c r="K1813" s="2" t="str">
        <f>HYPERLINK("https://www.nba.com/game/...-vs-...-0021401150/play-by-play?watchFullGame=true", "SAS vs GSW - Q3 04:35.00")</f>
        <v>SAS vs GSW - Q3 04:35.00</v>
      </c>
      <c r="L1813">
        <v>0</v>
      </c>
      <c r="M1813">
        <v>0</v>
      </c>
      <c r="N1813">
        <v>1</v>
      </c>
      <c r="O1813">
        <v>0</v>
      </c>
      <c r="P1813">
        <v>1</v>
      </c>
    </row>
    <row r="1814" spans="1:16" x14ac:dyDescent="0.25">
      <c r="A1814">
        <v>21600336</v>
      </c>
      <c r="B1814">
        <v>2016</v>
      </c>
      <c r="C1814" t="s">
        <v>32</v>
      </c>
      <c r="D1814" t="s">
        <v>67</v>
      </c>
      <c r="E1814">
        <v>65</v>
      </c>
      <c r="F1814">
        <v>49</v>
      </c>
      <c r="G1814">
        <v>3</v>
      </c>
      <c r="H1814" s="1">
        <v>4.0277777777777777E-3</v>
      </c>
      <c r="I1814" t="s">
        <v>18</v>
      </c>
      <c r="J1814" s="2" t="str">
        <f>HYPERLINK("https://www.nba.com/stats/events?CFID=&amp;CFPARAMS=&amp;GameEventID=328&amp;GameID=0021600336&amp;Season=2016-17&amp;flag=1&amp;title=Leonard%20%20Driving%20Dunk%20(11%20PTS)%20(Ginobili%202%20AST)", "Leonard  Driving Dunk (11 PTS) (Ginobili 2 AST)")</f>
        <v>Leonard  Driving Dunk (11 PTS) (Ginobili 2 AST)</v>
      </c>
      <c r="K1814" s="2" t="str">
        <f>HYPERLINK("https://www.nba.com/game/...-vs-...-0021600336/play-by-play?watchFullGame=true", "SAS vs CHI - Q3 05:48.00")</f>
        <v>SAS vs CHI - Q3 05:48.00</v>
      </c>
      <c r="L1814">
        <v>0</v>
      </c>
      <c r="M1814">
        <v>0</v>
      </c>
      <c r="N1814">
        <v>1</v>
      </c>
      <c r="O1814">
        <v>0</v>
      </c>
      <c r="P1814">
        <v>1</v>
      </c>
    </row>
    <row r="1815" spans="1:16" x14ac:dyDescent="0.25">
      <c r="A1815">
        <v>21600383</v>
      </c>
      <c r="B1815">
        <v>2016</v>
      </c>
      <c r="C1815" t="s">
        <v>32</v>
      </c>
      <c r="D1815" t="s">
        <v>63</v>
      </c>
      <c r="E1815">
        <v>58</v>
      </c>
      <c r="F1815">
        <v>47</v>
      </c>
      <c r="G1815">
        <v>3</v>
      </c>
      <c r="H1815" s="1">
        <v>8.1828703703703699E-3</v>
      </c>
      <c r="I1815" t="s">
        <v>18</v>
      </c>
      <c r="J1815" s="2" t="str">
        <f>HYPERLINK("https://www.nba.com/stats/events?CFID=&amp;CFPARAMS=&amp;GameEventID=241&amp;GameID=0021600383&amp;Season=2016-17&amp;flag=1&amp;title=Leonard%20%20Running%20Dunk%20(16%20PTS)", "Leonard  Running Dunk (16 PTS)")</f>
        <v>Leonard  Running Dunk (16 PTS)</v>
      </c>
      <c r="K1815" s="2" t="str">
        <f>HYPERLINK("https://www.nba.com/game/...-vs-...-0021600383/play-by-play?watchFullGame=true", "SAS vs BOS - Q3 11:47.00")</f>
        <v>SAS vs BOS - Q3 11:47.00</v>
      </c>
      <c r="L1815">
        <v>0</v>
      </c>
      <c r="M1815">
        <v>0</v>
      </c>
      <c r="N1815">
        <v>1</v>
      </c>
      <c r="O1815">
        <v>0</v>
      </c>
      <c r="P1815">
        <v>1</v>
      </c>
    </row>
    <row r="1816" spans="1:16" x14ac:dyDescent="0.25">
      <c r="A1816">
        <v>21601011</v>
      </c>
      <c r="B1816">
        <v>2016</v>
      </c>
      <c r="C1816" t="s">
        <v>32</v>
      </c>
      <c r="D1816" t="s">
        <v>67</v>
      </c>
      <c r="E1816">
        <v>61</v>
      </c>
      <c r="F1816">
        <v>60</v>
      </c>
      <c r="G1816">
        <v>3</v>
      </c>
      <c r="H1816" s="1">
        <v>5.9722222222222225E-3</v>
      </c>
      <c r="I1816" t="s">
        <v>18</v>
      </c>
      <c r="J1816" s="2" t="str">
        <f>HYPERLINK("https://www.nba.com/stats/events?CFID=&amp;CFPARAMS=&amp;GameEventID=254&amp;GameID=0021601011&amp;Season=2016-17&amp;flag=1&amp;title=Leonard%20%20Driving%20Dunk%20(21%20PTS)%20(Aldridge%203%20AST)", "Leonard  Driving Dunk (21 PTS) (Aldridge 3 AST)")</f>
        <v>Leonard  Driving Dunk (21 PTS) (Aldridge 3 AST)</v>
      </c>
      <c r="K1816" s="2" t="str">
        <f>HYPERLINK("https://www.nba.com/game/...-vs-...-0021601011/play-by-play?watchFullGame=true", "SAS vs POR - Q3 08:36.00")</f>
        <v>SAS vs POR - Q3 08:36.00</v>
      </c>
      <c r="L1816">
        <v>0</v>
      </c>
      <c r="M1816">
        <v>0</v>
      </c>
      <c r="N1816">
        <v>1</v>
      </c>
      <c r="O1816">
        <v>0</v>
      </c>
      <c r="P1816">
        <v>1</v>
      </c>
    </row>
    <row r="1817" spans="1:16" x14ac:dyDescent="0.25">
      <c r="A1817">
        <v>41400161</v>
      </c>
      <c r="B1817" t="s">
        <v>28</v>
      </c>
      <c r="C1817" t="s">
        <v>32</v>
      </c>
      <c r="D1817" t="s">
        <v>60</v>
      </c>
      <c r="E1817">
        <v>18</v>
      </c>
      <c r="F1817">
        <v>10</v>
      </c>
      <c r="G1817">
        <v>1</v>
      </c>
      <c r="H1817" s="1">
        <v>4.5601851851851853E-3</v>
      </c>
      <c r="I1817" t="s">
        <v>18</v>
      </c>
      <c r="J1817" s="2" t="str">
        <f>HYPERLINK("https://www.nba.com/stats/events?CFID=&amp;CFPARAMS=&amp;GameEventID=58&amp;GameID=0041400161&amp;Season=2014-15&amp;flag=1&amp;title=Leonard%20%20Alley%20Oop%20Dunk%20(2%20PTS)%20(Duncan%202%20AST)", "Leonard  Alley Oop Dunk (2 PTS) (Duncan 2 AST)")</f>
        <v>Leonard  Alley Oop Dunk (2 PTS) (Duncan 2 AST)</v>
      </c>
      <c r="K1817" s="2" t="str">
        <f>HYPERLINK("https://www.nba.com/game/...-vs-...-0041400161/play-by-play?watchFullGame=true", "SAS vs LAC - Q1 06:34.00")</f>
        <v>SAS vs LAC - Q1 06:34.00</v>
      </c>
      <c r="L1817">
        <v>0</v>
      </c>
      <c r="M1817">
        <v>0</v>
      </c>
      <c r="N1817">
        <v>1</v>
      </c>
      <c r="O1817">
        <v>0</v>
      </c>
      <c r="P1817">
        <v>1</v>
      </c>
    </row>
    <row r="1818" spans="1:16" x14ac:dyDescent="0.25">
      <c r="A1818">
        <v>41500231</v>
      </c>
      <c r="B1818" t="s">
        <v>25</v>
      </c>
      <c r="C1818" t="s">
        <v>32</v>
      </c>
      <c r="D1818" t="s">
        <v>63</v>
      </c>
      <c r="E1818">
        <v>17</v>
      </c>
      <c r="F1818">
        <v>6</v>
      </c>
      <c r="G1818">
        <v>1</v>
      </c>
      <c r="H1818" s="1">
        <v>5.2314814814814811E-3</v>
      </c>
      <c r="I1818" t="s">
        <v>18</v>
      </c>
      <c r="J1818" s="2" t="str">
        <f>HYPERLINK("https://www.nba.com/stats/events?CFID=&amp;CFPARAMS=&amp;GameEventID=32&amp;GameID=0041500231&amp;Season=2015-16&amp;flag=1&amp;title=Leonard%20%20Running%20Dunk%20(6%20PTS)%20(Duncan%201%20AST)", "Leonard  Running Dunk (6 PTS) (Duncan 1 AST)")</f>
        <v>Leonard  Running Dunk (6 PTS) (Duncan 1 AST)</v>
      </c>
      <c r="K1818" s="2" t="str">
        <f>HYPERLINK("https://www.nba.com/game/...-vs-...-0041500231/play-by-play?watchFullGame=true", "SAS vs OKC - Q1 07:32.00")</f>
        <v>SAS vs OKC - Q1 07:32.00</v>
      </c>
      <c r="L1818">
        <v>0</v>
      </c>
      <c r="M1818">
        <v>0</v>
      </c>
      <c r="N1818">
        <v>1</v>
      </c>
      <c r="O1818">
        <v>0</v>
      </c>
      <c r="P1818">
        <v>1</v>
      </c>
    </row>
    <row r="1819" spans="1:16" x14ac:dyDescent="0.25">
      <c r="A1819">
        <v>41500236</v>
      </c>
      <c r="B1819" t="s">
        <v>25</v>
      </c>
      <c r="C1819" t="s">
        <v>32</v>
      </c>
      <c r="D1819" t="s">
        <v>67</v>
      </c>
      <c r="E1819">
        <v>74</v>
      </c>
      <c r="F1819">
        <v>49</v>
      </c>
      <c r="G1819">
        <v>3</v>
      </c>
      <c r="H1819" s="1">
        <v>4.0740740740740737E-3</v>
      </c>
      <c r="I1819" t="s">
        <v>18</v>
      </c>
      <c r="J1819" s="2" t="str">
        <f>HYPERLINK("https://www.nba.com/stats/events?CFID=&amp;CFPARAMS=&amp;GameEventID=315&amp;GameID=0041500236&amp;Season=2015-16&amp;flag=1&amp;title=Leonard%20%20Driving%20Dunk%20(12%20PTS)", "Leonard  Driving Dunk (12 PTS)")</f>
        <v>Leonard  Driving Dunk (12 PTS)</v>
      </c>
      <c r="K1819" s="2" t="str">
        <f>HYPERLINK("https://www.nba.com/game/...-vs-...-0041500236/play-by-play?watchFullGame=true", "SAS vs OKC - Q3 05:52.00")</f>
        <v>SAS vs OKC - Q3 05:52.00</v>
      </c>
      <c r="L1819">
        <v>0</v>
      </c>
      <c r="M1819">
        <v>0</v>
      </c>
      <c r="N1819">
        <v>1</v>
      </c>
      <c r="O1819">
        <v>0</v>
      </c>
      <c r="P1819">
        <v>1</v>
      </c>
    </row>
    <row r="1820" spans="1:16" x14ac:dyDescent="0.25">
      <c r="A1820">
        <v>41600311</v>
      </c>
      <c r="B1820" t="s">
        <v>30</v>
      </c>
      <c r="C1820" t="s">
        <v>32</v>
      </c>
      <c r="D1820" t="s">
        <v>67</v>
      </c>
      <c r="E1820">
        <v>18</v>
      </c>
      <c r="F1820">
        <v>32</v>
      </c>
      <c r="G1820">
        <v>2</v>
      </c>
      <c r="H1820" s="1">
        <v>7.5578703703703702E-3</v>
      </c>
      <c r="I1820" t="s">
        <v>18</v>
      </c>
      <c r="J1820" s="2" t="str">
        <f>HYPERLINK("https://www.nba.com/stats/events?CFID=&amp;CFPARAMS=&amp;GameEventID=131&amp;GameID=0041600311&amp;Season=2016-17&amp;flag=1&amp;title=Leonard%20%20Driving%20Dunk%20(6%20PTS)", "Leonard  Driving Dunk (6 PTS)")</f>
        <v>Leonard  Driving Dunk (6 PTS)</v>
      </c>
      <c r="K1820" s="2" t="str">
        <f>HYPERLINK("https://www.nba.com/game/...-vs-...-0041600311/play-by-play?watchFullGame=true", "SAS vs GSW - Q2 10:53.00")</f>
        <v>SAS vs GSW - Q2 10:53.00</v>
      </c>
      <c r="L1820">
        <v>0</v>
      </c>
      <c r="M1820">
        <v>0</v>
      </c>
      <c r="N1820">
        <v>1</v>
      </c>
      <c r="O1820">
        <v>0</v>
      </c>
      <c r="P1820">
        <v>1</v>
      </c>
    </row>
    <row r="1821" spans="1:16" x14ac:dyDescent="0.25">
      <c r="A1821">
        <v>21400354</v>
      </c>
      <c r="B1821">
        <v>2014</v>
      </c>
      <c r="C1821" t="s">
        <v>32</v>
      </c>
      <c r="D1821" t="s">
        <v>62</v>
      </c>
      <c r="E1821">
        <v>46</v>
      </c>
      <c r="F1821">
        <v>62</v>
      </c>
      <c r="G1821">
        <v>3</v>
      </c>
      <c r="H1821" s="1">
        <v>3.0671296296296297E-3</v>
      </c>
      <c r="I1821" t="s">
        <v>18</v>
      </c>
      <c r="J1821" s="2" t="str">
        <f>HYPERLINK("https://www.nba.com/stats/events?CFID=&amp;CFPARAMS=&amp;GameEventID=345&amp;GameID=0021400354&amp;Season=2014-15&amp;flag=1&amp;title=Leonard%20%20Dunk%20(12%20PTS)%20(Ginobili%204%20AST)", "Leonard  Dunk (12 PTS) (Ginobili 4 AST)")</f>
        <v>Leonard  Dunk (12 PTS) (Ginobili 4 AST)</v>
      </c>
      <c r="K1821" s="2" t="str">
        <f>HYPERLINK("https://www.nba.com/game/...-vs-...-0021400354/play-by-play?watchFullGame=true", "SAS vs DEN - Q3 04:25.00")</f>
        <v>SAS vs DEN - Q3 04:25.00</v>
      </c>
      <c r="L1821">
        <v>0</v>
      </c>
      <c r="M1821">
        <v>0</v>
      </c>
      <c r="N1821">
        <v>1</v>
      </c>
      <c r="O1821">
        <v>0</v>
      </c>
      <c r="P1821">
        <v>1</v>
      </c>
    </row>
    <row r="1822" spans="1:16" x14ac:dyDescent="0.25">
      <c r="A1822">
        <v>21400648</v>
      </c>
      <c r="B1822">
        <v>2014</v>
      </c>
      <c r="C1822" t="s">
        <v>32</v>
      </c>
      <c r="D1822" t="s">
        <v>62</v>
      </c>
      <c r="E1822">
        <v>21</v>
      </c>
      <c r="F1822">
        <v>8</v>
      </c>
      <c r="G1822">
        <v>1</v>
      </c>
      <c r="H1822" s="1">
        <v>2.5578703703703705E-3</v>
      </c>
      <c r="I1822" t="s">
        <v>18</v>
      </c>
      <c r="J1822" s="2" t="str">
        <f>HYPERLINK("https://www.nba.com/stats/events?CFID=&amp;CFPARAMS=&amp;GameEventID=72&amp;GameID=0021400648&amp;Season=2014-15&amp;flag=1&amp;title=Leonard%20Dunk%20(7%20PTS)", "Leonard Dunk (7 PTS)")</f>
        <v>Leonard Dunk (7 PTS)</v>
      </c>
      <c r="K1822" s="2" t="str">
        <f>HYPERLINK("https://www.nba.com/game/...-vs-...-0021400648/play-by-play?watchFullGame=true", "SAS vs LAL - Q1 03:41.00")</f>
        <v>SAS vs LAL - Q1 03:41.00</v>
      </c>
      <c r="L1822">
        <v>0</v>
      </c>
      <c r="M1822">
        <v>0</v>
      </c>
      <c r="N1822">
        <v>1</v>
      </c>
      <c r="O1822">
        <v>0</v>
      </c>
      <c r="P1822">
        <v>1</v>
      </c>
    </row>
    <row r="1823" spans="1:16" x14ac:dyDescent="0.25">
      <c r="A1823">
        <v>21400739</v>
      </c>
      <c r="B1823">
        <v>2014</v>
      </c>
      <c r="C1823" t="s">
        <v>32</v>
      </c>
      <c r="D1823" t="s">
        <v>62</v>
      </c>
      <c r="E1823">
        <v>44</v>
      </c>
      <c r="F1823">
        <v>38</v>
      </c>
      <c r="G1823">
        <v>2</v>
      </c>
      <c r="H1823" s="1">
        <v>2.0023148148148148E-3</v>
      </c>
      <c r="I1823" t="s">
        <v>18</v>
      </c>
      <c r="J1823" s="2" t="str">
        <f>HYPERLINK("https://www.nba.com/stats/events?CFID=&amp;CFPARAMS=&amp;GameEventID=198&amp;GameID=0021400739&amp;Season=2014-15&amp;flag=1&amp;title=Leonard%20%20Dunk%20(10%20PTS)", "Leonard  Dunk (10 PTS)")</f>
        <v>Leonard  Dunk (10 PTS)</v>
      </c>
      <c r="K1823" s="2" t="str">
        <f>HYPERLINK("https://www.nba.com/game/...-vs-...-0021400739/play-by-play?watchFullGame=true", "SAS vs ORL - Q2 02:53.00")</f>
        <v>SAS vs ORL - Q2 02:53.00</v>
      </c>
      <c r="L1823">
        <v>0</v>
      </c>
      <c r="M1823">
        <v>0</v>
      </c>
      <c r="N1823">
        <v>1</v>
      </c>
      <c r="O1823">
        <v>0</v>
      </c>
      <c r="P1823">
        <v>1</v>
      </c>
    </row>
    <row r="1824" spans="1:16" x14ac:dyDescent="0.25">
      <c r="A1824">
        <v>21401150</v>
      </c>
      <c r="B1824">
        <v>2014</v>
      </c>
      <c r="C1824" t="s">
        <v>32</v>
      </c>
      <c r="D1824" t="s">
        <v>60</v>
      </c>
      <c r="E1824">
        <v>45</v>
      </c>
      <c r="F1824">
        <v>30</v>
      </c>
      <c r="G1824">
        <v>2</v>
      </c>
      <c r="H1824" s="1">
        <v>2.7662037037037039E-3</v>
      </c>
      <c r="I1824" t="s">
        <v>18</v>
      </c>
      <c r="J1824" s="2" t="str">
        <f>HYPERLINK("https://www.nba.com/stats/events?CFID=&amp;CFPARAMS=&amp;GameEventID=203&amp;GameID=0021401150&amp;Season=2014-15&amp;flag=1&amp;title=Leonard%20%20Alley%20Oop%20Dunk%20(13%20PTS)%20(Green%203%20AST)", "Leonard  Alley Oop Dunk (13 PTS) (Green 3 AST)")</f>
        <v>Leonard  Alley Oop Dunk (13 PTS) (Green 3 AST)</v>
      </c>
      <c r="K1824" s="2" t="str">
        <f>HYPERLINK("https://www.nba.com/game/...-vs-...-0021401150/play-by-play?watchFullGame=true", "SAS vs GSW - Q2 03:59.00")</f>
        <v>SAS vs GSW - Q2 03:59.00</v>
      </c>
      <c r="L1824">
        <v>0</v>
      </c>
      <c r="M1824">
        <v>0</v>
      </c>
      <c r="N1824">
        <v>1</v>
      </c>
      <c r="O1824">
        <v>0</v>
      </c>
      <c r="P1824">
        <v>1</v>
      </c>
    </row>
    <row r="1825" spans="1:16" x14ac:dyDescent="0.25">
      <c r="A1825">
        <v>21500195</v>
      </c>
      <c r="B1825">
        <v>2015</v>
      </c>
      <c r="C1825" t="s">
        <v>32</v>
      </c>
      <c r="D1825" t="s">
        <v>62</v>
      </c>
      <c r="E1825">
        <v>66</v>
      </c>
      <c r="F1825">
        <v>57</v>
      </c>
      <c r="G1825">
        <v>3</v>
      </c>
      <c r="H1825" s="1">
        <v>2.8356481481481483E-3</v>
      </c>
      <c r="I1825" t="s">
        <v>18</v>
      </c>
      <c r="J1825" s="2" t="str">
        <f>HYPERLINK("https://www.nba.com/stats/events?CFID=&amp;CFPARAMS=&amp;GameEventID=316&amp;GameID=0021500195&amp;Season=2015-16&amp;flag=1&amp;title=Leonard%20Dunk%20(11%20PTS)%20(Diaw%202%20AST)", "Leonard Dunk (11 PTS) (Diaw 2 AST)")</f>
        <v>Leonard Dunk (11 PTS) (Diaw 2 AST)</v>
      </c>
      <c r="K1825" s="2" t="str">
        <f>HYPERLINK("https://www.nba.com/game/...-vs-...-0021500195/play-by-play?watchFullGame=true", "SAS vs MEM - Q3 04:05.00")</f>
        <v>SAS vs MEM - Q3 04:05.00</v>
      </c>
      <c r="L1825">
        <v>0</v>
      </c>
      <c r="M1825">
        <v>0</v>
      </c>
      <c r="N1825">
        <v>1</v>
      </c>
      <c r="O1825">
        <v>0</v>
      </c>
      <c r="P1825">
        <v>1</v>
      </c>
    </row>
    <row r="1826" spans="1:16" x14ac:dyDescent="0.25">
      <c r="A1826">
        <v>21500207</v>
      </c>
      <c r="B1826">
        <v>2015</v>
      </c>
      <c r="C1826" t="s">
        <v>32</v>
      </c>
      <c r="D1826" t="s">
        <v>62</v>
      </c>
      <c r="E1826">
        <v>16</v>
      </c>
      <c r="F1826">
        <v>13</v>
      </c>
      <c r="G1826">
        <v>1</v>
      </c>
      <c r="H1826" s="1">
        <v>2.9513888888888888E-3</v>
      </c>
      <c r="I1826" t="s">
        <v>18</v>
      </c>
      <c r="J1826" s="2" t="str">
        <f>HYPERLINK("https://www.nba.com/stats/events?CFID=&amp;CFPARAMS=&amp;GameEventID=70&amp;GameID=0021500207&amp;Season=2015-16&amp;flag=1&amp;title=Leonard%20%20Dunk%20(9%20PTS)%20(Parker%201%20AST)", "Leonard  Dunk (9 PTS) (Parker 1 AST)")</f>
        <v>Leonard  Dunk (9 PTS) (Parker 1 AST)</v>
      </c>
      <c r="K1826" s="2" t="str">
        <f>HYPERLINK("https://www.nba.com/game/...-vs-...-0021500207/play-by-play?watchFullGame=true", "SAS vs PHX - Q1 04:15.00")</f>
        <v>SAS vs PHX - Q1 04:15.00</v>
      </c>
      <c r="L1826">
        <v>0</v>
      </c>
      <c r="M1826">
        <v>0</v>
      </c>
      <c r="N1826">
        <v>1</v>
      </c>
      <c r="O1826">
        <v>0</v>
      </c>
      <c r="P1826">
        <v>1</v>
      </c>
    </row>
    <row r="1827" spans="1:16" x14ac:dyDescent="0.25">
      <c r="A1827">
        <v>21600625</v>
      </c>
      <c r="B1827">
        <v>2016</v>
      </c>
      <c r="C1827" t="s">
        <v>32</v>
      </c>
      <c r="D1827" t="s">
        <v>63</v>
      </c>
      <c r="E1827">
        <v>50</v>
      </c>
      <c r="F1827">
        <v>53</v>
      </c>
      <c r="G1827">
        <v>2</v>
      </c>
      <c r="H1827" s="1">
        <v>3.1944444444444446E-3</v>
      </c>
      <c r="I1827" t="s">
        <v>18</v>
      </c>
      <c r="J1827" s="2" t="str">
        <f>HYPERLINK("https://www.nba.com/stats/events?CFID=&amp;CFPARAMS=&amp;GameEventID=226&amp;GameID=0021600625&amp;Season=2016-17&amp;flag=1&amp;title=Leonard%20%20Running%20Dunk%20(8%20PTS)", "Leonard  Running Dunk (8 PTS)")</f>
        <v>Leonard  Running Dunk (8 PTS)</v>
      </c>
      <c r="K1827" s="2" t="str">
        <f>HYPERLINK("https://www.nba.com/game/...-vs-...-0021600625/play-by-play?watchFullGame=true", "SAS vs MIN - Q2 04:36.00")</f>
        <v>SAS vs MIN - Q2 04:36.00</v>
      </c>
      <c r="L1827">
        <v>0</v>
      </c>
      <c r="M1827">
        <v>0</v>
      </c>
      <c r="N1827">
        <v>1</v>
      </c>
      <c r="O1827">
        <v>0</v>
      </c>
      <c r="P1827">
        <v>1</v>
      </c>
    </row>
    <row r="1828" spans="1:16" x14ac:dyDescent="0.25">
      <c r="A1828">
        <v>21600657</v>
      </c>
      <c r="B1828">
        <v>2016</v>
      </c>
      <c r="C1828" t="s">
        <v>32</v>
      </c>
      <c r="D1828" t="s">
        <v>67</v>
      </c>
      <c r="E1828">
        <v>113</v>
      </c>
      <c r="F1828">
        <v>118</v>
      </c>
      <c r="G1828">
        <v>5</v>
      </c>
      <c r="H1828" s="1">
        <v>8.3333333333333331E-5</v>
      </c>
      <c r="I1828" t="s">
        <v>18</v>
      </c>
      <c r="J1828" s="2" t="str">
        <f>HYPERLINK("https://www.nba.com/stats/events?CFID=&amp;CFPARAMS=&amp;GameEventID=572&amp;GameID=0021600657&amp;Season=2016-17&amp;flag=1&amp;title=Leonard%20%20Driving%20Dunk%20(41%20PTS)", "Leonard  Driving Dunk (41 PTS)")</f>
        <v>Leonard  Driving Dunk (41 PTS)</v>
      </c>
      <c r="K1828" s="2" t="str">
        <f>HYPERLINK("https://www.nba.com/game/...-vs-...-0021600657/play-by-play?watchFullGame=true", "SAS vs CLE - Q5 00:07.20")</f>
        <v>SAS vs CLE - Q5 00:07.20</v>
      </c>
      <c r="L1828">
        <v>0</v>
      </c>
      <c r="M1828">
        <v>0</v>
      </c>
      <c r="N1828">
        <v>1</v>
      </c>
      <c r="O1828">
        <v>0</v>
      </c>
      <c r="P1828">
        <v>1</v>
      </c>
    </row>
    <row r="1829" spans="1:16" x14ac:dyDescent="0.25">
      <c r="A1829">
        <v>21600727</v>
      </c>
      <c r="B1829">
        <v>2016</v>
      </c>
      <c r="C1829" t="s">
        <v>32</v>
      </c>
      <c r="D1829" t="s">
        <v>67</v>
      </c>
      <c r="E1829">
        <v>101</v>
      </c>
      <c r="F1829">
        <v>84</v>
      </c>
      <c r="G1829">
        <v>4</v>
      </c>
      <c r="H1829" s="1">
        <v>3.472222222222222E-3</v>
      </c>
      <c r="I1829" t="s">
        <v>18</v>
      </c>
      <c r="J1829" s="2" t="str">
        <f>HYPERLINK("https://www.nba.com/stats/events?CFID=&amp;CFPARAMS=&amp;GameEventID=585&amp;GameID=0021600727&amp;Season=2016-17&amp;flag=1&amp;title=Leonard%20%20Driving%20Dunk%20(36%20PTS)", "Leonard  Driving Dunk (36 PTS)")</f>
        <v>Leonard  Driving Dunk (36 PTS)</v>
      </c>
      <c r="K1829" s="2" t="str">
        <f>HYPERLINK("https://www.nba.com/game/...-vs-...-0021600727/play-by-play?watchFullGame=true", "SAS vs OKC - Q4 05:00.00")</f>
        <v>SAS vs OKC - Q4 05:00.00</v>
      </c>
      <c r="L1829">
        <v>0</v>
      </c>
      <c r="M1829">
        <v>0</v>
      </c>
      <c r="N1829">
        <v>1</v>
      </c>
      <c r="O1829">
        <v>0</v>
      </c>
      <c r="P1829">
        <v>1</v>
      </c>
    </row>
    <row r="1830" spans="1:16" x14ac:dyDescent="0.25">
      <c r="A1830">
        <v>21600902</v>
      </c>
      <c r="B1830">
        <v>2016</v>
      </c>
      <c r="C1830" t="s">
        <v>32</v>
      </c>
      <c r="D1830" t="s">
        <v>80</v>
      </c>
      <c r="E1830">
        <v>15</v>
      </c>
      <c r="F1830">
        <v>16</v>
      </c>
      <c r="G1830">
        <v>1</v>
      </c>
      <c r="H1830" s="1">
        <v>3.5879629629629629E-3</v>
      </c>
      <c r="I1830" t="s">
        <v>18</v>
      </c>
      <c r="J1830" s="2" t="str">
        <f>HYPERLINK("https://www.nba.com/stats/events?CFID=&amp;CFPARAMS=&amp;GameEventID=68&amp;GameID=0021600902&amp;Season=2016-17&amp;flag=1&amp;title=Leonard%20%20Tip%20Dunk%20Shot%20(4%20PTS)", "Leonard  Tip Dunk Shot (4 PTS)")</f>
        <v>Leonard  Tip Dunk Shot (4 PTS)</v>
      </c>
      <c r="K1830" s="2" t="str">
        <f>HYPERLINK("https://www.nba.com/game/...-vs-...-0021600902/play-by-play?watchFullGame=true", "SAS vs IND - Q1 05:10.00")</f>
        <v>SAS vs IND - Q1 05:10.00</v>
      </c>
      <c r="L1830">
        <v>0</v>
      </c>
      <c r="M1830">
        <v>0</v>
      </c>
      <c r="N1830">
        <v>1</v>
      </c>
      <c r="O1830">
        <v>0</v>
      </c>
      <c r="P1830">
        <v>1</v>
      </c>
    </row>
    <row r="1831" spans="1:16" x14ac:dyDescent="0.25">
      <c r="A1831">
        <v>21600917</v>
      </c>
      <c r="B1831">
        <v>2016</v>
      </c>
      <c r="C1831" t="s">
        <v>32</v>
      </c>
      <c r="D1831" t="s">
        <v>62</v>
      </c>
      <c r="E1831">
        <v>89</v>
      </c>
      <c r="F1831">
        <v>88</v>
      </c>
      <c r="G1831">
        <v>4</v>
      </c>
      <c r="H1831" s="1">
        <v>4.4444444444444441E-4</v>
      </c>
      <c r="I1831" t="s">
        <v>18</v>
      </c>
      <c r="J1831" s="2" t="str">
        <f>HYPERLINK("https://www.nba.com/stats/events?CFID=&amp;CFPARAMS=&amp;GameEventID=557&amp;GameID=0021600917&amp;Season=2016-17&amp;flag=1&amp;title=Leonard%20%20Dunk%20(31%20PTS)", "Leonard  Dunk (31 PTS)")</f>
        <v>Leonard  Dunk (31 PTS)</v>
      </c>
      <c r="K1831" s="2" t="str">
        <f>HYPERLINK("https://www.nba.com/game/...-vs-...-0021600917/play-by-play?watchFullGame=true", "SAS vs NOP - Q4 00:38.40")</f>
        <v>SAS vs NOP - Q4 00:38.40</v>
      </c>
      <c r="L1831">
        <v>0</v>
      </c>
      <c r="M1831">
        <v>0</v>
      </c>
      <c r="N1831">
        <v>1</v>
      </c>
      <c r="O1831">
        <v>0</v>
      </c>
      <c r="P1831">
        <v>1</v>
      </c>
    </row>
    <row r="1832" spans="1:16" x14ac:dyDescent="0.25">
      <c r="A1832">
        <v>41500152</v>
      </c>
      <c r="B1832" t="s">
        <v>25</v>
      </c>
      <c r="C1832" t="s">
        <v>32</v>
      </c>
      <c r="D1832" t="s">
        <v>67</v>
      </c>
      <c r="E1832">
        <v>46</v>
      </c>
      <c r="F1832">
        <v>28</v>
      </c>
      <c r="G1832">
        <v>2</v>
      </c>
      <c r="H1832" s="1">
        <v>1.5625000000000001E-3</v>
      </c>
      <c r="I1832" t="s">
        <v>18</v>
      </c>
      <c r="J1832" s="2" t="str">
        <f>HYPERLINK("https://www.nba.com/stats/events?CFID=&amp;CFPARAMS=&amp;GameEventID=210&amp;GameID=0041500152&amp;Season=2015-16&amp;flag=1&amp;title=Leonard%20%20Driving%20Dunk%20(8%20PTS)", "Leonard  Driving Dunk (8 PTS)")</f>
        <v>Leonard  Driving Dunk (8 PTS)</v>
      </c>
      <c r="K1832" s="2" t="str">
        <f>HYPERLINK("https://www.nba.com/game/...-vs-...-0041500152/play-by-play?watchFullGame=true", "SAS vs MEM - Q2 02:15.00")</f>
        <v>SAS vs MEM - Q2 02:15.00</v>
      </c>
      <c r="L1832">
        <v>0</v>
      </c>
      <c r="M1832">
        <v>0</v>
      </c>
      <c r="N1832">
        <v>1</v>
      </c>
      <c r="O1832">
        <v>0</v>
      </c>
      <c r="P1832">
        <v>1</v>
      </c>
    </row>
    <row r="1833" spans="1:16" x14ac:dyDescent="0.25">
      <c r="A1833">
        <v>41600153</v>
      </c>
      <c r="B1833" t="s">
        <v>30</v>
      </c>
      <c r="C1833" t="s">
        <v>32</v>
      </c>
      <c r="D1833" t="s">
        <v>67</v>
      </c>
      <c r="E1833">
        <v>81</v>
      </c>
      <c r="F1833">
        <v>65</v>
      </c>
      <c r="G1833">
        <v>4</v>
      </c>
      <c r="H1833" s="1">
        <v>7.9398148148148145E-3</v>
      </c>
      <c r="I1833" t="s">
        <v>18</v>
      </c>
      <c r="J1833" s="2" t="str">
        <f>HYPERLINK("https://www.nba.com/stats/events?CFID=&amp;CFPARAMS=&amp;GameEventID=359&amp;GameID=0041600153&amp;Season=2016-17&amp;flag=1&amp;title=Leonard%20%20Driving%20Dunk%20(18%20PTS)", "Leonard  Driving Dunk (18 PTS)")</f>
        <v>Leonard  Driving Dunk (18 PTS)</v>
      </c>
      <c r="K1833" s="2" t="str">
        <f>HYPERLINK("https://www.nba.com/game/...-vs-...-0041600153/play-by-play?watchFullGame=true", "SAS vs MEM - Q4 11:26.00")</f>
        <v>SAS vs MEM - Q4 11:26.00</v>
      </c>
      <c r="L1833">
        <v>0</v>
      </c>
      <c r="M1833">
        <v>0</v>
      </c>
      <c r="N1833">
        <v>1</v>
      </c>
      <c r="O1833">
        <v>0</v>
      </c>
      <c r="P1833">
        <v>1</v>
      </c>
    </row>
    <row r="1834" spans="1:16" x14ac:dyDescent="0.25">
      <c r="A1834">
        <v>21400191</v>
      </c>
      <c r="B1834">
        <v>2014</v>
      </c>
      <c r="C1834" t="s">
        <v>32</v>
      </c>
      <c r="D1834" t="s">
        <v>62</v>
      </c>
      <c r="E1834">
        <v>47</v>
      </c>
      <c r="F1834">
        <v>32</v>
      </c>
      <c r="G1834">
        <v>2</v>
      </c>
      <c r="H1834" s="1">
        <v>1.8287037037037037E-3</v>
      </c>
      <c r="I1834" t="s">
        <v>18</v>
      </c>
      <c r="J1834" s="2" t="str">
        <f>HYPERLINK("https://www.nba.com/stats/events?CFID=&amp;CFPARAMS=&amp;GameEventID=196&amp;GameID=0021400191&amp;Season=2014-15&amp;flag=1&amp;title=Leonard%20%20Dunk%20(11%20PTS)%20(Baynes%201%20AST)", "Leonard  Dunk (11 PTS) (Baynes 1 AST)")</f>
        <v>Leonard  Dunk (11 PTS) (Baynes 1 AST)</v>
      </c>
      <c r="K1834" s="2" t="str">
        <f>HYPERLINK("https://www.nba.com/game/...-vs-...-0021400191/play-by-play?watchFullGame=true", "SAS vs BKN - Q2 02:38.00")</f>
        <v>SAS vs BKN - Q2 02:38.00</v>
      </c>
      <c r="L1834">
        <v>0</v>
      </c>
      <c r="M1834">
        <v>0</v>
      </c>
      <c r="N1834">
        <v>1</v>
      </c>
      <c r="O1834">
        <v>0</v>
      </c>
      <c r="P1834">
        <v>1</v>
      </c>
    </row>
    <row r="1835" spans="1:16" x14ac:dyDescent="0.25">
      <c r="A1835">
        <v>21400867</v>
      </c>
      <c r="B1835">
        <v>2014</v>
      </c>
      <c r="C1835" t="s">
        <v>32</v>
      </c>
      <c r="D1835" t="s">
        <v>67</v>
      </c>
      <c r="E1835">
        <v>43</v>
      </c>
      <c r="F1835">
        <v>41</v>
      </c>
      <c r="G1835">
        <v>2</v>
      </c>
      <c r="H1835" s="1">
        <v>1.4467592592592592E-3</v>
      </c>
      <c r="I1835" t="s">
        <v>18</v>
      </c>
      <c r="J1835" s="2" t="str">
        <f>HYPERLINK("https://www.nba.com/stats/events?CFID=&amp;CFPARAMS=&amp;GameEventID=250&amp;GameID=0021400867&amp;Season=2014-15&amp;flag=1&amp;title=Leonard%20%20Driving%20Dunk%20(13%20PTS)", "Leonard  Driving Dunk (13 PTS)")</f>
        <v>Leonard  Driving Dunk (13 PTS)</v>
      </c>
      <c r="K1835" s="2" t="str">
        <f>HYPERLINK("https://www.nba.com/game/...-vs-...-0021400867/play-by-play?watchFullGame=true", "SAS vs SAC - Q2 02:05.00")</f>
        <v>SAS vs SAC - Q2 02:05.00</v>
      </c>
      <c r="L1835">
        <v>0</v>
      </c>
      <c r="M1835">
        <v>0</v>
      </c>
      <c r="N1835">
        <v>1</v>
      </c>
      <c r="O1835">
        <v>0</v>
      </c>
      <c r="P1835">
        <v>1</v>
      </c>
    </row>
    <row r="1836" spans="1:16" x14ac:dyDescent="0.25">
      <c r="A1836">
        <v>21400867</v>
      </c>
      <c r="B1836">
        <v>2014</v>
      </c>
      <c r="C1836" t="s">
        <v>32</v>
      </c>
      <c r="D1836" t="s">
        <v>62</v>
      </c>
      <c r="E1836">
        <v>54</v>
      </c>
      <c r="F1836">
        <v>59</v>
      </c>
      <c r="G1836">
        <v>3</v>
      </c>
      <c r="H1836" s="1">
        <v>6.1111111111111114E-3</v>
      </c>
      <c r="I1836" t="s">
        <v>18</v>
      </c>
      <c r="J1836" s="2" t="str">
        <f>HYPERLINK("https://www.nba.com/stats/events?CFID=&amp;CFPARAMS=&amp;GameEventID=319&amp;GameID=0021400867&amp;Season=2014-15&amp;flag=1&amp;title=Leonard%20%20Dunk%20(15%20PTS)%20(Parker%202%20AST)", "Leonard  Dunk (15 PTS) (Parker 2 AST)")</f>
        <v>Leonard  Dunk (15 PTS) (Parker 2 AST)</v>
      </c>
      <c r="K1836" s="2" t="str">
        <f>HYPERLINK("https://www.nba.com/game/...-vs-...-0021400867/play-by-play?watchFullGame=true", "SAS vs SAC - Q3 08:48.00")</f>
        <v>SAS vs SAC - Q3 08:48.00</v>
      </c>
      <c r="L1836">
        <v>0</v>
      </c>
      <c r="M1836">
        <v>0</v>
      </c>
      <c r="N1836">
        <v>1</v>
      </c>
      <c r="O1836">
        <v>0</v>
      </c>
      <c r="P1836">
        <v>1</v>
      </c>
    </row>
    <row r="1837" spans="1:16" x14ac:dyDescent="0.25">
      <c r="A1837">
        <v>21500347</v>
      </c>
      <c r="B1837">
        <v>2015</v>
      </c>
      <c r="C1837" t="s">
        <v>32</v>
      </c>
      <c r="D1837" t="s">
        <v>67</v>
      </c>
      <c r="E1837">
        <v>7</v>
      </c>
      <c r="F1837">
        <v>13</v>
      </c>
      <c r="G1837">
        <v>1</v>
      </c>
      <c r="H1837" s="1">
        <v>3.8541666666666668E-3</v>
      </c>
      <c r="I1837" t="s">
        <v>18</v>
      </c>
      <c r="J1837" s="2" t="str">
        <f>HYPERLINK("https://www.nba.com/stats/events?CFID=&amp;CFPARAMS=&amp;GameEventID=61&amp;GameID=0021500347&amp;Season=2015-16&amp;flag=1&amp;title=Leonard%20%20Driving%20Dunk%20(2%20PTS)", "Leonard  Driving Dunk (2 PTS)")</f>
        <v>Leonard  Driving Dunk (2 PTS)</v>
      </c>
      <c r="K1837" s="2" t="str">
        <f>HYPERLINK("https://www.nba.com/game/...-vs-...-0021500347/play-by-play?watchFullGame=true", "SAS vs ATL - Q1 05:33.00")</f>
        <v>SAS vs ATL - Q1 05:33.00</v>
      </c>
      <c r="L1837">
        <v>0</v>
      </c>
      <c r="M1837">
        <v>0</v>
      </c>
      <c r="N1837">
        <v>1</v>
      </c>
      <c r="O1837">
        <v>0</v>
      </c>
      <c r="P1837">
        <v>1</v>
      </c>
    </row>
    <row r="1838" spans="1:16" x14ac:dyDescent="0.25">
      <c r="A1838">
        <v>21500653</v>
      </c>
      <c r="B1838">
        <v>2015</v>
      </c>
      <c r="C1838" t="s">
        <v>32</v>
      </c>
      <c r="D1838" t="s">
        <v>68</v>
      </c>
      <c r="E1838">
        <v>12</v>
      </c>
      <c r="F1838">
        <v>10</v>
      </c>
      <c r="G1838">
        <v>1</v>
      </c>
      <c r="H1838" s="1">
        <v>4.4675925925925924E-3</v>
      </c>
      <c r="I1838" t="s">
        <v>18</v>
      </c>
      <c r="J1838" s="2" t="str">
        <f>HYPERLINK("https://www.nba.com/stats/events?CFID=&amp;CFPARAMS=&amp;GameEventID=46&amp;GameID=0021500653&amp;Season=2015-16&amp;flag=1&amp;title=Leonard%20%20Cutting%20Dunk%20Shot%20(2%20PTS)%20(Duncan%201%20AST)", "Leonard  Cutting Dunk Shot (2 PTS) (Duncan 1 AST)")</f>
        <v>Leonard  Cutting Dunk Shot (2 PTS) (Duncan 1 AST)</v>
      </c>
      <c r="K1838" s="2" t="str">
        <f>HYPERLINK("https://www.nba.com/game/...-vs-...-0021500653/play-by-play?watchFullGame=true", "SAS vs LAL - Q1 06:26.00")</f>
        <v>SAS vs LAL - Q1 06:26.00</v>
      </c>
      <c r="L1838">
        <v>0</v>
      </c>
      <c r="M1838">
        <v>0</v>
      </c>
      <c r="N1838">
        <v>1</v>
      </c>
      <c r="O1838">
        <v>0</v>
      </c>
      <c r="P1838">
        <v>1</v>
      </c>
    </row>
    <row r="1839" spans="1:16" x14ac:dyDescent="0.25">
      <c r="A1839">
        <v>21500945</v>
      </c>
      <c r="B1839">
        <v>2015</v>
      </c>
      <c r="C1839" t="s">
        <v>32</v>
      </c>
      <c r="D1839" t="s">
        <v>79</v>
      </c>
      <c r="E1839">
        <v>53</v>
      </c>
      <c r="F1839">
        <v>65</v>
      </c>
      <c r="G1839">
        <v>3</v>
      </c>
      <c r="H1839" s="1">
        <v>6.7013888888888887E-3</v>
      </c>
      <c r="I1839" t="s">
        <v>18</v>
      </c>
      <c r="J1839" s="2" t="str">
        <f>HYPERLINK("https://www.nba.com/stats/events?CFID=&amp;CFPARAMS=&amp;GameEventID=276&amp;GameID=0021500945&amp;Season=2015-16&amp;flag=1&amp;title=Leonard%20%20Reverse%20Dunk%20(11%20PTS)", "Leonard  Reverse Dunk (11 PTS)")</f>
        <v>Leonard  Reverse Dunk (11 PTS)</v>
      </c>
      <c r="K1839" s="2" t="str">
        <f>HYPERLINK("https://www.nba.com/game/...-vs-...-0021500945/play-by-play?watchFullGame=true", "SAS vs MIN - Q3 09:39.00")</f>
        <v>SAS vs MIN - Q3 09:39.00</v>
      </c>
      <c r="L1839">
        <v>0</v>
      </c>
      <c r="M1839">
        <v>0</v>
      </c>
      <c r="N1839">
        <v>1</v>
      </c>
      <c r="O1839">
        <v>0</v>
      </c>
      <c r="P1839">
        <v>1</v>
      </c>
    </row>
    <row r="1840" spans="1:16" x14ac:dyDescent="0.25">
      <c r="A1840">
        <v>21600925</v>
      </c>
      <c r="B1840">
        <v>2016</v>
      </c>
      <c r="C1840" t="s">
        <v>32</v>
      </c>
      <c r="D1840" t="s">
        <v>62</v>
      </c>
      <c r="E1840">
        <v>55</v>
      </c>
      <c r="F1840">
        <v>62</v>
      </c>
      <c r="G1840">
        <v>3</v>
      </c>
      <c r="H1840" s="1">
        <v>3.8425925925925928E-3</v>
      </c>
      <c r="I1840" t="s">
        <v>18</v>
      </c>
      <c r="J1840" s="2" t="str">
        <f>HYPERLINK("https://www.nba.com/stats/events?CFID=&amp;CFPARAMS=&amp;GameEventID=323&amp;GameID=0021600925&amp;Season=2016-17&amp;flag=1&amp;title=Leonard%20%20Dunk%20(14%20PTS)", "Leonard  Dunk (14 PTS)")</f>
        <v>Leonard  Dunk (14 PTS)</v>
      </c>
      <c r="K1840" s="2" t="str">
        <f>HYPERLINK("https://www.nba.com/game/...-vs-...-0021600925/play-by-play?watchFullGame=true", "SAS vs MIN - Q3 05:32.00")</f>
        <v>SAS vs MIN - Q3 05:32.00</v>
      </c>
      <c r="L1840">
        <v>0</v>
      </c>
      <c r="M1840">
        <v>0</v>
      </c>
      <c r="N1840">
        <v>1</v>
      </c>
      <c r="O1840">
        <v>0</v>
      </c>
      <c r="P1840">
        <v>1</v>
      </c>
    </row>
    <row r="1841" spans="1:16" x14ac:dyDescent="0.25">
      <c r="A1841">
        <v>21601011</v>
      </c>
      <c r="B1841">
        <v>2016</v>
      </c>
      <c r="C1841" t="s">
        <v>32</v>
      </c>
      <c r="D1841" t="s">
        <v>62</v>
      </c>
      <c r="E1841">
        <v>71</v>
      </c>
      <c r="F1841">
        <v>66</v>
      </c>
      <c r="G1841">
        <v>3</v>
      </c>
      <c r="H1841" s="1">
        <v>3.460648148148148E-3</v>
      </c>
      <c r="I1841" t="s">
        <v>18</v>
      </c>
      <c r="J1841" s="2" t="str">
        <f>HYPERLINK("https://www.nba.com/stats/events?CFID=&amp;CFPARAMS=&amp;GameEventID=289&amp;GameID=0021601011&amp;Season=2016-17&amp;flag=1&amp;title=Leonard%20%20Dunk%20(27%20PTS)%20(Ginobili%203%20AST)", "Leonard  Dunk (27 PTS) (Ginobili 3 AST)")</f>
        <v>Leonard  Dunk (27 PTS) (Ginobili 3 AST)</v>
      </c>
      <c r="K1841" s="2" t="str">
        <f>HYPERLINK("https://www.nba.com/game/...-vs-...-0021601011/play-by-play?watchFullGame=true", "SAS vs POR - Q3 04:59.00")</f>
        <v>SAS vs POR - Q3 04:59.00</v>
      </c>
      <c r="L1841">
        <v>0</v>
      </c>
      <c r="M1841">
        <v>0</v>
      </c>
      <c r="N1841">
        <v>1</v>
      </c>
      <c r="O1841">
        <v>0</v>
      </c>
      <c r="P1841">
        <v>1</v>
      </c>
    </row>
    <row r="1842" spans="1:16" x14ac:dyDescent="0.25">
      <c r="A1842">
        <v>21601099</v>
      </c>
      <c r="B1842">
        <v>2016</v>
      </c>
      <c r="C1842" t="s">
        <v>32</v>
      </c>
      <c r="D1842" t="s">
        <v>62</v>
      </c>
      <c r="E1842">
        <v>34</v>
      </c>
      <c r="F1842">
        <v>24</v>
      </c>
      <c r="G1842">
        <v>2</v>
      </c>
      <c r="H1842" s="1">
        <v>6.3773148148148148E-3</v>
      </c>
      <c r="I1842" t="s">
        <v>18</v>
      </c>
      <c r="J1842" s="2" t="str">
        <f>HYPERLINK("https://www.nba.com/stats/events?CFID=&amp;CFPARAMS=&amp;GameEventID=147&amp;GameID=0021601099&amp;Season=2016-17&amp;flag=1&amp;title=Leonard%20Dunk%20(6%20PTS)", "Leonard Dunk (6 PTS)")</f>
        <v>Leonard Dunk (6 PTS)</v>
      </c>
      <c r="K1842" s="2" t="str">
        <f>HYPERLINK("https://www.nba.com/game/...-vs-...-0021601099/play-by-play?watchFullGame=true", "SAS vs CLE - Q2 09:11.00")</f>
        <v>SAS vs CLE - Q2 09:11.00</v>
      </c>
      <c r="L1842">
        <v>0</v>
      </c>
      <c r="M1842">
        <v>0</v>
      </c>
      <c r="N1842">
        <v>1</v>
      </c>
      <c r="O1842">
        <v>0</v>
      </c>
      <c r="P1842">
        <v>1</v>
      </c>
    </row>
    <row r="1843" spans="1:16" x14ac:dyDescent="0.25">
      <c r="A1843">
        <v>41500233</v>
      </c>
      <c r="B1843" t="s">
        <v>25</v>
      </c>
      <c r="C1843" t="s">
        <v>32</v>
      </c>
      <c r="D1843" t="s">
        <v>67</v>
      </c>
      <c r="E1843">
        <v>60</v>
      </c>
      <c r="F1843">
        <v>63</v>
      </c>
      <c r="G1843">
        <v>3</v>
      </c>
      <c r="H1843" s="1">
        <v>3.0902777777777777E-3</v>
      </c>
      <c r="I1843" t="s">
        <v>18</v>
      </c>
      <c r="J1843" s="2" t="str">
        <f>HYPERLINK("https://www.nba.com/stats/events?CFID=&amp;CFPARAMS=&amp;GameEventID=341&amp;GameID=0041500233&amp;Season=2015-16&amp;flag=1&amp;title=Leonard%20%20Driving%20Dunk%20(17%20PTS)", "Leonard  Driving Dunk (17 PTS)")</f>
        <v>Leonard  Driving Dunk (17 PTS)</v>
      </c>
      <c r="K1843" s="2" t="str">
        <f>HYPERLINK("https://www.nba.com/game/...-vs-...-0041500233/play-by-play?watchFullGame=true", "SAS vs OKC - Q3 04:27.00")</f>
        <v>SAS vs OKC - Q3 04:27.00</v>
      </c>
      <c r="L1843">
        <v>0</v>
      </c>
      <c r="M1843">
        <v>0</v>
      </c>
      <c r="N1843">
        <v>1</v>
      </c>
      <c r="O1843">
        <v>0</v>
      </c>
      <c r="P1843">
        <v>1</v>
      </c>
    </row>
    <row r="1844" spans="1:16" x14ac:dyDescent="0.25">
      <c r="A1844">
        <v>41600152</v>
      </c>
      <c r="B1844" t="s">
        <v>30</v>
      </c>
      <c r="C1844" t="s">
        <v>32</v>
      </c>
      <c r="D1844" t="s">
        <v>67</v>
      </c>
      <c r="E1844">
        <v>2</v>
      </c>
      <c r="F1844">
        <v>0</v>
      </c>
      <c r="G1844">
        <v>1</v>
      </c>
      <c r="H1844" s="1">
        <v>8.1134259259259267E-3</v>
      </c>
      <c r="I1844" t="s">
        <v>18</v>
      </c>
      <c r="J1844" s="2" t="str">
        <f>HYPERLINK("https://www.nba.com/stats/events?CFID=&amp;CFPARAMS=&amp;GameEventID=2&amp;GameID=0041600152&amp;Season=2016-17&amp;flag=1&amp;title=Leonard%20%20Driving%20Dunk%20(2%20PTS)", "Leonard  Driving Dunk (2 PTS)")</f>
        <v>Leonard  Driving Dunk (2 PTS)</v>
      </c>
      <c r="K1844" s="2" t="str">
        <f>HYPERLINK("https://www.nba.com/game/...-vs-...-0041600152/play-by-play?watchFullGame=true", "SAS vs MEM - Q1 11:41.00")</f>
        <v>SAS vs MEM - Q1 11:41.00</v>
      </c>
      <c r="L1844">
        <v>0</v>
      </c>
      <c r="M1844">
        <v>0</v>
      </c>
      <c r="N1844">
        <v>1</v>
      </c>
      <c r="O1844">
        <v>0</v>
      </c>
      <c r="P1844">
        <v>1</v>
      </c>
    </row>
    <row r="1845" spans="1:16" x14ac:dyDescent="0.25">
      <c r="A1845">
        <v>21400131</v>
      </c>
      <c r="B1845">
        <v>2014</v>
      </c>
      <c r="C1845" t="s">
        <v>32</v>
      </c>
      <c r="D1845" t="s">
        <v>67</v>
      </c>
      <c r="E1845">
        <v>26</v>
      </c>
      <c r="F1845">
        <v>39</v>
      </c>
      <c r="G1845">
        <v>2</v>
      </c>
      <c r="H1845" s="1">
        <v>5.2777777777777779E-3</v>
      </c>
      <c r="I1845" t="s">
        <v>18</v>
      </c>
      <c r="J1845" s="2" t="str">
        <f>HYPERLINK("https://www.nba.com/stats/events?CFID=&amp;CFPARAMS=&amp;GameEventID=145&amp;GameID=0021400131&amp;Season=2014-15&amp;flag=1&amp;title=Leonard%20%20Driving%20Dunk%20(12%20PTS)", "Leonard  Driving Dunk (12 PTS)")</f>
        <v>Leonard  Driving Dunk (12 PTS)</v>
      </c>
      <c r="K1845" s="2" t="str">
        <f>HYPERLINK("https://www.nba.com/game/...-vs-...-0021400131/play-by-play?watchFullGame=true", "SAS vs LAL - Q2 07:36.00")</f>
        <v>SAS vs LAL - Q2 07:36.00</v>
      </c>
      <c r="L1845">
        <v>0</v>
      </c>
      <c r="M1845">
        <v>0</v>
      </c>
      <c r="N1845">
        <v>1</v>
      </c>
      <c r="O1845">
        <v>0</v>
      </c>
      <c r="P1845">
        <v>1</v>
      </c>
    </row>
    <row r="1846" spans="1:16" x14ac:dyDescent="0.25">
      <c r="A1846">
        <v>21400921</v>
      </c>
      <c r="B1846">
        <v>2014</v>
      </c>
      <c r="C1846" t="s">
        <v>32</v>
      </c>
      <c r="D1846" t="s">
        <v>62</v>
      </c>
      <c r="E1846">
        <v>73</v>
      </c>
      <c r="F1846">
        <v>66</v>
      </c>
      <c r="G1846">
        <v>3</v>
      </c>
      <c r="H1846" s="1">
        <v>5.9837962962962961E-3</v>
      </c>
      <c r="I1846" t="s">
        <v>18</v>
      </c>
      <c r="J1846" s="2" t="str">
        <f>HYPERLINK("https://www.nba.com/stats/events?CFID=&amp;CFPARAMS=&amp;GameEventID=285&amp;GameID=0021400921&amp;Season=2014-15&amp;flag=1&amp;title=Leonard%20%20Dunk%20(15%20PTS)%20(Parker%206%20AST)", "Leonard  Dunk (15 PTS) (Parker 6 AST)")</f>
        <v>Leonard  Dunk (15 PTS) (Parker 6 AST)</v>
      </c>
      <c r="K1846" s="2" t="str">
        <f>HYPERLINK("https://www.nba.com/game/...-vs-...-0021400921/play-by-play?watchFullGame=true", "SAS vs DEN - Q3 08:37.00")</f>
        <v>SAS vs DEN - Q3 08:37.00</v>
      </c>
      <c r="L1846">
        <v>0</v>
      </c>
      <c r="M1846">
        <v>0</v>
      </c>
      <c r="N1846">
        <v>1</v>
      </c>
      <c r="O1846">
        <v>0</v>
      </c>
      <c r="P1846">
        <v>1</v>
      </c>
    </row>
    <row r="1847" spans="1:16" x14ac:dyDescent="0.25">
      <c r="A1847">
        <v>21400931</v>
      </c>
      <c r="B1847">
        <v>2014</v>
      </c>
      <c r="C1847" t="s">
        <v>32</v>
      </c>
      <c r="D1847" t="s">
        <v>62</v>
      </c>
      <c r="E1847">
        <v>91</v>
      </c>
      <c r="F1847">
        <v>77</v>
      </c>
      <c r="G1847">
        <v>4</v>
      </c>
      <c r="H1847" s="1">
        <v>7.8240740740740736E-3</v>
      </c>
      <c r="I1847" t="s">
        <v>18</v>
      </c>
      <c r="J1847" s="2" t="str">
        <f>HYPERLINK("https://www.nba.com/stats/events?CFID=&amp;CFPARAMS=&amp;GameEventID=401&amp;GameID=0021400931&amp;Season=2014-15&amp;flag=1&amp;title=Leonard%20%20Dunk%20(18%20PTS)", "Leonard  Dunk (18 PTS)")</f>
        <v>Leonard  Dunk (18 PTS)</v>
      </c>
      <c r="K1847" s="2" t="str">
        <f>HYPERLINK("https://www.nba.com/game/...-vs-...-0021400931/play-by-play?watchFullGame=true", "SAS vs CHI - Q4 11:16.00")</f>
        <v>SAS vs CHI - Q4 11:16.00</v>
      </c>
      <c r="L1847">
        <v>0</v>
      </c>
      <c r="M1847">
        <v>0</v>
      </c>
      <c r="N1847">
        <v>1</v>
      </c>
      <c r="O1847">
        <v>0</v>
      </c>
      <c r="P1847">
        <v>1</v>
      </c>
    </row>
    <row r="1848" spans="1:16" x14ac:dyDescent="0.25">
      <c r="A1848">
        <v>21500123</v>
      </c>
      <c r="B1848">
        <v>2015</v>
      </c>
      <c r="C1848" t="s">
        <v>32</v>
      </c>
      <c r="D1848" t="s">
        <v>67</v>
      </c>
      <c r="E1848">
        <v>81</v>
      </c>
      <c r="F1848">
        <v>88</v>
      </c>
      <c r="G1848">
        <v>4</v>
      </c>
      <c r="H1848" s="1">
        <v>6.5046296296296293E-3</v>
      </c>
      <c r="I1848" t="s">
        <v>18</v>
      </c>
      <c r="J1848" s="2" t="str">
        <f>HYPERLINK("https://www.nba.com/stats/events?CFID=&amp;CFPARAMS=&amp;GameEventID=381&amp;GameID=0021500123&amp;Season=2015-16&amp;flag=1&amp;title=Leonard%20%20Driving%20Dunk%20(18%20PTS)%20(Green%202%20AST)", "Leonard  Driving Dunk (18 PTS) (Green 2 AST)")</f>
        <v>Leonard  Driving Dunk (18 PTS) (Green 2 AST)</v>
      </c>
      <c r="K1848" s="2" t="str">
        <f>HYPERLINK("https://www.nba.com/game/...-vs-...-0021500123/play-by-play?watchFullGame=true", "SAS vs POR - Q4 09:22.00")</f>
        <v>SAS vs POR - Q4 09:22.00</v>
      </c>
      <c r="L1848">
        <v>0</v>
      </c>
      <c r="M1848">
        <v>0</v>
      </c>
      <c r="N1848">
        <v>1</v>
      </c>
      <c r="O1848">
        <v>0</v>
      </c>
      <c r="P1848">
        <v>1</v>
      </c>
    </row>
    <row r="1849" spans="1:16" x14ac:dyDescent="0.25">
      <c r="A1849">
        <v>21500502</v>
      </c>
      <c r="B1849">
        <v>2015</v>
      </c>
      <c r="C1849" t="s">
        <v>32</v>
      </c>
      <c r="D1849" t="s">
        <v>67</v>
      </c>
      <c r="E1849">
        <v>50</v>
      </c>
      <c r="F1849">
        <v>50</v>
      </c>
      <c r="G1849">
        <v>2</v>
      </c>
      <c r="H1849" s="1">
        <v>2.1875000000000002E-3</v>
      </c>
      <c r="I1849" t="s">
        <v>18</v>
      </c>
      <c r="J1849" s="2" t="str">
        <f>HYPERLINK("https://www.nba.com/stats/events?CFID=&amp;CFPARAMS=&amp;GameEventID=233&amp;GameID=0021500502&amp;Season=2015-16&amp;flag=1&amp;title=Leonard%20%20Driving%20Dunk%20(9%20PTS)", "Leonard  Driving Dunk (9 PTS)")</f>
        <v>Leonard  Driving Dunk (9 PTS)</v>
      </c>
      <c r="K1849" s="2" t="str">
        <f>HYPERLINK("https://www.nba.com/game/...-vs-...-0021500502/play-by-play?watchFullGame=true", "SAS vs HOU - Q2 03:09.00")</f>
        <v>SAS vs HOU - Q2 03:09.00</v>
      </c>
      <c r="L1849">
        <v>0</v>
      </c>
      <c r="M1849">
        <v>0</v>
      </c>
      <c r="N1849">
        <v>1</v>
      </c>
      <c r="O1849">
        <v>0</v>
      </c>
      <c r="P1849">
        <v>1</v>
      </c>
    </row>
    <row r="1850" spans="1:16" x14ac:dyDescent="0.25">
      <c r="A1850">
        <v>21501161</v>
      </c>
      <c r="B1850">
        <v>2015</v>
      </c>
      <c r="C1850" t="s">
        <v>32</v>
      </c>
      <c r="D1850" t="s">
        <v>68</v>
      </c>
      <c r="E1850">
        <v>12</v>
      </c>
      <c r="F1850">
        <v>12</v>
      </c>
      <c r="G1850">
        <v>1</v>
      </c>
      <c r="H1850" s="1">
        <v>4.2245370370370371E-3</v>
      </c>
      <c r="I1850" t="s">
        <v>18</v>
      </c>
      <c r="J1850" s="2" t="str">
        <f>HYPERLINK("https://www.nba.com/stats/events?CFID=&amp;CFPARAMS=&amp;GameEventID=39&amp;GameID=0021501161&amp;Season=2015-16&amp;flag=1&amp;title=Leonard%20%20Cutting%20Dunk%20Shot%20(2%20PTS)%20(Duncan%201%20AST)", "Leonard  Cutting Dunk Shot (2 PTS) (Duncan 1 AST)")</f>
        <v>Leonard  Cutting Dunk Shot (2 PTS) (Duncan 1 AST)</v>
      </c>
      <c r="K1850" s="2" t="str">
        <f>HYPERLINK("https://www.nba.com/game/...-vs-...-0021501161/play-by-play?watchFullGame=true", "SAS vs UTA - Q1 06:05.00")</f>
        <v>SAS vs UTA - Q1 06:05.00</v>
      </c>
      <c r="L1850">
        <v>0</v>
      </c>
      <c r="M1850">
        <v>0</v>
      </c>
      <c r="N1850">
        <v>1</v>
      </c>
      <c r="O1850">
        <v>0</v>
      </c>
      <c r="P1850">
        <v>1</v>
      </c>
    </row>
    <row r="1851" spans="1:16" x14ac:dyDescent="0.25">
      <c r="A1851">
        <v>21600309</v>
      </c>
      <c r="B1851">
        <v>2016</v>
      </c>
      <c r="C1851" t="s">
        <v>32</v>
      </c>
      <c r="D1851" t="s">
        <v>67</v>
      </c>
      <c r="E1851">
        <v>80</v>
      </c>
      <c r="F1851">
        <v>84</v>
      </c>
      <c r="G1851">
        <v>4</v>
      </c>
      <c r="H1851" s="1">
        <v>4.6412037037037038E-3</v>
      </c>
      <c r="I1851" t="s">
        <v>18</v>
      </c>
      <c r="J1851" s="2" t="str">
        <f>HYPERLINK("https://www.nba.com/stats/events?CFID=&amp;CFPARAMS=&amp;GameEventID=498&amp;GameID=0021600309&amp;Season=2016-17&amp;flag=1&amp;title=Leonard%20%20Driving%20Dunk%20(13%20PTS)", "Leonard  Driving Dunk (13 PTS)")</f>
        <v>Leonard  Driving Dunk (13 PTS)</v>
      </c>
      <c r="K1851" s="2" t="str">
        <f>HYPERLINK("https://www.nba.com/game/...-vs-...-0021600309/play-by-play?watchFullGame=true", "SAS vs MIL - Q4 06:41.00")</f>
        <v>SAS vs MIL - Q4 06:41.00</v>
      </c>
      <c r="L1851">
        <v>0</v>
      </c>
      <c r="M1851">
        <v>0</v>
      </c>
      <c r="N1851">
        <v>1</v>
      </c>
      <c r="O1851">
        <v>0</v>
      </c>
      <c r="P1851">
        <v>1</v>
      </c>
    </row>
    <row r="1852" spans="1:16" x14ac:dyDescent="0.25">
      <c r="A1852">
        <v>21600383</v>
      </c>
      <c r="B1852">
        <v>2016</v>
      </c>
      <c r="C1852" t="s">
        <v>32</v>
      </c>
      <c r="D1852" t="s">
        <v>63</v>
      </c>
      <c r="E1852">
        <v>70</v>
      </c>
      <c r="F1852">
        <v>55</v>
      </c>
      <c r="G1852">
        <v>3</v>
      </c>
      <c r="H1852" s="1">
        <v>4.8958333333333336E-3</v>
      </c>
      <c r="I1852" t="s">
        <v>18</v>
      </c>
      <c r="J1852" s="2" t="str">
        <f>HYPERLINK("https://www.nba.com/stats/events?CFID=&amp;CFPARAMS=&amp;GameEventID=292&amp;GameID=0021600383&amp;Season=2016-17&amp;flag=1&amp;title=Leonard%20%20Running%20Dunk%20(20%20PTS)%20(Gasol%205%20AST)", "Leonard  Running Dunk (20 PTS) (Gasol 5 AST)")</f>
        <v>Leonard  Running Dunk (20 PTS) (Gasol 5 AST)</v>
      </c>
      <c r="K1852" s="2" t="str">
        <f>HYPERLINK("https://www.nba.com/game/...-vs-...-0021600383/play-by-play?watchFullGame=true", "SAS vs BOS - Q3 07:03.00")</f>
        <v>SAS vs BOS - Q3 07:03.00</v>
      </c>
      <c r="L1852">
        <v>0</v>
      </c>
      <c r="M1852">
        <v>0</v>
      </c>
      <c r="N1852">
        <v>1</v>
      </c>
      <c r="O1852">
        <v>0</v>
      </c>
      <c r="P1852">
        <v>1</v>
      </c>
    </row>
    <row r="1853" spans="1:16" x14ac:dyDescent="0.25">
      <c r="A1853">
        <v>21601056</v>
      </c>
      <c r="B1853">
        <v>2016</v>
      </c>
      <c r="C1853" t="s">
        <v>32</v>
      </c>
      <c r="D1853" t="s">
        <v>67</v>
      </c>
      <c r="E1853">
        <v>53</v>
      </c>
      <c r="F1853">
        <v>46</v>
      </c>
      <c r="G1853">
        <v>3</v>
      </c>
      <c r="H1853" s="1">
        <v>6.8402777777777776E-3</v>
      </c>
      <c r="I1853" t="s">
        <v>18</v>
      </c>
      <c r="J1853" s="2" t="str">
        <f>HYPERLINK("https://www.nba.com/stats/events?CFID=&amp;CFPARAMS=&amp;GameEventID=243&amp;GameID=0021601056&amp;Season=2016-17&amp;flag=1&amp;title=Leonard%20%20Driving%20Dunk%20(4%20PTS)", "Leonard  Driving Dunk (4 PTS)")</f>
        <v>Leonard  Driving Dunk (4 PTS)</v>
      </c>
      <c r="K1853" s="2" t="str">
        <f>HYPERLINK("https://www.nba.com/game/...-vs-...-0021601056/play-by-play?watchFullGame=true", "SAS vs MIN - Q3 09:51.00")</f>
        <v>SAS vs MIN - Q3 09:51.00</v>
      </c>
      <c r="L1853">
        <v>0</v>
      </c>
      <c r="M1853">
        <v>0</v>
      </c>
      <c r="N1853">
        <v>1</v>
      </c>
      <c r="O1853">
        <v>0</v>
      </c>
      <c r="P1853">
        <v>1</v>
      </c>
    </row>
    <row r="1854" spans="1:16" x14ac:dyDescent="0.25">
      <c r="A1854">
        <v>41500231</v>
      </c>
      <c r="B1854" t="s">
        <v>25</v>
      </c>
      <c r="C1854" t="s">
        <v>32</v>
      </c>
      <c r="D1854" t="s">
        <v>67</v>
      </c>
      <c r="E1854">
        <v>2</v>
      </c>
      <c r="F1854">
        <v>0</v>
      </c>
      <c r="G1854">
        <v>1</v>
      </c>
      <c r="H1854" s="1">
        <v>8.1134259259259267E-3</v>
      </c>
      <c r="I1854" t="s">
        <v>18</v>
      </c>
      <c r="J1854" s="2" t="str">
        <f>HYPERLINK("https://www.nba.com/stats/events?CFID=&amp;CFPARAMS=&amp;GameEventID=2&amp;GameID=0041500231&amp;Season=2015-16&amp;flag=1&amp;title=Leonard%20%20Driving%20Dunk%20(2%20PTS)", "Leonard  Driving Dunk (2 PTS)")</f>
        <v>Leonard  Driving Dunk (2 PTS)</v>
      </c>
      <c r="K1854" s="2" t="str">
        <f>HYPERLINK("https://www.nba.com/game/...-vs-...-0041500231/play-by-play?watchFullGame=true", "SAS vs OKC - Q1 11:41.00")</f>
        <v>SAS vs OKC - Q1 11:41.00</v>
      </c>
      <c r="L1854">
        <v>0</v>
      </c>
      <c r="M1854">
        <v>0</v>
      </c>
      <c r="N1854">
        <v>1</v>
      </c>
      <c r="O1854">
        <v>0</v>
      </c>
      <c r="P1854">
        <v>1</v>
      </c>
    </row>
    <row r="1855" spans="1:16" x14ac:dyDescent="0.25">
      <c r="A1855">
        <v>41600151</v>
      </c>
      <c r="B1855" t="s">
        <v>30</v>
      </c>
      <c r="C1855" t="s">
        <v>32</v>
      </c>
      <c r="D1855" t="s">
        <v>80</v>
      </c>
      <c r="E1855">
        <v>45</v>
      </c>
      <c r="F1855">
        <v>41</v>
      </c>
      <c r="G1855">
        <v>2</v>
      </c>
      <c r="H1855" s="1">
        <v>2.0717592592592593E-3</v>
      </c>
      <c r="I1855" t="s">
        <v>18</v>
      </c>
      <c r="J1855" s="2" t="str">
        <f>HYPERLINK("https://www.nba.com/stats/events?CFID=&amp;CFPARAMS=&amp;GameEventID=188&amp;GameID=0041600151&amp;Season=2016-17&amp;flag=1&amp;title=Leonard%20%20Tip%20Dunk%20Shot%20(15%20PTS)", "Leonard  Tip Dunk Shot (15 PTS)")</f>
        <v>Leonard  Tip Dunk Shot (15 PTS)</v>
      </c>
      <c r="K1855" s="2" t="str">
        <f>HYPERLINK("https://www.nba.com/game/...-vs-...-0041600151/play-by-play?watchFullGame=true", "SAS vs MEM - Q2 02:59.00")</f>
        <v>SAS vs MEM - Q2 02:59.00</v>
      </c>
      <c r="L1855">
        <v>0</v>
      </c>
      <c r="M1855">
        <v>0</v>
      </c>
      <c r="N1855">
        <v>1</v>
      </c>
      <c r="O1855">
        <v>0</v>
      </c>
      <c r="P1855">
        <v>1</v>
      </c>
    </row>
    <row r="1856" spans="1:16" x14ac:dyDescent="0.25">
      <c r="A1856">
        <v>21500028</v>
      </c>
      <c r="B1856">
        <v>2015</v>
      </c>
      <c r="C1856" t="s">
        <v>32</v>
      </c>
      <c r="D1856" t="s">
        <v>60</v>
      </c>
      <c r="E1856">
        <v>61</v>
      </c>
      <c r="F1856">
        <v>58</v>
      </c>
      <c r="G1856">
        <v>3</v>
      </c>
      <c r="H1856" s="1">
        <v>4.2361111111111115E-3</v>
      </c>
      <c r="I1856" t="s">
        <v>18</v>
      </c>
      <c r="J1856" s="2" t="str">
        <f>HYPERLINK("https://www.nba.com/stats/events?CFID=&amp;CFPARAMS=&amp;GameEventID=277&amp;GameID=0021500028&amp;Season=2015-16&amp;flag=1&amp;title=Leonard%20%20Alley%20Oop%20Dunk%20(10%20PTS)%20(Duncan%201%20AST)", "Leonard  Alley Oop Dunk (10 PTS) (Duncan 1 AST)")</f>
        <v>Leonard  Alley Oop Dunk (10 PTS) (Duncan 1 AST)</v>
      </c>
      <c r="K1856" s="2" t="str">
        <f>HYPERLINK("https://www.nba.com/game/...-vs-...-0021500028/play-by-play?watchFullGame=true", "SAS vs BKN - Q3 06:06.00")</f>
        <v>SAS vs BKN - Q3 06:06.00</v>
      </c>
      <c r="L1856">
        <v>0</v>
      </c>
      <c r="M1856">
        <v>0</v>
      </c>
      <c r="N1856">
        <v>1</v>
      </c>
      <c r="O1856">
        <v>0</v>
      </c>
      <c r="P1856">
        <v>1</v>
      </c>
    </row>
    <row r="1857" spans="1:16" x14ac:dyDescent="0.25">
      <c r="A1857">
        <v>21500103</v>
      </c>
      <c r="B1857">
        <v>2015</v>
      </c>
      <c r="C1857" t="s">
        <v>32</v>
      </c>
      <c r="D1857" t="s">
        <v>67</v>
      </c>
      <c r="E1857">
        <v>78</v>
      </c>
      <c r="F1857">
        <v>90</v>
      </c>
      <c r="G1857">
        <v>4</v>
      </c>
      <c r="H1857" s="1">
        <v>4.5370370370370373E-3</v>
      </c>
      <c r="I1857" t="s">
        <v>18</v>
      </c>
      <c r="J1857" s="2" t="str">
        <f>HYPERLINK("https://www.nba.com/stats/events?CFID=&amp;CFPARAMS=&amp;GameEventID=433&amp;GameID=0021500103&amp;Season=2015-16&amp;flag=1&amp;title=Leonard%20%20Driving%20Dunk%20(22%20PTS)%20(Mills%205%20AST)", "Leonard  Driving Dunk (22 PTS) (Mills 5 AST)")</f>
        <v>Leonard  Driving Dunk (22 PTS) (Mills 5 AST)</v>
      </c>
      <c r="K1857" s="2" t="str">
        <f>HYPERLINK("https://www.nba.com/game/...-vs-...-0021500103/play-by-play?watchFullGame=true", "SAS vs SAC - Q4 06:32.00")</f>
        <v>SAS vs SAC - Q4 06:32.00</v>
      </c>
      <c r="L1857">
        <v>0</v>
      </c>
      <c r="M1857">
        <v>0</v>
      </c>
      <c r="N1857">
        <v>1</v>
      </c>
      <c r="O1857">
        <v>0</v>
      </c>
      <c r="P1857">
        <v>1</v>
      </c>
    </row>
    <row r="1858" spans="1:16" x14ac:dyDescent="0.25">
      <c r="A1858">
        <v>21600588</v>
      </c>
      <c r="B1858">
        <v>2016</v>
      </c>
      <c r="C1858" t="s">
        <v>32</v>
      </c>
      <c r="D1858" t="s">
        <v>60</v>
      </c>
      <c r="E1858">
        <v>80</v>
      </c>
      <c r="F1858">
        <v>57</v>
      </c>
      <c r="G1858">
        <v>3</v>
      </c>
      <c r="H1858" s="1">
        <v>6.2384259259259259E-3</v>
      </c>
      <c r="I1858" t="s">
        <v>18</v>
      </c>
      <c r="J1858" s="2" t="str">
        <f>HYPERLINK("https://www.nba.com/stats/events?CFID=&amp;CFPARAMS=&amp;GameEventID=325&amp;GameID=0021600588&amp;Season=2016-17&amp;flag=1&amp;title=Leonard%20%20Alley%20Oop%20Dunk%20(27%20PTS)%20(Gasol%206%20AST)", "Leonard  Alley Oop Dunk (27 PTS) (Gasol 6 AST)")</f>
        <v>Leonard  Alley Oop Dunk (27 PTS) (Gasol 6 AST)</v>
      </c>
      <c r="K1858" s="2" t="str">
        <f>HYPERLINK("https://www.nba.com/game/...-vs-...-0021600588/play-by-play?watchFullGame=true", "SAS vs LAL - Q3 08:59.00")</f>
        <v>SAS vs LAL - Q3 08:59.00</v>
      </c>
      <c r="L1858">
        <v>0</v>
      </c>
      <c r="M1858">
        <v>0</v>
      </c>
      <c r="N1858">
        <v>1</v>
      </c>
      <c r="O1858">
        <v>0</v>
      </c>
      <c r="P1858">
        <v>1</v>
      </c>
    </row>
    <row r="1859" spans="1:16" x14ac:dyDescent="0.25">
      <c r="A1859">
        <v>21600657</v>
      </c>
      <c r="B1859">
        <v>2016</v>
      </c>
      <c r="C1859" t="s">
        <v>32</v>
      </c>
      <c r="D1859" t="s">
        <v>62</v>
      </c>
      <c r="E1859">
        <v>14</v>
      </c>
      <c r="F1859">
        <v>10</v>
      </c>
      <c r="G1859">
        <v>1</v>
      </c>
      <c r="H1859" s="1">
        <v>4.7453703703703703E-3</v>
      </c>
      <c r="I1859" t="s">
        <v>18</v>
      </c>
      <c r="J1859" s="2" t="str">
        <f>HYPERLINK("https://www.nba.com/stats/events?CFID=&amp;CFPARAMS=&amp;GameEventID=44&amp;GameID=0021600657&amp;Season=2016-17&amp;flag=1&amp;title=Leonard%20%20Dunk%20(6%20PTS)%20(Lee%201%20AST)", "Leonard  Dunk (6 PTS) (Lee 1 AST)")</f>
        <v>Leonard  Dunk (6 PTS) (Lee 1 AST)</v>
      </c>
      <c r="K1859" s="2" t="str">
        <f>HYPERLINK("https://www.nba.com/game/...-vs-...-0021600657/play-by-play?watchFullGame=true", "SAS vs CLE - Q1 06:50.00")</f>
        <v>SAS vs CLE - Q1 06:50.00</v>
      </c>
      <c r="L1859">
        <v>0</v>
      </c>
      <c r="M1859">
        <v>0</v>
      </c>
      <c r="N1859">
        <v>1</v>
      </c>
      <c r="O1859">
        <v>0</v>
      </c>
      <c r="P1859">
        <v>1</v>
      </c>
    </row>
    <row r="1860" spans="1:16" x14ac:dyDescent="0.25">
      <c r="A1860">
        <v>21400266</v>
      </c>
      <c r="B1860">
        <v>2014</v>
      </c>
      <c r="C1860" t="s">
        <v>32</v>
      </c>
      <c r="D1860" t="s">
        <v>67</v>
      </c>
      <c r="E1860">
        <v>35</v>
      </c>
      <c r="F1860">
        <v>39</v>
      </c>
      <c r="G1860">
        <v>2</v>
      </c>
      <c r="H1860" s="1">
        <v>1.5856481481481481E-3</v>
      </c>
      <c r="I1860" t="s">
        <v>18</v>
      </c>
      <c r="J1860" s="2" t="str">
        <f>HYPERLINK("https://www.nba.com/stats/events?CFID=&amp;CFPARAMS=&amp;GameEventID=208&amp;GameID=0021400266&amp;Season=2014-15&amp;flag=1&amp;title=Leonard%20%20Driving%20Dunk%20(8%20PTS)%20(Ginobili%201%20AST)", "Leonard  Driving Dunk (8 PTS) (Ginobili 1 AST)")</f>
        <v>Leonard  Driving Dunk (8 PTS) (Ginobili 1 AST)</v>
      </c>
      <c r="K1860" s="2" t="str">
        <f>HYPERLINK("https://www.nba.com/game/...-vs-...-0021400266/play-by-play?watchFullGame=true", "SAS vs BKN - Q2 02:17.00")</f>
        <v>SAS vs BKN - Q2 02:17.00</v>
      </c>
      <c r="L1860">
        <v>0</v>
      </c>
      <c r="M1860">
        <v>0</v>
      </c>
      <c r="N1860">
        <v>1</v>
      </c>
      <c r="O1860">
        <v>0</v>
      </c>
      <c r="P1860">
        <v>1</v>
      </c>
    </row>
    <row r="1861" spans="1:16" x14ac:dyDescent="0.25">
      <c r="A1861">
        <v>21400663</v>
      </c>
      <c r="B1861">
        <v>2014</v>
      </c>
      <c r="C1861" t="s">
        <v>32</v>
      </c>
      <c r="D1861" t="s">
        <v>67</v>
      </c>
      <c r="E1861">
        <v>57</v>
      </c>
      <c r="F1861">
        <v>62</v>
      </c>
      <c r="G1861">
        <v>3</v>
      </c>
      <c r="H1861" s="1">
        <v>3.5648148148148149E-3</v>
      </c>
      <c r="I1861" t="s">
        <v>18</v>
      </c>
      <c r="J1861" s="2" t="str">
        <f>HYPERLINK("https://www.nba.com/stats/events?CFID=&amp;CFPARAMS=&amp;GameEventID=335&amp;GameID=0021400663&amp;Season=2014-15&amp;flag=1&amp;title=Leonard%20Driving%20Dunk%20(8%20PTS)", "Leonard Driving Dunk (8 PTS)")</f>
        <v>Leonard Driving Dunk (8 PTS)</v>
      </c>
      <c r="K1861" s="2" t="str">
        <f>HYPERLINK("https://www.nba.com/game/...-vs-...-0021400663/play-by-play?watchFullGame=true", "SAS vs MIL - Q3 05:08.00")</f>
        <v>SAS vs MIL - Q3 05:08.00</v>
      </c>
      <c r="L1861">
        <v>0</v>
      </c>
      <c r="M1861">
        <v>0</v>
      </c>
      <c r="N1861">
        <v>1</v>
      </c>
      <c r="O1861">
        <v>0</v>
      </c>
      <c r="P1861">
        <v>1</v>
      </c>
    </row>
    <row r="1862" spans="1:16" x14ac:dyDescent="0.25">
      <c r="A1862">
        <v>21500028</v>
      </c>
      <c r="B1862">
        <v>2015</v>
      </c>
      <c r="C1862" t="s">
        <v>32</v>
      </c>
      <c r="D1862" t="s">
        <v>62</v>
      </c>
      <c r="E1862">
        <v>68</v>
      </c>
      <c r="F1862">
        <v>60</v>
      </c>
      <c r="G1862">
        <v>3</v>
      </c>
      <c r="H1862" s="1">
        <v>2.7777777777777779E-3</v>
      </c>
      <c r="I1862" t="s">
        <v>18</v>
      </c>
      <c r="J1862" s="2" t="str">
        <f>HYPERLINK("https://www.nba.com/stats/events?CFID=&amp;CFPARAMS=&amp;GameEventID=306&amp;GameID=0021500028&amp;Season=2015-16&amp;flag=1&amp;title=Leonard%20%20Dunk%20(14%20PTS)", "Leonard  Dunk (14 PTS)")</f>
        <v>Leonard  Dunk (14 PTS)</v>
      </c>
      <c r="K1862" s="2" t="str">
        <f>HYPERLINK("https://www.nba.com/game/...-vs-...-0021500028/play-by-play?watchFullGame=true", "SAS vs BKN - Q3 04:00.00")</f>
        <v>SAS vs BKN - Q3 04:00.00</v>
      </c>
      <c r="L1862">
        <v>0</v>
      </c>
      <c r="M1862">
        <v>0</v>
      </c>
      <c r="N1862">
        <v>1</v>
      </c>
      <c r="O1862">
        <v>0</v>
      </c>
      <c r="P1862">
        <v>1</v>
      </c>
    </row>
    <row r="1863" spans="1:16" x14ac:dyDescent="0.25">
      <c r="A1863">
        <v>21500061</v>
      </c>
      <c r="B1863">
        <v>2015</v>
      </c>
      <c r="C1863" t="s">
        <v>32</v>
      </c>
      <c r="D1863" t="s">
        <v>63</v>
      </c>
      <c r="E1863">
        <v>39</v>
      </c>
      <c r="F1863">
        <v>43</v>
      </c>
      <c r="G1863">
        <v>2</v>
      </c>
      <c r="H1863" s="1">
        <v>3.0439814814814813E-3</v>
      </c>
      <c r="I1863" t="s">
        <v>18</v>
      </c>
      <c r="J1863" s="2" t="str">
        <f>HYPERLINK("https://www.nba.com/stats/events?CFID=&amp;CFPARAMS=&amp;GameEventID=193&amp;GameID=0021500061&amp;Season=2015-16&amp;flag=1&amp;title=Leonard%20%20Running%20Dunk%20(12%20PTS)", "Leonard  Running Dunk (12 PTS)")</f>
        <v>Leonard  Running Dunk (12 PTS)</v>
      </c>
      <c r="K1863" s="2" t="str">
        <f>HYPERLINK("https://www.nba.com/game/...-vs-...-0021500061/play-by-play?watchFullGame=true", "SAS vs WAS - Q2 04:23.00")</f>
        <v>SAS vs WAS - Q2 04:23.00</v>
      </c>
      <c r="L1863">
        <v>0</v>
      </c>
      <c r="M1863">
        <v>0</v>
      </c>
      <c r="N1863">
        <v>1</v>
      </c>
      <c r="O1863">
        <v>0</v>
      </c>
      <c r="P1863">
        <v>1</v>
      </c>
    </row>
    <row r="1864" spans="1:16" x14ac:dyDescent="0.25">
      <c r="A1864">
        <v>21500182</v>
      </c>
      <c r="B1864">
        <v>2015</v>
      </c>
      <c r="C1864" t="s">
        <v>32</v>
      </c>
      <c r="D1864" t="s">
        <v>62</v>
      </c>
      <c r="E1864">
        <v>69</v>
      </c>
      <c r="F1864">
        <v>63</v>
      </c>
      <c r="G1864">
        <v>3</v>
      </c>
      <c r="H1864" s="1">
        <v>1.8634259259259259E-3</v>
      </c>
      <c r="I1864" t="s">
        <v>18</v>
      </c>
      <c r="J1864" s="2" t="str">
        <f>HYPERLINK("https://www.nba.com/stats/events?CFID=&amp;CFPARAMS=&amp;GameEventID=400&amp;GameID=0021500182&amp;Season=2015-16&amp;flag=1&amp;title=Leonard%20%20Dunk%20(17%20PTS)%20(Mills%203%20AST)", "Leonard  Dunk (17 PTS) (Mills 3 AST)")</f>
        <v>Leonard  Dunk (17 PTS) (Mills 3 AST)</v>
      </c>
      <c r="K1864" s="2" t="str">
        <f>HYPERLINK("https://www.nba.com/game/...-vs-...-0021500182/play-by-play?watchFullGame=true", "SAS vs NOP - Q3 02:41.00")</f>
        <v>SAS vs NOP - Q3 02:41.00</v>
      </c>
      <c r="L1864">
        <v>0</v>
      </c>
      <c r="M1864">
        <v>0</v>
      </c>
      <c r="N1864">
        <v>1</v>
      </c>
      <c r="O1864">
        <v>0</v>
      </c>
      <c r="P1864">
        <v>1</v>
      </c>
    </row>
    <row r="1865" spans="1:16" x14ac:dyDescent="0.25">
      <c r="A1865">
        <v>21500644</v>
      </c>
      <c r="B1865">
        <v>2015</v>
      </c>
      <c r="C1865" t="s">
        <v>32</v>
      </c>
      <c r="D1865" t="s">
        <v>67</v>
      </c>
      <c r="E1865">
        <v>22</v>
      </c>
      <c r="F1865">
        <v>38</v>
      </c>
      <c r="G1865">
        <v>2</v>
      </c>
      <c r="H1865" s="1">
        <v>5.162037037037037E-3</v>
      </c>
      <c r="I1865" t="s">
        <v>18</v>
      </c>
      <c r="J1865" s="2" t="str">
        <f>HYPERLINK("https://www.nba.com/stats/events?CFID=&amp;CFPARAMS=&amp;GameEventID=163&amp;GameID=0021500644&amp;Season=2015-16&amp;flag=1&amp;title=Leonard%20%20Driving%20Dunk%20(7%20PTS)", "Leonard  Driving Dunk (7 PTS)")</f>
        <v>Leonard  Driving Dunk (7 PTS)</v>
      </c>
      <c r="K1865" s="2" t="str">
        <f>HYPERLINK("https://www.nba.com/game/...-vs-...-0021500644/play-by-play?watchFullGame=true", "SAS vs PHX - Q2 07:26.00")</f>
        <v>SAS vs PHX - Q2 07:26.00</v>
      </c>
      <c r="L1865">
        <v>0</v>
      </c>
      <c r="M1865">
        <v>0</v>
      </c>
      <c r="N1865">
        <v>1</v>
      </c>
      <c r="O1865">
        <v>0</v>
      </c>
      <c r="P1865">
        <v>1</v>
      </c>
    </row>
    <row r="1866" spans="1:16" x14ac:dyDescent="0.25">
      <c r="A1866">
        <v>21501201</v>
      </c>
      <c r="B1866">
        <v>2015</v>
      </c>
      <c r="C1866" t="s">
        <v>32</v>
      </c>
      <c r="D1866" t="s">
        <v>67</v>
      </c>
      <c r="E1866">
        <v>86</v>
      </c>
      <c r="F1866">
        <v>90</v>
      </c>
      <c r="G1866">
        <v>4</v>
      </c>
      <c r="H1866" s="1">
        <v>2.3958333333333332E-4</v>
      </c>
      <c r="I1866" t="s">
        <v>18</v>
      </c>
      <c r="J1866" s="2" t="str">
        <f>HYPERLINK("https://www.nba.com/stats/events?CFID=&amp;CFPARAMS=&amp;GameEventID=521&amp;GameID=0021501201&amp;Season=2015-16&amp;flag=1&amp;title=Leonard%20%20Driving%20Dunk%20(20%20PTS)", "Leonard  Driving Dunk (20 PTS)")</f>
        <v>Leonard  Driving Dunk (20 PTS)</v>
      </c>
      <c r="K1866" s="2" t="str">
        <f>HYPERLINK("https://www.nba.com/game/...-vs-...-0021501201/play-by-play?watchFullGame=true", "SAS vs GSW - Q4 00:20.70")</f>
        <v>SAS vs GSW - Q4 00:20.70</v>
      </c>
      <c r="L1866">
        <v>0</v>
      </c>
      <c r="M1866">
        <v>0</v>
      </c>
      <c r="N1866">
        <v>1</v>
      </c>
      <c r="O1866">
        <v>0</v>
      </c>
      <c r="P1866">
        <v>1</v>
      </c>
    </row>
    <row r="1867" spans="1:16" x14ac:dyDescent="0.25">
      <c r="A1867">
        <v>21600336</v>
      </c>
      <c r="B1867">
        <v>2016</v>
      </c>
      <c r="C1867" t="s">
        <v>32</v>
      </c>
      <c r="D1867" t="s">
        <v>67</v>
      </c>
      <c r="E1867">
        <v>32</v>
      </c>
      <c r="F1867">
        <v>23</v>
      </c>
      <c r="G1867">
        <v>2</v>
      </c>
      <c r="H1867" s="1">
        <v>4.3055555555555555E-3</v>
      </c>
      <c r="I1867" t="s">
        <v>18</v>
      </c>
      <c r="J1867" s="2" t="str">
        <f>HYPERLINK("https://www.nba.com/stats/events?CFID=&amp;CFPARAMS=&amp;GameEventID=184&amp;GameID=0021600336&amp;Season=2016-17&amp;flag=1&amp;title=Leonard%20%20Driving%20Dunk%20(4%20PTS)%20(Green%201%20AST)", "Leonard  Driving Dunk (4 PTS) (Green 1 AST)")</f>
        <v>Leonard  Driving Dunk (4 PTS) (Green 1 AST)</v>
      </c>
      <c r="K1867" s="2" t="str">
        <f>HYPERLINK("https://www.nba.com/game/...-vs-...-0021600336/play-by-play?watchFullGame=true", "SAS vs CHI - Q2 06:12.00")</f>
        <v>SAS vs CHI - Q2 06:12.00</v>
      </c>
      <c r="L1867">
        <v>0</v>
      </c>
      <c r="M1867">
        <v>0</v>
      </c>
      <c r="N1867">
        <v>1</v>
      </c>
      <c r="O1867">
        <v>0</v>
      </c>
      <c r="P1867">
        <v>1</v>
      </c>
    </row>
    <row r="1868" spans="1:16" x14ac:dyDescent="0.25">
      <c r="A1868">
        <v>21300965</v>
      </c>
      <c r="B1868">
        <v>2013</v>
      </c>
      <c r="C1868" t="s">
        <v>32</v>
      </c>
      <c r="D1868" t="s">
        <v>67</v>
      </c>
      <c r="E1868">
        <v>2</v>
      </c>
      <c r="F1868">
        <v>0</v>
      </c>
      <c r="G1868">
        <v>1</v>
      </c>
      <c r="H1868" s="1">
        <v>8.1365740740740738E-3</v>
      </c>
      <c r="I1868" t="s">
        <v>18</v>
      </c>
      <c r="J1868" s="2" t="str">
        <f>HYPERLINK("https://www.nba.com/stats/events?CFID=&amp;CFPARAMS=&amp;GameEventID=2&amp;GameID=0021300965&amp;Season=2013-14&amp;flag=1&amp;title=Leonard%20%20Driving%20Dunk%20(2%20PTS)%20(Parker%201%20AST)", "Leonard  Driving Dunk (2 PTS) (Parker 1 AST)")</f>
        <v>Leonard  Driving Dunk (2 PTS) (Parker 1 AST)</v>
      </c>
      <c r="K1868" s="2" t="str">
        <f>HYPERLINK("https://www.nba.com/game/...-vs-...-0021300965/play-by-play?watchFullGame=true", "SAS vs POR - Q1 11:43.00")</f>
        <v>SAS vs POR - Q1 11:43.00</v>
      </c>
      <c r="L1868">
        <v>0</v>
      </c>
      <c r="M1868">
        <v>0</v>
      </c>
      <c r="N1868">
        <v>1</v>
      </c>
      <c r="O1868">
        <v>0</v>
      </c>
      <c r="P1868">
        <v>1</v>
      </c>
    </row>
    <row r="1869" spans="1:16" x14ac:dyDescent="0.25">
      <c r="A1869">
        <v>21400102</v>
      </c>
      <c r="B1869">
        <v>2014</v>
      </c>
      <c r="C1869" t="s">
        <v>32</v>
      </c>
      <c r="D1869" t="s">
        <v>79</v>
      </c>
      <c r="E1869">
        <v>40</v>
      </c>
      <c r="F1869">
        <v>33</v>
      </c>
      <c r="G1869">
        <v>2</v>
      </c>
      <c r="H1869" s="1">
        <v>2.4421296296296296E-3</v>
      </c>
      <c r="I1869" t="s">
        <v>18</v>
      </c>
      <c r="J1869" s="2" t="str">
        <f>HYPERLINK("https://www.nba.com/stats/events?CFID=&amp;CFPARAMS=&amp;GameEventID=195&amp;GameID=0021400102&amp;Season=2014-15&amp;flag=1&amp;title=Leonard%20%20Reverse%20Dunk%20(12%20PTS)%20(Duncan%203%20AST)", "Leonard  Reverse Dunk (12 PTS) (Duncan 3 AST)")</f>
        <v>Leonard  Reverse Dunk (12 PTS) (Duncan 3 AST)</v>
      </c>
      <c r="K1869" s="2" t="str">
        <f>HYPERLINK("https://www.nba.com/game/...-vs-...-0021400102/play-by-play?watchFullGame=true", "SAS vs LAC - Q2 03:31.00")</f>
        <v>SAS vs LAC - Q2 03:31.00</v>
      </c>
      <c r="L1869">
        <v>0</v>
      </c>
      <c r="M1869">
        <v>0</v>
      </c>
      <c r="N1869">
        <v>1</v>
      </c>
      <c r="O1869">
        <v>0</v>
      </c>
      <c r="P1869">
        <v>1</v>
      </c>
    </row>
    <row r="1870" spans="1:16" x14ac:dyDescent="0.25">
      <c r="A1870">
        <v>21401150</v>
      </c>
      <c r="B1870">
        <v>2014</v>
      </c>
      <c r="C1870" t="s">
        <v>32</v>
      </c>
      <c r="D1870" t="s">
        <v>62</v>
      </c>
      <c r="E1870">
        <v>17</v>
      </c>
      <c r="F1870">
        <v>7</v>
      </c>
      <c r="G1870">
        <v>1</v>
      </c>
      <c r="H1870" s="1">
        <v>4.3287037037037035E-3</v>
      </c>
      <c r="I1870" t="s">
        <v>18</v>
      </c>
      <c r="J1870" s="2" t="str">
        <f>HYPERLINK("https://www.nba.com/stats/events?CFID=&amp;CFPARAMS=&amp;GameEventID=60&amp;GameID=0021401150&amp;Season=2014-15&amp;flag=1&amp;title=Leonard%20%20Dunk%20(11%20PTS)", "Leonard  Dunk (11 PTS)")</f>
        <v>Leonard  Dunk (11 PTS)</v>
      </c>
      <c r="K1870" s="2" t="str">
        <f>HYPERLINK("https://www.nba.com/game/...-vs-...-0021401150/play-by-play?watchFullGame=true", "SAS vs GSW - Q1 06:14.00")</f>
        <v>SAS vs GSW - Q1 06:14.00</v>
      </c>
      <c r="L1870">
        <v>0</v>
      </c>
      <c r="M1870">
        <v>0</v>
      </c>
      <c r="N1870">
        <v>1</v>
      </c>
      <c r="O1870">
        <v>0</v>
      </c>
      <c r="P1870">
        <v>1</v>
      </c>
    </row>
    <row r="1871" spans="1:16" x14ac:dyDescent="0.25">
      <c r="A1871">
        <v>21500439</v>
      </c>
      <c r="B1871">
        <v>2015</v>
      </c>
      <c r="C1871" t="s">
        <v>32</v>
      </c>
      <c r="D1871" t="s">
        <v>63</v>
      </c>
      <c r="E1871">
        <v>36</v>
      </c>
      <c r="F1871">
        <v>36</v>
      </c>
      <c r="G1871">
        <v>2</v>
      </c>
      <c r="H1871" s="1">
        <v>2.685185185185185E-3</v>
      </c>
      <c r="I1871" t="s">
        <v>18</v>
      </c>
      <c r="J1871" s="2" t="str">
        <f>HYPERLINK("https://www.nba.com/stats/events?CFID=&amp;CFPARAMS=&amp;GameEventID=197&amp;GameID=0021500439&amp;Season=2015-16&amp;flag=1&amp;title=Leonard%20%20Running%20Dunk%20(9%20PTS)", "Leonard  Running Dunk (9 PTS)")</f>
        <v>Leonard  Running Dunk (9 PTS)</v>
      </c>
      <c r="K1871" s="2" t="str">
        <f>HYPERLINK("https://www.nba.com/game/...-vs-...-0021500439/play-by-play?watchFullGame=true", "SAS vs HOU - Q2 03:52.00")</f>
        <v>SAS vs HOU - Q2 03:52.00</v>
      </c>
      <c r="L1871">
        <v>0</v>
      </c>
      <c r="M1871">
        <v>0</v>
      </c>
      <c r="N1871">
        <v>1</v>
      </c>
      <c r="O1871">
        <v>0</v>
      </c>
      <c r="P1871">
        <v>1</v>
      </c>
    </row>
    <row r="1872" spans="1:16" x14ac:dyDescent="0.25">
      <c r="A1872">
        <v>21500928</v>
      </c>
      <c r="B1872">
        <v>2015</v>
      </c>
      <c r="C1872" t="s">
        <v>32</v>
      </c>
      <c r="D1872" t="s">
        <v>67</v>
      </c>
      <c r="E1872">
        <v>98</v>
      </c>
      <c r="F1872">
        <v>88</v>
      </c>
      <c r="G1872">
        <v>4</v>
      </c>
      <c r="H1872" s="1">
        <v>1.8402777777777777E-3</v>
      </c>
      <c r="I1872" t="s">
        <v>18</v>
      </c>
      <c r="J1872" s="2" t="str">
        <f>HYPERLINK("https://www.nba.com/stats/events?CFID=&amp;CFPARAMS=&amp;GameEventID=502&amp;GameID=0021500928&amp;Season=2015-16&amp;flag=1&amp;title=Leonard%20%20Driving%20Dunk%20(25%20PTS)%20(Diaw%206%20AST)", "Leonard  Driving Dunk (25 PTS) (Diaw 6 AST)")</f>
        <v>Leonard  Driving Dunk (25 PTS) (Diaw 6 AST)</v>
      </c>
      <c r="K1872" s="2" t="str">
        <f>HYPERLINK("https://www.nba.com/game/...-vs-...-0021500928/play-by-play?watchFullGame=true", "SAS vs SAC - Q4 02:39.00")</f>
        <v>SAS vs SAC - Q4 02:39.00</v>
      </c>
      <c r="L1872">
        <v>0</v>
      </c>
      <c r="M1872">
        <v>0</v>
      </c>
      <c r="N1872">
        <v>1</v>
      </c>
      <c r="O1872">
        <v>0</v>
      </c>
      <c r="P1872">
        <v>1</v>
      </c>
    </row>
    <row r="1873" spans="1:16" x14ac:dyDescent="0.25">
      <c r="A1873">
        <v>21600037</v>
      </c>
      <c r="B1873">
        <v>2016</v>
      </c>
      <c r="C1873" t="s">
        <v>32</v>
      </c>
      <c r="D1873" t="s">
        <v>67</v>
      </c>
      <c r="E1873">
        <v>87</v>
      </c>
      <c r="F1873">
        <v>91</v>
      </c>
      <c r="G1873">
        <v>4</v>
      </c>
      <c r="H1873" s="1">
        <v>4.2129629629629626E-3</v>
      </c>
      <c r="I1873" t="s">
        <v>18</v>
      </c>
      <c r="J1873" s="2" t="str">
        <f>HYPERLINK("https://www.nba.com/stats/events?CFID=&amp;CFPARAMS=&amp;GameEventID=477&amp;GameID=0021600037&amp;Season=2016-17&amp;flag=1&amp;title=Leonard%20Driving%20Dunk%20(15%20PTS)", "Leonard Driving Dunk (15 PTS)")</f>
        <v>Leonard Driving Dunk (15 PTS)</v>
      </c>
      <c r="K1873" s="2" t="str">
        <f>HYPERLINK("https://www.nba.com/game/...-vs-...-0021600037/play-by-play?watchFullGame=true", "SAS vs MIA - Q4 06:04.00")</f>
        <v>SAS vs MIA - Q4 06:04.00</v>
      </c>
      <c r="L1873">
        <v>0</v>
      </c>
      <c r="M1873">
        <v>0</v>
      </c>
      <c r="N1873">
        <v>1</v>
      </c>
      <c r="O1873">
        <v>0</v>
      </c>
      <c r="P1873">
        <v>1</v>
      </c>
    </row>
    <row r="1874" spans="1:16" x14ac:dyDescent="0.25">
      <c r="A1874">
        <v>21600717</v>
      </c>
      <c r="B1874">
        <v>2016</v>
      </c>
      <c r="C1874" t="s">
        <v>32</v>
      </c>
      <c r="D1874" t="s">
        <v>63</v>
      </c>
      <c r="E1874">
        <v>68</v>
      </c>
      <c r="F1874">
        <v>65</v>
      </c>
      <c r="G1874">
        <v>3</v>
      </c>
      <c r="H1874" s="1">
        <v>4.5717592592592589E-3</v>
      </c>
      <c r="I1874" t="s">
        <v>18</v>
      </c>
      <c r="J1874" s="2" t="str">
        <f>HYPERLINK("https://www.nba.com/stats/events?CFID=&amp;CFPARAMS=&amp;GameEventID=310&amp;GameID=0021600717&amp;Season=2016-17&amp;flag=1&amp;title=Leonard%20%20Running%20Dunk%20(16%20PTS)%20(Bertans%201%20AST)", "Leonard  Running Dunk (16 PTS) (Bertans 1 AST)")</f>
        <v>Leonard  Running Dunk (16 PTS) (Bertans 1 AST)</v>
      </c>
      <c r="K1874" s="2" t="str">
        <f>HYPERLINK("https://www.nba.com/game/...-vs-...-0021600717/play-by-play?watchFullGame=true", "SAS vs DAL - Q3 06:35.00")</f>
        <v>SAS vs DAL - Q3 06:35.00</v>
      </c>
      <c r="L1874">
        <v>0</v>
      </c>
      <c r="M1874">
        <v>0</v>
      </c>
      <c r="N1874">
        <v>1</v>
      </c>
      <c r="O1874">
        <v>0</v>
      </c>
      <c r="P1874">
        <v>1</v>
      </c>
    </row>
    <row r="1875" spans="1:16" x14ac:dyDescent="0.25">
      <c r="A1875">
        <v>21601056</v>
      </c>
      <c r="B1875">
        <v>2016</v>
      </c>
      <c r="C1875" t="s">
        <v>32</v>
      </c>
      <c r="D1875" t="s">
        <v>62</v>
      </c>
      <c r="E1875">
        <v>58</v>
      </c>
      <c r="F1875">
        <v>54</v>
      </c>
      <c r="G1875">
        <v>3</v>
      </c>
      <c r="H1875" s="1">
        <v>4.6527777777777774E-3</v>
      </c>
      <c r="I1875" t="s">
        <v>18</v>
      </c>
      <c r="J1875" s="2" t="str">
        <f>HYPERLINK("https://www.nba.com/stats/events?CFID=&amp;CFPARAMS=&amp;GameEventID=272&amp;GameID=0021601056&amp;Season=2016-17&amp;flag=1&amp;title=Leonard%20%20Dunk%20(6%20PTS)%20(Parker%205%20AST)", "Leonard  Dunk (6 PTS) (Parker 5 AST)")</f>
        <v>Leonard  Dunk (6 PTS) (Parker 5 AST)</v>
      </c>
      <c r="K1875" s="2" t="str">
        <f>HYPERLINK("https://www.nba.com/game/...-vs-...-0021601056/play-by-play?watchFullGame=true", "SAS vs MIN - Q3 06:42.00")</f>
        <v>SAS vs MIN - Q3 06:42.00</v>
      </c>
      <c r="L1875">
        <v>0</v>
      </c>
      <c r="M1875">
        <v>0</v>
      </c>
      <c r="N1875">
        <v>1</v>
      </c>
      <c r="O1875">
        <v>0</v>
      </c>
      <c r="P1875">
        <v>1</v>
      </c>
    </row>
    <row r="1876" spans="1:16" x14ac:dyDescent="0.25">
      <c r="A1876">
        <v>41400162</v>
      </c>
      <c r="B1876" t="s">
        <v>28</v>
      </c>
      <c r="C1876" t="s">
        <v>32</v>
      </c>
      <c r="D1876" t="s">
        <v>40</v>
      </c>
      <c r="E1876">
        <v>53</v>
      </c>
      <c r="F1876">
        <v>59</v>
      </c>
      <c r="G1876">
        <v>3</v>
      </c>
      <c r="H1876" s="1">
        <v>5.092592592592593E-3</v>
      </c>
      <c r="I1876" t="s">
        <v>18</v>
      </c>
      <c r="J1876" s="2" t="str">
        <f>HYPERLINK("https://www.nba.com/stats/events?CFID=&amp;CFPARAMS=&amp;GameEventID=294&amp;GameID=0041400162&amp;Season=2014-15&amp;flag=1&amp;title=Leonard%20%20Hook%20Shot%20(13%20PTS)", "Leonard  Hook Shot (13 PTS)")</f>
        <v>Leonard  Hook Shot (13 PTS)</v>
      </c>
      <c r="K1876" s="2" t="str">
        <f>HYPERLINK("https://www.nba.com/game/...-vs-...-0041400162/play-by-play?watchFullGame=true", "SAS vs LAC - Q3 07:20.00")</f>
        <v>SAS vs LAC - Q3 07:20.00</v>
      </c>
      <c r="L1876">
        <v>0</v>
      </c>
      <c r="M1876">
        <v>0</v>
      </c>
      <c r="N1876">
        <v>1</v>
      </c>
      <c r="O1876">
        <v>0</v>
      </c>
      <c r="P1876">
        <v>1</v>
      </c>
    </row>
    <row r="1877" spans="1:16" x14ac:dyDescent="0.25">
      <c r="A1877">
        <v>41400163</v>
      </c>
      <c r="B1877" t="s">
        <v>28</v>
      </c>
      <c r="C1877" t="s">
        <v>32</v>
      </c>
      <c r="D1877" t="s">
        <v>60</v>
      </c>
      <c r="E1877">
        <v>41</v>
      </c>
      <c r="F1877">
        <v>33</v>
      </c>
      <c r="G1877">
        <v>2</v>
      </c>
      <c r="H1877" s="1">
        <v>1.712962962962963E-3</v>
      </c>
      <c r="I1877" t="s">
        <v>18</v>
      </c>
      <c r="J1877" s="2" t="str">
        <f>HYPERLINK("https://www.nba.com/stats/events?CFID=&amp;CFPARAMS=&amp;GameEventID=205&amp;GameID=0041400163&amp;Season=2014-15&amp;flag=1&amp;title=Leonard%20%20Alley%20Oop%20Dunk%20(14%20PTS)%20(Green%202%20AST)", "Leonard  Alley Oop Dunk (14 PTS) (Green 2 AST)")</f>
        <v>Leonard  Alley Oop Dunk (14 PTS) (Green 2 AST)</v>
      </c>
      <c r="K1877" s="2" t="str">
        <f>HYPERLINK("https://www.nba.com/game/...-vs-...-0041400163/play-by-play?watchFullGame=true", "SAS vs LAC - Q2 02:28.00")</f>
        <v>SAS vs LAC - Q2 02:28.00</v>
      </c>
      <c r="L1877">
        <v>0</v>
      </c>
      <c r="M1877">
        <v>0</v>
      </c>
      <c r="N1877">
        <v>1</v>
      </c>
      <c r="O1877">
        <v>0</v>
      </c>
      <c r="P1877">
        <v>1</v>
      </c>
    </row>
    <row r="1878" spans="1:16" x14ac:dyDescent="0.25">
      <c r="A1878">
        <v>41500151</v>
      </c>
      <c r="B1878" t="s">
        <v>25</v>
      </c>
      <c r="C1878" t="s">
        <v>32</v>
      </c>
      <c r="D1878" t="s">
        <v>63</v>
      </c>
      <c r="E1878">
        <v>28</v>
      </c>
      <c r="F1878">
        <v>22</v>
      </c>
      <c r="G1878">
        <v>2</v>
      </c>
      <c r="H1878" s="1">
        <v>5.7523148148148151E-3</v>
      </c>
      <c r="I1878" t="s">
        <v>18</v>
      </c>
      <c r="J1878" s="2" t="str">
        <f>HYPERLINK("https://www.nba.com/stats/events?CFID=&amp;CFPARAMS=&amp;GameEventID=157&amp;GameID=0041500151&amp;Season=2015-16&amp;flag=1&amp;title=Leonard%20%20Running%20Dunk%20(7%20PTS)", "Leonard  Running Dunk (7 PTS)")</f>
        <v>Leonard  Running Dunk (7 PTS)</v>
      </c>
      <c r="K1878" s="2" t="str">
        <f>HYPERLINK("https://www.nba.com/game/...-vs-...-0041500151/play-by-play?watchFullGame=true", "SAS vs MEM - Q2 08:17.00")</f>
        <v>SAS vs MEM - Q2 08:17.00</v>
      </c>
      <c r="L1878">
        <v>0</v>
      </c>
      <c r="M1878">
        <v>0</v>
      </c>
      <c r="N1878">
        <v>1</v>
      </c>
      <c r="O1878">
        <v>0</v>
      </c>
      <c r="P1878">
        <v>1</v>
      </c>
    </row>
    <row r="1879" spans="1:16" x14ac:dyDescent="0.25">
      <c r="A1879">
        <v>21400159</v>
      </c>
      <c r="B1879">
        <v>2014</v>
      </c>
      <c r="C1879" t="s">
        <v>32</v>
      </c>
      <c r="D1879" t="s">
        <v>76</v>
      </c>
      <c r="E1879">
        <v>10</v>
      </c>
      <c r="F1879">
        <v>13</v>
      </c>
      <c r="G1879">
        <v>1</v>
      </c>
      <c r="H1879" s="1">
        <v>4.0393518518518521E-3</v>
      </c>
      <c r="I1879" t="s">
        <v>18</v>
      </c>
      <c r="J1879" s="2" t="str">
        <f>HYPERLINK("https://www.nba.com/stats/events?CFID=&amp;CFPARAMS=&amp;GameEventID=54&amp;GameID=0021400159&amp;Season=2014-15&amp;flag=1&amp;title=Leonard%20%20Driving%20Slam%20Dunk%20(2%20PTS)%20(Diaw%201%20AST)", "Leonard  Driving Slam Dunk (2 PTS) (Diaw 1 AST)")</f>
        <v>Leonard  Driving Slam Dunk (2 PTS) (Diaw 1 AST)</v>
      </c>
      <c r="K1879" s="2" t="str">
        <f>HYPERLINK("https://www.nba.com/game/...-vs-...-0021400159/play-by-play?watchFullGame=true", "SAS vs CLE - Q1 05:49.00")</f>
        <v>SAS vs CLE - Q1 05:49.00</v>
      </c>
      <c r="L1879">
        <v>0</v>
      </c>
      <c r="M1879">
        <v>0</v>
      </c>
      <c r="N1879">
        <v>1</v>
      </c>
      <c r="O1879">
        <v>0</v>
      </c>
      <c r="P1879">
        <v>1</v>
      </c>
    </row>
    <row r="1880" spans="1:16" x14ac:dyDescent="0.25">
      <c r="A1880">
        <v>21400637</v>
      </c>
      <c r="B1880">
        <v>2014</v>
      </c>
      <c r="C1880" t="s">
        <v>32</v>
      </c>
      <c r="D1880" t="s">
        <v>62</v>
      </c>
      <c r="E1880">
        <v>43</v>
      </c>
      <c r="F1880">
        <v>40</v>
      </c>
      <c r="G1880">
        <v>2</v>
      </c>
      <c r="H1880" s="1">
        <v>4.270833333333333E-4</v>
      </c>
      <c r="I1880" t="s">
        <v>18</v>
      </c>
      <c r="J1880" s="2" t="str">
        <f>HYPERLINK("https://www.nba.com/stats/events?CFID=&amp;CFPARAMS=&amp;GameEventID=220&amp;GameID=0021400637&amp;Season=2014-15&amp;flag=1&amp;title=Leonard%20Dunk%20(16%20PTS)%20(Splitter%201%20AST)", "Leonard Dunk (16 PTS) (Splitter 1 AST)")</f>
        <v>Leonard Dunk (16 PTS) (Splitter 1 AST)</v>
      </c>
      <c r="K1880" s="2" t="str">
        <f>HYPERLINK("https://www.nba.com/game/...-vs-...-0021400637/play-by-play?watchFullGame=true", "SAS vs CHI - Q2 00:36.90")</f>
        <v>SAS vs CHI - Q2 00:36.90</v>
      </c>
      <c r="L1880">
        <v>0</v>
      </c>
      <c r="M1880">
        <v>0</v>
      </c>
      <c r="N1880">
        <v>1</v>
      </c>
      <c r="O1880">
        <v>0</v>
      </c>
      <c r="P1880">
        <v>1</v>
      </c>
    </row>
    <row r="1881" spans="1:16" x14ac:dyDescent="0.25">
      <c r="A1881">
        <v>21500257</v>
      </c>
      <c r="B1881">
        <v>2015</v>
      </c>
      <c r="C1881" t="s">
        <v>32</v>
      </c>
      <c r="D1881" t="s">
        <v>67</v>
      </c>
      <c r="E1881">
        <v>39</v>
      </c>
      <c r="F1881">
        <v>38</v>
      </c>
      <c r="G1881">
        <v>2</v>
      </c>
      <c r="H1881" s="1">
        <v>2.9976851851851853E-3</v>
      </c>
      <c r="I1881" t="s">
        <v>18</v>
      </c>
      <c r="J1881" s="2" t="str">
        <f>HYPERLINK("https://www.nba.com/stats/events?CFID=&amp;CFPARAMS=&amp;GameEventID=193&amp;GameID=0021500257&amp;Season=2015-16&amp;flag=1&amp;title=Leonard%20%20Driving%20Dunk%20(9%20PTS)%20(Parker%206%20AST)", "Leonard  Driving Dunk (9 PTS) (Parker 6 AST)")</f>
        <v>Leonard  Driving Dunk (9 PTS) (Parker 6 AST)</v>
      </c>
      <c r="K1881" s="2" t="str">
        <f>HYPERLINK("https://www.nba.com/game/...-vs-...-0021500257/play-by-play?watchFullGame=true", "SAS vs CHI - Q2 04:19.00")</f>
        <v>SAS vs CHI - Q2 04:19.00</v>
      </c>
      <c r="L1881">
        <v>0</v>
      </c>
      <c r="M1881">
        <v>0</v>
      </c>
      <c r="N1881">
        <v>1</v>
      </c>
      <c r="O1881">
        <v>0</v>
      </c>
      <c r="P1881">
        <v>1</v>
      </c>
    </row>
    <row r="1882" spans="1:16" x14ac:dyDescent="0.25">
      <c r="A1882">
        <v>21500546</v>
      </c>
      <c r="B1882">
        <v>2015</v>
      </c>
      <c r="C1882" t="s">
        <v>32</v>
      </c>
      <c r="D1882" t="s">
        <v>63</v>
      </c>
      <c r="E1882">
        <v>42</v>
      </c>
      <c r="F1882">
        <v>41</v>
      </c>
      <c r="G1882">
        <v>2</v>
      </c>
      <c r="H1882" s="1">
        <v>2.9861111111111113E-3</v>
      </c>
      <c r="I1882" t="s">
        <v>18</v>
      </c>
      <c r="J1882" s="2" t="str">
        <f>HYPERLINK("https://www.nba.com/stats/events?CFID=&amp;CFPARAMS=&amp;GameEventID=231&amp;GameID=0021500546&amp;Season=2015-16&amp;flag=1&amp;title=Leonard%20%20Running%20Dunk%20(11%20PTS)", "Leonard  Running Dunk (11 PTS)")</f>
        <v>Leonard  Running Dunk (11 PTS)</v>
      </c>
      <c r="K1882" s="2" t="str">
        <f>HYPERLINK("https://www.nba.com/game/...-vs-...-0021500546/play-by-play?watchFullGame=true", "SAS vs NYK - Q2 04:18.00")</f>
        <v>SAS vs NYK - Q2 04:18.00</v>
      </c>
      <c r="L1882">
        <v>0</v>
      </c>
      <c r="M1882">
        <v>0</v>
      </c>
      <c r="N1882">
        <v>1</v>
      </c>
      <c r="O1882">
        <v>0</v>
      </c>
      <c r="P1882">
        <v>1</v>
      </c>
    </row>
    <row r="1883" spans="1:16" x14ac:dyDescent="0.25">
      <c r="A1883">
        <v>21500590</v>
      </c>
      <c r="B1883">
        <v>2015</v>
      </c>
      <c r="C1883" t="s">
        <v>32</v>
      </c>
      <c r="D1883" t="s">
        <v>68</v>
      </c>
      <c r="E1883">
        <v>2</v>
      </c>
      <c r="F1883">
        <v>2</v>
      </c>
      <c r="G1883">
        <v>1</v>
      </c>
      <c r="H1883" s="1">
        <v>8.0092592592592594E-3</v>
      </c>
      <c r="I1883" t="s">
        <v>18</v>
      </c>
      <c r="J1883" s="2" t="str">
        <f>HYPERLINK("https://www.nba.com/stats/events?CFID=&amp;CFPARAMS=&amp;GameEventID=3&amp;GameID=0021500590&amp;Season=2015-16&amp;flag=1&amp;title=Leonard%20%20Cutting%20Dunk%20Shot%20(2%20PTS)%20(Parker%201%20AST)", "Leonard  Cutting Dunk Shot (2 PTS) (Parker 1 AST)")</f>
        <v>Leonard  Cutting Dunk Shot (2 PTS) (Parker 1 AST)</v>
      </c>
      <c r="K1883" s="2" t="str">
        <f>HYPERLINK("https://www.nba.com/game/...-vs-...-0021500590/play-by-play?watchFullGame=true", "SAS vs CLE - Q1 11:32.00")</f>
        <v>SAS vs CLE - Q1 11:32.00</v>
      </c>
      <c r="L1883">
        <v>0</v>
      </c>
      <c r="M1883">
        <v>0</v>
      </c>
      <c r="N1883">
        <v>1</v>
      </c>
      <c r="O1883">
        <v>0</v>
      </c>
      <c r="P1883">
        <v>1</v>
      </c>
    </row>
    <row r="1884" spans="1:16" x14ac:dyDescent="0.25">
      <c r="A1884">
        <v>21501161</v>
      </c>
      <c r="B1884">
        <v>2015</v>
      </c>
      <c r="C1884" t="s">
        <v>32</v>
      </c>
      <c r="D1884" t="s">
        <v>67</v>
      </c>
      <c r="E1884">
        <v>64</v>
      </c>
      <c r="F1884">
        <v>73</v>
      </c>
      <c r="G1884">
        <v>4</v>
      </c>
      <c r="H1884" s="1">
        <v>5.7175925925925927E-3</v>
      </c>
      <c r="I1884" t="s">
        <v>18</v>
      </c>
      <c r="J1884" s="2" t="str">
        <f>HYPERLINK("https://www.nba.com/stats/events?CFID=&amp;CFPARAMS=&amp;GameEventID=380&amp;GameID=0021501161&amp;Season=2015-16&amp;flag=1&amp;title=Leonard%20%20Driving%20Dunk%20(14%20PTS)", "Leonard  Driving Dunk (14 PTS)")</f>
        <v>Leonard  Driving Dunk (14 PTS)</v>
      </c>
      <c r="K1884" s="2" t="str">
        <f>HYPERLINK("https://www.nba.com/game/...-vs-...-0021501161/play-by-play?watchFullGame=true", "SAS vs UTA - Q4 08:14.00")</f>
        <v>SAS vs UTA - Q4 08:14.00</v>
      </c>
      <c r="L1884">
        <v>0</v>
      </c>
      <c r="M1884">
        <v>0</v>
      </c>
      <c r="N1884">
        <v>1</v>
      </c>
      <c r="O1884">
        <v>0</v>
      </c>
      <c r="P1884">
        <v>1</v>
      </c>
    </row>
    <row r="1885" spans="1:16" x14ac:dyDescent="0.25">
      <c r="A1885">
        <v>21600032</v>
      </c>
      <c r="B1885">
        <v>2016</v>
      </c>
      <c r="C1885" t="s">
        <v>32</v>
      </c>
      <c r="D1885" t="s">
        <v>62</v>
      </c>
      <c r="E1885">
        <v>48</v>
      </c>
      <c r="F1885">
        <v>38</v>
      </c>
      <c r="G1885">
        <v>2</v>
      </c>
      <c r="H1885" s="1">
        <v>1.6435185185185185E-3</v>
      </c>
      <c r="I1885" t="s">
        <v>18</v>
      </c>
      <c r="J1885" s="2" t="str">
        <f>HYPERLINK("https://www.nba.com/stats/events?CFID=&amp;CFPARAMS=&amp;GameEventID=224&amp;GameID=0021600032&amp;Season=2016-17&amp;flag=1&amp;title=Leonard%20%20Dunk%20(4%20PTS)", "Leonard  Dunk (4 PTS)")</f>
        <v>Leonard  Dunk (4 PTS)</v>
      </c>
      <c r="K1885" s="2" t="str">
        <f>HYPERLINK("https://www.nba.com/game/...-vs-...-0021600032/play-by-play?watchFullGame=true", "SAS vs NOP - Q2 02:22.00")</f>
        <v>SAS vs NOP - Q2 02:22.00</v>
      </c>
      <c r="L1885">
        <v>0</v>
      </c>
      <c r="M1885">
        <v>0</v>
      </c>
      <c r="N1885">
        <v>1</v>
      </c>
      <c r="O1885">
        <v>0</v>
      </c>
      <c r="P1885">
        <v>1</v>
      </c>
    </row>
    <row r="1886" spans="1:16" x14ac:dyDescent="0.25">
      <c r="A1886">
        <v>21600309</v>
      </c>
      <c r="B1886">
        <v>2016</v>
      </c>
      <c r="C1886" t="s">
        <v>32</v>
      </c>
      <c r="D1886" t="s">
        <v>80</v>
      </c>
      <c r="E1886">
        <v>92</v>
      </c>
      <c r="F1886">
        <v>93</v>
      </c>
      <c r="G1886">
        <v>4</v>
      </c>
      <c r="H1886" s="1">
        <v>2.1527777777777778E-3</v>
      </c>
      <c r="I1886" t="s">
        <v>18</v>
      </c>
      <c r="J1886" s="2" t="str">
        <f>HYPERLINK("https://www.nba.com/stats/events?CFID=&amp;CFPARAMS=&amp;GameEventID=535&amp;GameID=0021600309&amp;Season=2016-17&amp;flag=1&amp;title=Leonard%20%20Tip%20Dunk%20Shot%20(19%20PTS)", "Leonard  Tip Dunk Shot (19 PTS)")</f>
        <v>Leonard  Tip Dunk Shot (19 PTS)</v>
      </c>
      <c r="K1886" s="2" t="str">
        <f>HYPERLINK("https://www.nba.com/game/...-vs-...-0021600309/play-by-play?watchFullGame=true", "SAS vs MIL - Q4 03:06.00")</f>
        <v>SAS vs MIL - Q4 03:06.00</v>
      </c>
      <c r="L1886">
        <v>0</v>
      </c>
      <c r="M1886">
        <v>0</v>
      </c>
      <c r="N1886">
        <v>1</v>
      </c>
      <c r="O1886">
        <v>0</v>
      </c>
      <c r="P1886">
        <v>1</v>
      </c>
    </row>
    <row r="1887" spans="1:16" x14ac:dyDescent="0.25">
      <c r="A1887">
        <v>21600817</v>
      </c>
      <c r="B1887">
        <v>2016</v>
      </c>
      <c r="C1887" t="s">
        <v>32</v>
      </c>
      <c r="D1887" t="s">
        <v>62</v>
      </c>
      <c r="E1887">
        <v>30</v>
      </c>
      <c r="F1887">
        <v>40</v>
      </c>
      <c r="G1887">
        <v>2</v>
      </c>
      <c r="H1887" s="1">
        <v>3.472222222222222E-3</v>
      </c>
      <c r="I1887" t="s">
        <v>18</v>
      </c>
      <c r="J1887" s="2" t="str">
        <f>HYPERLINK("https://www.nba.com/stats/events?CFID=&amp;CFPARAMS=&amp;GameEventID=181&amp;GameID=0021600817&amp;Season=2016-17&amp;flag=1&amp;title=Leonard%20%20Dunk%20(8%20PTS)%20(Parker%203%20AST)", "Leonard  Dunk (8 PTS) (Parker 3 AST)")</f>
        <v>Leonard  Dunk (8 PTS) (Parker 3 AST)</v>
      </c>
      <c r="K1887" s="2" t="str">
        <f>HYPERLINK("https://www.nba.com/game/...-vs-...-0021600817/play-by-play?watchFullGame=true", "SAS vs NYK - Q2 05:00.00")</f>
        <v>SAS vs NYK - Q2 05:00.00</v>
      </c>
      <c r="L1887">
        <v>0</v>
      </c>
      <c r="M1887">
        <v>0</v>
      </c>
      <c r="N1887">
        <v>1</v>
      </c>
      <c r="O1887">
        <v>0</v>
      </c>
      <c r="P1887">
        <v>1</v>
      </c>
    </row>
    <row r="1888" spans="1:16" x14ac:dyDescent="0.25">
      <c r="A1888">
        <v>21400757</v>
      </c>
      <c r="B1888">
        <v>2014</v>
      </c>
      <c r="C1888" t="s">
        <v>32</v>
      </c>
      <c r="D1888" t="s">
        <v>62</v>
      </c>
      <c r="E1888">
        <v>13</v>
      </c>
      <c r="F1888">
        <v>13</v>
      </c>
      <c r="G1888">
        <v>1</v>
      </c>
      <c r="H1888" s="1">
        <v>3.472222222222222E-3</v>
      </c>
      <c r="I1888" t="s">
        <v>18</v>
      </c>
      <c r="J1888" s="2" t="str">
        <f>HYPERLINK("https://www.nba.com/stats/events?CFID=&amp;CFPARAMS=&amp;GameEventID=62&amp;GameID=0021400757&amp;Season=2014-15&amp;flag=1&amp;title=Leonard%20%20Dunk%20(2%20PTS)", "Leonard  Dunk (2 PTS)")</f>
        <v>Leonard  Dunk (2 PTS)</v>
      </c>
      <c r="K1888" s="2" t="str">
        <f>HYPERLINK("https://www.nba.com/game/...-vs-...-0021400757/play-by-play?watchFullGame=true", "SAS vs MIA - Q1 05:00.00")</f>
        <v>SAS vs MIA - Q1 05:00.00</v>
      </c>
      <c r="L1888">
        <v>0</v>
      </c>
      <c r="M1888">
        <v>0</v>
      </c>
      <c r="N1888">
        <v>1</v>
      </c>
      <c r="O1888">
        <v>0</v>
      </c>
      <c r="P1888">
        <v>1</v>
      </c>
    </row>
    <row r="1889" spans="1:16" x14ac:dyDescent="0.25">
      <c r="A1889">
        <v>21400949</v>
      </c>
      <c r="B1889">
        <v>2014</v>
      </c>
      <c r="C1889" t="s">
        <v>32</v>
      </c>
      <c r="D1889" t="s">
        <v>62</v>
      </c>
      <c r="E1889">
        <v>82</v>
      </c>
      <c r="F1889">
        <v>66</v>
      </c>
      <c r="G1889">
        <v>3</v>
      </c>
      <c r="H1889" s="1">
        <v>8.6805555555555551E-4</v>
      </c>
      <c r="I1889" t="s">
        <v>18</v>
      </c>
      <c r="J1889" s="2" t="str">
        <f>HYPERLINK("https://www.nba.com/stats/events?CFID=&amp;CFPARAMS=&amp;GameEventID=342&amp;GameID=0021400949&amp;Season=2014-15&amp;flag=1&amp;title=Leonard%20Dunk%20(18%20PTS)", "Leonard Dunk (18 PTS)")</f>
        <v>Leonard Dunk (18 PTS)</v>
      </c>
      <c r="K1889" s="2" t="str">
        <f>HYPERLINK("https://www.nba.com/game/...-vs-...-0021400949/play-by-play?watchFullGame=true", "SAS vs TOR - Q3 01:15.00")</f>
        <v>SAS vs TOR - Q3 01:15.00</v>
      </c>
      <c r="L1889">
        <v>0</v>
      </c>
      <c r="M1889">
        <v>0</v>
      </c>
      <c r="N1889">
        <v>1</v>
      </c>
      <c r="O1889">
        <v>0</v>
      </c>
      <c r="P1889">
        <v>1</v>
      </c>
    </row>
    <row r="1890" spans="1:16" x14ac:dyDescent="0.25">
      <c r="A1890">
        <v>21500379</v>
      </c>
      <c r="B1890">
        <v>2015</v>
      </c>
      <c r="C1890" t="s">
        <v>32</v>
      </c>
      <c r="D1890" t="s">
        <v>62</v>
      </c>
      <c r="E1890">
        <v>61</v>
      </c>
      <c r="F1890">
        <v>54</v>
      </c>
      <c r="G1890">
        <v>3</v>
      </c>
      <c r="H1890" s="1">
        <v>6.7824074074074071E-3</v>
      </c>
      <c r="I1890" t="s">
        <v>18</v>
      </c>
      <c r="J1890" s="2" t="str">
        <f>HYPERLINK("https://www.nba.com/stats/events?CFID=&amp;CFPARAMS=&amp;GameEventID=302&amp;GameID=0021500379&amp;Season=2015-16&amp;flag=1&amp;title=Leonard%20%20Dunk%20(15%20PTS)", "Leonard  Dunk (15 PTS)")</f>
        <v>Leonard  Dunk (15 PTS)</v>
      </c>
      <c r="K1890" s="2" t="str">
        <f>HYPERLINK("https://www.nba.com/game/...-vs-...-0021500379/play-by-play?watchFullGame=true", "SAS vs WAS - Q3 09:46.00")</f>
        <v>SAS vs WAS - Q3 09:46.00</v>
      </c>
      <c r="L1890">
        <v>0</v>
      </c>
      <c r="M1890">
        <v>0</v>
      </c>
      <c r="N1890">
        <v>1</v>
      </c>
      <c r="O1890">
        <v>0</v>
      </c>
      <c r="P1890">
        <v>1</v>
      </c>
    </row>
    <row r="1891" spans="1:16" x14ac:dyDescent="0.25">
      <c r="A1891">
        <v>21500502</v>
      </c>
      <c r="B1891">
        <v>2015</v>
      </c>
      <c r="C1891" t="s">
        <v>32</v>
      </c>
      <c r="D1891" t="s">
        <v>63</v>
      </c>
      <c r="E1891">
        <v>8</v>
      </c>
      <c r="F1891">
        <v>12</v>
      </c>
      <c r="G1891">
        <v>1</v>
      </c>
      <c r="H1891" s="1">
        <v>4.6527777777777774E-3</v>
      </c>
      <c r="I1891" t="s">
        <v>18</v>
      </c>
      <c r="J1891" s="2" t="str">
        <f>HYPERLINK("https://www.nba.com/stats/events?CFID=&amp;CFPARAMS=&amp;GameEventID=49&amp;GameID=0021500502&amp;Season=2015-16&amp;flag=1&amp;title=Leonard%20%20Running%20Dunk%20(2%20PTS)%20(Green%201%20AST)", "Leonard  Running Dunk (2 PTS) (Green 1 AST)")</f>
        <v>Leonard  Running Dunk (2 PTS) (Green 1 AST)</v>
      </c>
      <c r="K1891" s="2" t="str">
        <f>HYPERLINK("https://www.nba.com/game/...-vs-...-0021500502/play-by-play?watchFullGame=true", "SAS vs HOU - Q1 06:42.00")</f>
        <v>SAS vs HOU - Q1 06:42.00</v>
      </c>
      <c r="L1891">
        <v>0</v>
      </c>
      <c r="M1891">
        <v>0</v>
      </c>
      <c r="N1891">
        <v>1</v>
      </c>
      <c r="O1891">
        <v>0</v>
      </c>
      <c r="P1891">
        <v>1</v>
      </c>
    </row>
    <row r="1892" spans="1:16" x14ac:dyDescent="0.25">
      <c r="A1892">
        <v>21500612</v>
      </c>
      <c r="B1892">
        <v>2015</v>
      </c>
      <c r="C1892" t="s">
        <v>32</v>
      </c>
      <c r="D1892" t="s">
        <v>62</v>
      </c>
      <c r="E1892">
        <v>65</v>
      </c>
      <c r="F1892">
        <v>47</v>
      </c>
      <c r="G1892">
        <v>3</v>
      </c>
      <c r="H1892" s="1">
        <v>3.4375E-3</v>
      </c>
      <c r="I1892" t="s">
        <v>18</v>
      </c>
      <c r="J1892" s="2" t="str">
        <f>HYPERLINK("https://www.nba.com/stats/events?CFID=&amp;CFPARAMS=&amp;GameEventID=355&amp;GameID=0021500612&amp;Season=2015-16&amp;flag=1&amp;title=Leonard%20%20Dunk%20(13%20PTS)%20(Parker%207%20AST)", "Leonard  Dunk (13 PTS) (Parker 7 AST)")</f>
        <v>Leonard  Dunk (13 PTS) (Parker 7 AST)</v>
      </c>
      <c r="K1892" s="2" t="str">
        <f>HYPERLINK("https://www.nba.com/game/...-vs-...-0021500612/play-by-play?watchFullGame=true", "SAS vs DAL - Q3 04:57.00")</f>
        <v>SAS vs DAL - Q3 04:57.00</v>
      </c>
      <c r="L1892">
        <v>0</v>
      </c>
      <c r="M1892">
        <v>0</v>
      </c>
      <c r="N1892">
        <v>1</v>
      </c>
      <c r="O1892">
        <v>0</v>
      </c>
      <c r="P1892">
        <v>1</v>
      </c>
    </row>
    <row r="1893" spans="1:16" x14ac:dyDescent="0.25">
      <c r="A1893">
        <v>21501201</v>
      </c>
      <c r="B1893">
        <v>2015</v>
      </c>
      <c r="C1893" t="s">
        <v>32</v>
      </c>
      <c r="D1893" t="s">
        <v>67</v>
      </c>
      <c r="E1893">
        <v>45</v>
      </c>
      <c r="F1893">
        <v>37</v>
      </c>
      <c r="G1893">
        <v>3</v>
      </c>
      <c r="H1893" s="1">
        <v>6.1689814814814819E-3</v>
      </c>
      <c r="I1893" t="s">
        <v>18</v>
      </c>
      <c r="J1893" s="2" t="str">
        <f>HYPERLINK("https://www.nba.com/stats/events?CFID=&amp;CFPARAMS=&amp;GameEventID=299&amp;GameID=0021501201&amp;Season=2015-16&amp;flag=1&amp;title=Leonard%20%20Driving%20Dunk%20(11%20PTS)%20(West%202%20AST)", "Leonard  Driving Dunk (11 PTS) (West 2 AST)")</f>
        <v>Leonard  Driving Dunk (11 PTS) (West 2 AST)</v>
      </c>
      <c r="K1893" s="2" t="str">
        <f>HYPERLINK("https://www.nba.com/game/...-vs-...-0021501201/play-by-play?watchFullGame=true", "SAS vs GSW - Q3 08:53.00")</f>
        <v>SAS vs GSW - Q3 08:53.00</v>
      </c>
      <c r="L1893">
        <v>0</v>
      </c>
      <c r="M1893">
        <v>0</v>
      </c>
      <c r="N1893">
        <v>1</v>
      </c>
      <c r="O1893">
        <v>0</v>
      </c>
      <c r="P1893">
        <v>1</v>
      </c>
    </row>
    <row r="1894" spans="1:16" x14ac:dyDescent="0.25">
      <c r="A1894">
        <v>21600441</v>
      </c>
      <c r="B1894">
        <v>2016</v>
      </c>
      <c r="C1894" t="s">
        <v>32</v>
      </c>
      <c r="D1894" t="s">
        <v>67</v>
      </c>
      <c r="E1894">
        <v>50</v>
      </c>
      <c r="F1894">
        <v>38</v>
      </c>
      <c r="G1894">
        <v>2</v>
      </c>
      <c r="H1894" s="1">
        <v>1.3541666666666667E-3</v>
      </c>
      <c r="I1894" t="s">
        <v>18</v>
      </c>
      <c r="J1894" s="2" t="str">
        <f>HYPERLINK("https://www.nba.com/stats/events?CFID=&amp;CFPARAMS=&amp;GameEventID=264&amp;GameID=0021600441&amp;Season=2016-17&amp;flag=1&amp;title=Leonard%20%20Driving%20Dunk%20(15%20PTS)%20(Green%201%20AST)", "Leonard  Driving Dunk (15 PTS) (Green 1 AST)")</f>
        <v>Leonard  Driving Dunk (15 PTS) (Green 1 AST)</v>
      </c>
      <c r="K1894" s="2" t="str">
        <f>HYPERLINK("https://www.nba.com/game/...-vs-...-0021600441/play-by-play?watchFullGame=true", "SAS vs LAC - Q2 01:57.00")</f>
        <v>SAS vs LAC - Q2 01:57.00</v>
      </c>
      <c r="L1894">
        <v>0</v>
      </c>
      <c r="M1894">
        <v>0</v>
      </c>
      <c r="N1894">
        <v>1</v>
      </c>
      <c r="O1894">
        <v>0</v>
      </c>
      <c r="P1894">
        <v>1</v>
      </c>
    </row>
    <row r="1895" spans="1:16" x14ac:dyDescent="0.25">
      <c r="A1895">
        <v>21600762</v>
      </c>
      <c r="B1895">
        <v>2016</v>
      </c>
      <c r="C1895" t="s">
        <v>32</v>
      </c>
      <c r="D1895" t="s">
        <v>63</v>
      </c>
      <c r="E1895">
        <v>77</v>
      </c>
      <c r="F1895">
        <v>57</v>
      </c>
      <c r="G1895">
        <v>3</v>
      </c>
      <c r="H1895" s="1">
        <v>3.5995370370370369E-3</v>
      </c>
      <c r="I1895" t="s">
        <v>18</v>
      </c>
      <c r="J1895" s="2" t="str">
        <f>HYPERLINK("https://www.nba.com/stats/events?CFID=&amp;CFPARAMS=&amp;GameEventID=327&amp;GameID=0021600762&amp;Season=2016-17&amp;flag=1&amp;title=Leonard%20%20Running%20Dunk%20(15%20PTS)%20(Green%203%20AST)", "Leonard  Running Dunk (15 PTS) (Green 3 AST)")</f>
        <v>Leonard  Running Dunk (15 PTS) (Green 3 AST)</v>
      </c>
      <c r="K1895" s="2" t="str">
        <f>HYPERLINK("https://www.nba.com/game/...-vs-...-0021600762/play-by-play?watchFullGame=true", "SAS vs DEN - Q3 05:11.00")</f>
        <v>SAS vs DEN - Q3 05:11.00</v>
      </c>
      <c r="L1895">
        <v>0</v>
      </c>
      <c r="M1895">
        <v>0</v>
      </c>
      <c r="N1895">
        <v>1</v>
      </c>
      <c r="O1895">
        <v>0</v>
      </c>
      <c r="P1895">
        <v>1</v>
      </c>
    </row>
    <row r="1896" spans="1:16" x14ac:dyDescent="0.25">
      <c r="A1896">
        <v>21601011</v>
      </c>
      <c r="B1896">
        <v>2016</v>
      </c>
      <c r="C1896" t="s">
        <v>32</v>
      </c>
      <c r="D1896" t="s">
        <v>67</v>
      </c>
      <c r="E1896">
        <v>63</v>
      </c>
      <c r="F1896">
        <v>62</v>
      </c>
      <c r="G1896">
        <v>3</v>
      </c>
      <c r="H1896" s="1">
        <v>5.6597222222222222E-3</v>
      </c>
      <c r="I1896" t="s">
        <v>18</v>
      </c>
      <c r="J1896" s="2" t="str">
        <f>HYPERLINK("https://www.nba.com/stats/events?CFID=&amp;CFPARAMS=&amp;GameEventID=258&amp;GameID=0021601011&amp;Season=2016-17&amp;flag=1&amp;title=Leonard%20%20Driving%20Dunk%20(23%20PTS)%20(Dedmon%202%20AST)", "Leonard  Driving Dunk (23 PTS) (Dedmon 2 AST)")</f>
        <v>Leonard  Driving Dunk (23 PTS) (Dedmon 2 AST)</v>
      </c>
      <c r="K1896" s="2" t="str">
        <f>HYPERLINK("https://www.nba.com/game/...-vs-...-0021601011/play-by-play?watchFullGame=true", "SAS vs POR - Q3 08:09.00")</f>
        <v>SAS vs POR - Q3 08:09.00</v>
      </c>
      <c r="L1896">
        <v>0</v>
      </c>
      <c r="M1896">
        <v>0</v>
      </c>
      <c r="N1896">
        <v>1</v>
      </c>
      <c r="O1896">
        <v>0</v>
      </c>
      <c r="P1896">
        <v>1</v>
      </c>
    </row>
    <row r="1897" spans="1:16" x14ac:dyDescent="0.25">
      <c r="A1897">
        <v>21400108</v>
      </c>
      <c r="B1897">
        <v>2014</v>
      </c>
      <c r="C1897" t="s">
        <v>32</v>
      </c>
      <c r="D1897" t="s">
        <v>76</v>
      </c>
      <c r="E1897">
        <v>49</v>
      </c>
      <c r="F1897">
        <v>57</v>
      </c>
      <c r="G1897">
        <v>3</v>
      </c>
      <c r="H1897" s="1">
        <v>7.3379629629629628E-3</v>
      </c>
      <c r="I1897" t="s">
        <v>18</v>
      </c>
      <c r="J1897" s="2" t="str">
        <f>HYPERLINK("https://www.nba.com/stats/events?CFID=&amp;CFPARAMS=&amp;GameEventID=254&amp;GameID=0021400108&amp;Season=2014-15&amp;flag=1&amp;title=Leonard%20%20Driving%20Slam%20Dunk%20(11%20PTS)%20(Parker%204%20AST)", "Leonard  Driving Slam Dunk (11 PTS) (Parker 4 AST)")</f>
        <v>Leonard  Driving Slam Dunk (11 PTS) (Parker 4 AST)</v>
      </c>
      <c r="K1897" s="2" t="str">
        <f>HYPERLINK("https://www.nba.com/game/...-vs-...-0021400108/play-by-play?watchFullGame=true", "SAS vs GSW - Q3 10:34.00")</f>
        <v>SAS vs GSW - Q3 10:34.00</v>
      </c>
      <c r="L1897">
        <v>0</v>
      </c>
      <c r="M1897">
        <v>0</v>
      </c>
      <c r="N1897">
        <v>1</v>
      </c>
      <c r="O1897">
        <v>0</v>
      </c>
      <c r="P1897">
        <v>1</v>
      </c>
    </row>
    <row r="1898" spans="1:16" x14ac:dyDescent="0.25">
      <c r="A1898">
        <v>21400249</v>
      </c>
      <c r="B1898">
        <v>2014</v>
      </c>
      <c r="C1898" t="s">
        <v>32</v>
      </c>
      <c r="D1898" t="s">
        <v>74</v>
      </c>
      <c r="E1898">
        <v>87</v>
      </c>
      <c r="F1898">
        <v>98</v>
      </c>
      <c r="G1898">
        <v>4</v>
      </c>
      <c r="H1898" s="1">
        <v>3.3912037037037036E-3</v>
      </c>
      <c r="I1898" t="s">
        <v>18</v>
      </c>
      <c r="J1898" s="2" t="str">
        <f>HYPERLINK("https://www.nba.com/stats/events?CFID=&amp;CFPARAMS=&amp;GameEventID=508&amp;GameID=0021400249&amp;Season=2014-15&amp;flag=1&amp;title=Leonard%20%20Slam%20Dunk%20(22%20PTS)%20(Joseph%206%20AST)", "Leonard  Slam Dunk (22 PTS) (Joseph 6 AST)")</f>
        <v>Leonard  Slam Dunk (22 PTS) (Joseph 6 AST)</v>
      </c>
      <c r="K1898" s="2" t="str">
        <f>HYPERLINK("https://www.nba.com/game/...-vs-...-0021400249/play-by-play?watchFullGame=true", "SAS vs PHI - Q4 04:53.00")</f>
        <v>SAS vs PHI - Q4 04:53.00</v>
      </c>
      <c r="L1898">
        <v>0</v>
      </c>
      <c r="M1898">
        <v>0</v>
      </c>
      <c r="N1898">
        <v>1</v>
      </c>
      <c r="O1898">
        <v>0</v>
      </c>
      <c r="P1898">
        <v>1</v>
      </c>
    </row>
    <row r="1899" spans="1:16" x14ac:dyDescent="0.25">
      <c r="A1899">
        <v>21400739</v>
      </c>
      <c r="B1899">
        <v>2014</v>
      </c>
      <c r="C1899" t="s">
        <v>32</v>
      </c>
      <c r="D1899" t="s">
        <v>62</v>
      </c>
      <c r="E1899">
        <v>56</v>
      </c>
      <c r="F1899">
        <v>49</v>
      </c>
      <c r="G1899">
        <v>3</v>
      </c>
      <c r="H1899" s="1">
        <v>7.3726851851851852E-3</v>
      </c>
      <c r="I1899" t="s">
        <v>18</v>
      </c>
      <c r="J1899" s="2" t="str">
        <f>HYPERLINK("https://www.nba.com/stats/events?CFID=&amp;CFPARAMS=&amp;GameEventID=231&amp;GameID=0021400739&amp;Season=2014-15&amp;flag=1&amp;title=Leonard%20%20Dunk%20(12%20PTS)%20(Diaw%201%20AST)", "Leonard  Dunk (12 PTS) (Diaw 1 AST)")</f>
        <v>Leonard  Dunk (12 PTS) (Diaw 1 AST)</v>
      </c>
      <c r="K1899" s="2" t="str">
        <f>HYPERLINK("https://www.nba.com/game/...-vs-...-0021400739/play-by-play?watchFullGame=true", "SAS vs ORL - Q3 10:37.00")</f>
        <v>SAS vs ORL - Q3 10:37.00</v>
      </c>
      <c r="L1899">
        <v>0</v>
      </c>
      <c r="M1899">
        <v>0</v>
      </c>
      <c r="N1899">
        <v>1</v>
      </c>
      <c r="O1899">
        <v>0</v>
      </c>
      <c r="P1899">
        <v>1</v>
      </c>
    </row>
    <row r="1900" spans="1:16" x14ac:dyDescent="0.25">
      <c r="A1900">
        <v>21400949</v>
      </c>
      <c r="B1900">
        <v>2014</v>
      </c>
      <c r="C1900" t="s">
        <v>32</v>
      </c>
      <c r="D1900" t="s">
        <v>62</v>
      </c>
      <c r="E1900">
        <v>45</v>
      </c>
      <c r="F1900">
        <v>27</v>
      </c>
      <c r="G1900">
        <v>2</v>
      </c>
      <c r="H1900" s="1">
        <v>4.4791666666666669E-3</v>
      </c>
      <c r="I1900" t="s">
        <v>18</v>
      </c>
      <c r="J1900" s="2" t="str">
        <f>HYPERLINK("https://www.nba.com/stats/events?CFID=&amp;CFPARAMS=&amp;GameEventID=177&amp;GameID=0021400949&amp;Season=2014-15&amp;flag=1&amp;title=Leonard%20Dunk%20(8%20PTS)%20(Parker%203%20AST)", "Leonard Dunk (8 PTS) (Parker 3 AST)")</f>
        <v>Leonard Dunk (8 PTS) (Parker 3 AST)</v>
      </c>
      <c r="K1900" s="2" t="str">
        <f>HYPERLINK("https://www.nba.com/game/...-vs-...-0021400949/play-by-play?watchFullGame=true", "SAS vs TOR - Q2 06:27.00")</f>
        <v>SAS vs TOR - Q2 06:27.00</v>
      </c>
      <c r="L1900">
        <v>0</v>
      </c>
      <c r="M1900">
        <v>0</v>
      </c>
      <c r="N1900">
        <v>1</v>
      </c>
      <c r="O1900">
        <v>0</v>
      </c>
      <c r="P1900">
        <v>1</v>
      </c>
    </row>
    <row r="1901" spans="1:16" x14ac:dyDescent="0.25">
      <c r="A1901">
        <v>21400964</v>
      </c>
      <c r="B1901">
        <v>2014</v>
      </c>
      <c r="C1901" t="s">
        <v>32</v>
      </c>
      <c r="D1901" t="s">
        <v>67</v>
      </c>
      <c r="E1901">
        <v>35</v>
      </c>
      <c r="F1901">
        <v>37</v>
      </c>
      <c r="G1901">
        <v>2</v>
      </c>
      <c r="H1901" s="1">
        <v>6.9907407407407409E-3</v>
      </c>
      <c r="I1901" t="s">
        <v>18</v>
      </c>
      <c r="J1901" s="2" t="str">
        <f>HYPERLINK("https://www.nba.com/stats/events?CFID=&amp;CFPARAMS=&amp;GameEventID=143&amp;GameID=0021400964&amp;Season=2014-15&amp;flag=1&amp;title=Leonard%20%20Driving%20Dunk%20(6%20PTS)%20(Mills%201%20AST)", "Leonard  Driving Dunk (6 PTS) (Mills 1 AST)")</f>
        <v>Leonard  Driving Dunk (6 PTS) (Mills 1 AST)</v>
      </c>
      <c r="K1901" s="2" t="str">
        <f>HYPERLINK("https://www.nba.com/game/...-vs-...-0021400964/play-by-play?watchFullGame=true", "SAS vs CLE - Q2 10:04.00")</f>
        <v>SAS vs CLE - Q2 10:04.00</v>
      </c>
      <c r="L1901">
        <v>0</v>
      </c>
      <c r="M1901">
        <v>0</v>
      </c>
      <c r="N1901">
        <v>1</v>
      </c>
      <c r="O1901">
        <v>0</v>
      </c>
      <c r="P1901">
        <v>1</v>
      </c>
    </row>
    <row r="1902" spans="1:16" x14ac:dyDescent="0.25">
      <c r="A1902">
        <v>21500195</v>
      </c>
      <c r="B1902">
        <v>2015</v>
      </c>
      <c r="C1902" t="s">
        <v>32</v>
      </c>
      <c r="D1902" t="s">
        <v>63</v>
      </c>
      <c r="E1902">
        <v>55</v>
      </c>
      <c r="F1902">
        <v>39</v>
      </c>
      <c r="G1902">
        <v>3</v>
      </c>
      <c r="H1902" s="1">
        <v>8.067129629629629E-3</v>
      </c>
      <c r="I1902" t="s">
        <v>18</v>
      </c>
      <c r="J1902" s="2" t="str">
        <f>HYPERLINK("https://www.nba.com/stats/events?CFID=&amp;CFPARAMS=&amp;GameEventID=257&amp;GameID=0021500195&amp;Season=2015-16&amp;flag=1&amp;title=Leonard%20Running%20Dunk%20(9%20PTS)%20(Duncan%202%20AST)", "Leonard Running Dunk (9 PTS) (Duncan 2 AST)")</f>
        <v>Leonard Running Dunk (9 PTS) (Duncan 2 AST)</v>
      </c>
      <c r="K1902" s="2" t="str">
        <f>HYPERLINK("https://www.nba.com/game/...-vs-...-0021500195/play-by-play?watchFullGame=true", "SAS vs MEM - Q3 11:37.00")</f>
        <v>SAS vs MEM - Q3 11:37.00</v>
      </c>
      <c r="L1902">
        <v>0</v>
      </c>
      <c r="M1902">
        <v>0</v>
      </c>
      <c r="N1902">
        <v>1</v>
      </c>
      <c r="O1902">
        <v>0</v>
      </c>
      <c r="P1902">
        <v>1</v>
      </c>
    </row>
    <row r="1903" spans="1:16" x14ac:dyDescent="0.25">
      <c r="A1903">
        <v>21500416</v>
      </c>
      <c r="B1903">
        <v>2015</v>
      </c>
      <c r="C1903" t="s">
        <v>32</v>
      </c>
      <c r="D1903" t="s">
        <v>67</v>
      </c>
      <c r="E1903">
        <v>2</v>
      </c>
      <c r="F1903">
        <v>0</v>
      </c>
      <c r="G1903">
        <v>1</v>
      </c>
      <c r="H1903" s="1">
        <v>7.8240740740740736E-3</v>
      </c>
      <c r="I1903" t="s">
        <v>18</v>
      </c>
      <c r="J1903" s="2" t="str">
        <f>HYPERLINK("https://www.nba.com/stats/events?CFID=&amp;CFPARAMS=&amp;GameEventID=6&amp;GameID=0021500416&amp;Season=2015-16&amp;flag=1&amp;title=Leonard%20Driving%20Dunk%20(2%20PTS)", "Leonard Driving Dunk (2 PTS)")</f>
        <v>Leonard Driving Dunk (2 PTS)</v>
      </c>
      <c r="K1903" s="2" t="str">
        <f>HYPERLINK("https://www.nba.com/game/...-vs-...-0021500416/play-by-play?watchFullGame=true", "SAS vs IND - Q1 11:16.00")</f>
        <v>SAS vs IND - Q1 11:16.00</v>
      </c>
      <c r="L1903">
        <v>0</v>
      </c>
      <c r="M1903">
        <v>0</v>
      </c>
      <c r="N1903">
        <v>1</v>
      </c>
      <c r="O1903">
        <v>0</v>
      </c>
      <c r="P1903">
        <v>1</v>
      </c>
    </row>
    <row r="1904" spans="1:16" x14ac:dyDescent="0.25">
      <c r="A1904">
        <v>21500644</v>
      </c>
      <c r="B1904">
        <v>2015</v>
      </c>
      <c r="C1904" t="s">
        <v>32</v>
      </c>
      <c r="D1904" t="s">
        <v>63</v>
      </c>
      <c r="E1904">
        <v>22</v>
      </c>
      <c r="F1904">
        <v>34</v>
      </c>
      <c r="G1904">
        <v>2</v>
      </c>
      <c r="H1904" s="1">
        <v>6.145833333333333E-3</v>
      </c>
      <c r="I1904" t="s">
        <v>18</v>
      </c>
      <c r="J1904" s="2" t="str">
        <f>HYPERLINK("https://www.nba.com/stats/events?CFID=&amp;CFPARAMS=&amp;GameEventID=148&amp;GameID=0021500644&amp;Season=2015-16&amp;flag=1&amp;title=Leonard%20%20Running%20Dunk%20(5%20PTS)%20(Mills%201%20AST)", "Leonard  Running Dunk (5 PTS) (Mills 1 AST)")</f>
        <v>Leonard  Running Dunk (5 PTS) (Mills 1 AST)</v>
      </c>
      <c r="K1904" s="2" t="str">
        <f>HYPERLINK("https://www.nba.com/game/...-vs-...-0021500644/play-by-play?watchFullGame=true", "SAS vs PHX - Q2 08:51.00")</f>
        <v>SAS vs PHX - Q2 08:51.00</v>
      </c>
      <c r="L1904">
        <v>0</v>
      </c>
      <c r="M1904">
        <v>0</v>
      </c>
      <c r="N1904">
        <v>1</v>
      </c>
      <c r="O1904">
        <v>0</v>
      </c>
      <c r="P1904">
        <v>1</v>
      </c>
    </row>
    <row r="1905" spans="1:16" x14ac:dyDescent="0.25">
      <c r="A1905">
        <v>21500742</v>
      </c>
      <c r="B1905">
        <v>2015</v>
      </c>
      <c r="C1905" t="s">
        <v>32</v>
      </c>
      <c r="D1905" t="s">
        <v>60</v>
      </c>
      <c r="E1905">
        <v>8</v>
      </c>
      <c r="F1905">
        <v>6</v>
      </c>
      <c r="G1905">
        <v>1</v>
      </c>
      <c r="H1905" s="1">
        <v>6.1689814814814819E-3</v>
      </c>
      <c r="I1905" t="s">
        <v>18</v>
      </c>
      <c r="J1905" s="2" t="str">
        <f>HYPERLINK("https://www.nba.com/stats/events?CFID=&amp;CFPARAMS=&amp;GameEventID=22&amp;GameID=0021500742&amp;Season=2015-16&amp;flag=1&amp;title=Leonard%20%20Alley%20Oop%20Dunk%20(2%20PTS)%20(West%201%20AST)", "Leonard  Alley Oop Dunk (2 PTS) (West 1 AST)")</f>
        <v>Leonard  Alley Oop Dunk (2 PTS) (West 1 AST)</v>
      </c>
      <c r="K1905" s="2" t="str">
        <f>HYPERLINK("https://www.nba.com/game/...-vs-...-0021500742/play-by-play?watchFullGame=true", "SAS vs NOP - Q1 08:53.00")</f>
        <v>SAS vs NOP - Q1 08:53.00</v>
      </c>
      <c r="L1905">
        <v>0</v>
      </c>
      <c r="M1905">
        <v>0</v>
      </c>
      <c r="N1905">
        <v>1</v>
      </c>
      <c r="O1905">
        <v>0</v>
      </c>
      <c r="P1905">
        <v>1</v>
      </c>
    </row>
    <row r="1906" spans="1:16" x14ac:dyDescent="0.25">
      <c r="A1906">
        <v>21500742</v>
      </c>
      <c r="B1906">
        <v>2015</v>
      </c>
      <c r="C1906" t="s">
        <v>32</v>
      </c>
      <c r="D1906" t="s">
        <v>62</v>
      </c>
      <c r="E1906">
        <v>43</v>
      </c>
      <c r="F1906">
        <v>37</v>
      </c>
      <c r="G1906">
        <v>2</v>
      </c>
      <c r="H1906" s="1">
        <v>3.9351851851851848E-3</v>
      </c>
      <c r="I1906" t="s">
        <v>18</v>
      </c>
      <c r="J1906" s="2" t="str">
        <f>HYPERLINK("https://www.nba.com/stats/events?CFID=&amp;CFPARAMS=&amp;GameEventID=170&amp;GameID=0021500742&amp;Season=2015-16&amp;flag=1&amp;title=Leonard%20%20Dunk%20(9%20PTS)%20(Green%201%20AST)", "Leonard  Dunk (9 PTS) (Green 1 AST)")</f>
        <v>Leonard  Dunk (9 PTS) (Green 1 AST)</v>
      </c>
      <c r="K1906" s="2" t="str">
        <f>HYPERLINK("https://www.nba.com/game/...-vs-...-0021500742/play-by-play?watchFullGame=true", "SAS vs NOP - Q2 05:40.00")</f>
        <v>SAS vs NOP - Q2 05:40.00</v>
      </c>
      <c r="L1906">
        <v>0</v>
      </c>
      <c r="M1906">
        <v>0</v>
      </c>
      <c r="N1906">
        <v>1</v>
      </c>
      <c r="O1906">
        <v>0</v>
      </c>
      <c r="P1906">
        <v>1</v>
      </c>
    </row>
    <row r="1907" spans="1:16" x14ac:dyDescent="0.25">
      <c r="A1907">
        <v>21501036</v>
      </c>
      <c r="B1907">
        <v>2015</v>
      </c>
      <c r="C1907" t="s">
        <v>32</v>
      </c>
      <c r="D1907" t="s">
        <v>62</v>
      </c>
      <c r="E1907">
        <v>38</v>
      </c>
      <c r="F1907">
        <v>28</v>
      </c>
      <c r="G1907">
        <v>2</v>
      </c>
      <c r="H1907" s="1">
        <v>2.6157407407407405E-3</v>
      </c>
      <c r="I1907" t="s">
        <v>18</v>
      </c>
      <c r="J1907" s="2" t="str">
        <f>HYPERLINK("https://www.nba.com/stats/events?CFID=&amp;CFPARAMS=&amp;GameEventID=209&amp;GameID=0021501036&amp;Season=2015-16&amp;flag=1&amp;title=Leonard%20%20Dunk%20(10%20PTS)%20(Anderson%201%20AST)", "Leonard  Dunk (10 PTS) (Anderson 1 AST)")</f>
        <v>Leonard  Dunk (10 PTS) (Anderson 1 AST)</v>
      </c>
      <c r="K1907" s="2" t="str">
        <f>HYPERLINK("https://www.nba.com/game/...-vs-...-0021501036/play-by-play?watchFullGame=true", "SAS vs GSW - Q2 03:46.00")</f>
        <v>SAS vs GSW - Q2 03:46.00</v>
      </c>
      <c r="L1907">
        <v>0</v>
      </c>
      <c r="M1907">
        <v>0</v>
      </c>
      <c r="N1907">
        <v>1</v>
      </c>
      <c r="O1907">
        <v>0</v>
      </c>
      <c r="P1907">
        <v>1</v>
      </c>
    </row>
    <row r="1908" spans="1:16" x14ac:dyDescent="0.25">
      <c r="A1908">
        <v>21600016</v>
      </c>
      <c r="B1908">
        <v>2016</v>
      </c>
      <c r="C1908" t="s">
        <v>32</v>
      </c>
      <c r="D1908" t="s">
        <v>67</v>
      </c>
      <c r="E1908">
        <v>66</v>
      </c>
      <c r="F1908">
        <v>62</v>
      </c>
      <c r="G1908">
        <v>3</v>
      </c>
      <c r="H1908" s="1">
        <v>4.1666666666666666E-3</v>
      </c>
      <c r="I1908" t="s">
        <v>18</v>
      </c>
      <c r="J1908" s="2" t="str">
        <f>HYPERLINK("https://www.nba.com/stats/events?CFID=&amp;CFPARAMS=&amp;GameEventID=332&amp;GameID=0021600016&amp;Season=2016-17&amp;flag=1&amp;title=Leonard%20%20Driving%20Dunk%20(16%20PTS)", "Leonard  Driving Dunk (16 PTS)")</f>
        <v>Leonard  Driving Dunk (16 PTS)</v>
      </c>
      <c r="K1908" s="2" t="str">
        <f>HYPERLINK("https://www.nba.com/game/...-vs-...-0021600016/play-by-play?watchFullGame=true", "SAS vs SAC - Q3 06:00.00")</f>
        <v>SAS vs SAC - Q3 06:00.00</v>
      </c>
      <c r="L1908">
        <v>0</v>
      </c>
      <c r="M1908">
        <v>0</v>
      </c>
      <c r="N1908">
        <v>1</v>
      </c>
      <c r="O1908">
        <v>0</v>
      </c>
      <c r="P1908">
        <v>1</v>
      </c>
    </row>
    <row r="1909" spans="1:16" x14ac:dyDescent="0.25">
      <c r="A1909">
        <v>21600168</v>
      </c>
      <c r="B1909">
        <v>2016</v>
      </c>
      <c r="C1909" t="s">
        <v>32</v>
      </c>
      <c r="D1909" t="s">
        <v>62</v>
      </c>
      <c r="E1909">
        <v>60</v>
      </c>
      <c r="F1909">
        <v>72</v>
      </c>
      <c r="G1909">
        <v>3</v>
      </c>
      <c r="H1909" s="1">
        <v>3.9583333333333337E-3</v>
      </c>
      <c r="I1909" t="s">
        <v>18</v>
      </c>
      <c r="J1909" s="2" t="str">
        <f>HYPERLINK("https://www.nba.com/stats/events?CFID=&amp;CFPARAMS=&amp;GameEventID=291&amp;GameID=0021600168&amp;Season=2016-17&amp;flag=1&amp;title=Leonard%20%20Dunk%20(12%20PTS)%20(Lee%203%20AST)", "Leonard  Dunk (12 PTS) (Lee 3 AST)")</f>
        <v>Leonard  Dunk (12 PTS) (Lee 3 AST)</v>
      </c>
      <c r="K1909" s="2" t="str">
        <f>HYPERLINK("https://www.nba.com/game/...-vs-...-0021600168/play-by-play?watchFullGame=true", "SAS vs SAC - Q3 05:42.00")</f>
        <v>SAS vs SAC - Q3 05:42.00</v>
      </c>
      <c r="L1909">
        <v>0</v>
      </c>
      <c r="M1909">
        <v>0</v>
      </c>
      <c r="N1909">
        <v>1</v>
      </c>
      <c r="O1909">
        <v>0</v>
      </c>
      <c r="P1909">
        <v>1</v>
      </c>
    </row>
    <row r="1910" spans="1:16" x14ac:dyDescent="0.25">
      <c r="A1910">
        <v>21600454</v>
      </c>
      <c r="B1910">
        <v>2016</v>
      </c>
      <c r="C1910" t="s">
        <v>32</v>
      </c>
      <c r="D1910" t="s">
        <v>68</v>
      </c>
      <c r="E1910">
        <v>78</v>
      </c>
      <c r="F1910">
        <v>94</v>
      </c>
      <c r="G1910">
        <v>4</v>
      </c>
      <c r="H1910" s="1">
        <v>5.3935185185185188E-3</v>
      </c>
      <c r="I1910" t="s">
        <v>18</v>
      </c>
      <c r="J1910" s="2" t="str">
        <f>HYPERLINK("https://www.nba.com/stats/events?CFID=&amp;CFPARAMS=&amp;GameEventID=436&amp;GameID=0021600454&amp;Season=2016-17&amp;flag=1&amp;title=Leonard%20%20Cutting%20Dunk%20Shot%20(24%20PTS)%20(Mills%205%20AST)", "Leonard  Cutting Dunk Shot (24 PTS) (Mills 5 AST)")</f>
        <v>Leonard  Cutting Dunk Shot (24 PTS) (Mills 5 AST)</v>
      </c>
      <c r="K1910" s="2" t="str">
        <f>HYPERLINK("https://www.nba.com/game/...-vs-...-0021600454/play-by-play?watchFullGame=true", "SAS vs POR - Q4 07:46.00")</f>
        <v>SAS vs POR - Q4 07:46.00</v>
      </c>
      <c r="L1910">
        <v>0</v>
      </c>
      <c r="M1910">
        <v>0</v>
      </c>
      <c r="N1910">
        <v>1</v>
      </c>
      <c r="O1910">
        <v>0</v>
      </c>
      <c r="P1910">
        <v>1</v>
      </c>
    </row>
    <row r="1911" spans="1:16" x14ac:dyDescent="0.25">
      <c r="A1911">
        <v>41500151</v>
      </c>
      <c r="B1911" t="s">
        <v>25</v>
      </c>
      <c r="C1911" t="s">
        <v>32</v>
      </c>
      <c r="D1911" t="s">
        <v>63</v>
      </c>
      <c r="E1911">
        <v>2</v>
      </c>
      <c r="F1911">
        <v>0</v>
      </c>
      <c r="G1911">
        <v>1</v>
      </c>
      <c r="H1911" s="1">
        <v>7.7199074074074071E-3</v>
      </c>
      <c r="I1911" t="s">
        <v>18</v>
      </c>
      <c r="J1911" s="2" t="str">
        <f>HYPERLINK("https://www.nba.com/stats/events?CFID=&amp;CFPARAMS=&amp;GameEventID=6&amp;GameID=0041500151&amp;Season=2015-16&amp;flag=1&amp;title=Leonard%20%20Running%20Dunk%20(2%20PTS)", "Leonard  Running Dunk (2 PTS)")</f>
        <v>Leonard  Running Dunk (2 PTS)</v>
      </c>
      <c r="K1911" s="2" t="str">
        <f>HYPERLINK("https://www.nba.com/game/...-vs-...-0041500151/play-by-play?watchFullGame=true", "SAS vs MEM - Q1 11:07.00")</f>
        <v>SAS vs MEM - Q1 11:07.00</v>
      </c>
      <c r="L1911">
        <v>0</v>
      </c>
      <c r="M1911">
        <v>0</v>
      </c>
      <c r="N1911">
        <v>1</v>
      </c>
      <c r="O1911">
        <v>0</v>
      </c>
      <c r="P1911">
        <v>1</v>
      </c>
    </row>
    <row r="1912" spans="1:16" x14ac:dyDescent="0.25">
      <c r="A1912">
        <v>21400108</v>
      </c>
      <c r="B1912">
        <v>2014</v>
      </c>
      <c r="C1912" t="s">
        <v>32</v>
      </c>
      <c r="D1912" t="s">
        <v>74</v>
      </c>
      <c r="E1912">
        <v>64</v>
      </c>
      <c r="F1912">
        <v>77</v>
      </c>
      <c r="G1912">
        <v>3</v>
      </c>
      <c r="H1912" s="1">
        <v>1.2962962962962963E-3</v>
      </c>
      <c r="I1912" t="s">
        <v>18</v>
      </c>
      <c r="J1912" s="2" t="str">
        <f>HYPERLINK("https://www.nba.com/stats/events?CFID=&amp;CFPARAMS=&amp;GameEventID=335&amp;GameID=0021400108&amp;Season=2014-15&amp;flag=1&amp;title=Leonard%20%20Slam%20Dunk%20(13%20PTS)%20(Joseph%204%20AST)", "Leonard  Slam Dunk (13 PTS) (Joseph 4 AST)")</f>
        <v>Leonard  Slam Dunk (13 PTS) (Joseph 4 AST)</v>
      </c>
      <c r="K1912" s="2" t="str">
        <f>HYPERLINK("https://www.nba.com/game/...-vs-...-0021400108/play-by-play?watchFullGame=true", "SAS vs GSW - Q3 01:52.00")</f>
        <v>SAS vs GSW - Q3 01:52.00</v>
      </c>
      <c r="L1912">
        <v>0</v>
      </c>
      <c r="M1912">
        <v>0</v>
      </c>
      <c r="N1912">
        <v>1</v>
      </c>
      <c r="O1912">
        <v>0</v>
      </c>
      <c r="P1912">
        <v>1</v>
      </c>
    </row>
    <row r="1913" spans="1:16" x14ac:dyDescent="0.25">
      <c r="A1913">
        <v>21400949</v>
      </c>
      <c r="B1913">
        <v>2014</v>
      </c>
      <c r="C1913" t="s">
        <v>32</v>
      </c>
      <c r="D1913" t="s">
        <v>62</v>
      </c>
      <c r="E1913">
        <v>28</v>
      </c>
      <c r="F1913">
        <v>17</v>
      </c>
      <c r="G1913">
        <v>1</v>
      </c>
      <c r="H1913" s="1">
        <v>2.199074074074074E-5</v>
      </c>
      <c r="I1913" t="s">
        <v>18</v>
      </c>
      <c r="J1913" s="2" t="str">
        <f>HYPERLINK("https://www.nba.com/stats/events?CFID=&amp;CFPARAMS=&amp;GameEventID=111&amp;GameID=0021400949&amp;Season=2014-15&amp;flag=1&amp;title=Leonard%20Dunk%20(6%20PTS)%20(Mills%201%20AST)", "Leonard Dunk (6 PTS) (Mills 1 AST)")</f>
        <v>Leonard Dunk (6 PTS) (Mills 1 AST)</v>
      </c>
      <c r="K1913" s="2" t="str">
        <f>HYPERLINK("https://www.nba.com/game/...-vs-...-0021400949/play-by-play?watchFullGame=true", "SAS vs TOR - Q1 00:01.90")</f>
        <v>SAS vs TOR - Q1 00:01.90</v>
      </c>
      <c r="L1913">
        <v>0</v>
      </c>
      <c r="M1913">
        <v>0</v>
      </c>
      <c r="N1913">
        <v>1</v>
      </c>
      <c r="O1913">
        <v>0</v>
      </c>
      <c r="P1913">
        <v>1</v>
      </c>
    </row>
    <row r="1914" spans="1:16" x14ac:dyDescent="0.25">
      <c r="A1914">
        <v>21401157</v>
      </c>
      <c r="B1914">
        <v>2014</v>
      </c>
      <c r="C1914" t="s">
        <v>32</v>
      </c>
      <c r="D1914" t="s">
        <v>62</v>
      </c>
      <c r="E1914">
        <v>0</v>
      </c>
      <c r="F1914">
        <v>5</v>
      </c>
      <c r="G1914">
        <v>1</v>
      </c>
      <c r="H1914" s="1">
        <v>7.0949074074074074E-3</v>
      </c>
      <c r="I1914" t="s">
        <v>18</v>
      </c>
      <c r="J1914" s="2" t="str">
        <f>HYPERLINK("https://www.nba.com/stats/events?CFID=&amp;CFPARAMS=&amp;GameEventID=19&amp;GameID=0021401157&amp;Season=2014-15&amp;flag=1&amp;title=Leonard%20%20Dunk%20(5%20PTS)", "Leonard  Dunk (5 PTS)")</f>
        <v>Leonard  Dunk (5 PTS)</v>
      </c>
      <c r="K1914" s="2" t="str">
        <f>HYPERLINK("https://www.nba.com/game/...-vs-...-0021401157/play-by-play?watchFullGame=true", "SAS vs OKC - Q1 10:13.00")</f>
        <v>SAS vs OKC - Q1 10:13.00</v>
      </c>
      <c r="L1914">
        <v>0</v>
      </c>
      <c r="M1914">
        <v>0</v>
      </c>
      <c r="N1914">
        <v>1</v>
      </c>
      <c r="O1914">
        <v>0</v>
      </c>
      <c r="P1914">
        <v>1</v>
      </c>
    </row>
    <row r="1915" spans="1:16" x14ac:dyDescent="0.25">
      <c r="A1915">
        <v>21500103</v>
      </c>
      <c r="B1915">
        <v>2015</v>
      </c>
      <c r="C1915" t="s">
        <v>32</v>
      </c>
      <c r="D1915" t="s">
        <v>62</v>
      </c>
      <c r="E1915">
        <v>80</v>
      </c>
      <c r="F1915">
        <v>100</v>
      </c>
      <c r="G1915">
        <v>4</v>
      </c>
      <c r="H1915" s="1">
        <v>2.6967592592592594E-3</v>
      </c>
      <c r="I1915" t="s">
        <v>18</v>
      </c>
      <c r="J1915" s="2" t="str">
        <f>HYPERLINK("https://www.nba.com/stats/events?CFID=&amp;CFPARAMS=&amp;GameEventID=468&amp;GameID=0021500103&amp;Season=2015-16&amp;flag=1&amp;title=Leonard%20%20Dunk%20(24%20PTS)%20(Mills%208%20AST)", "Leonard  Dunk (24 PTS) (Mills 8 AST)")</f>
        <v>Leonard  Dunk (24 PTS) (Mills 8 AST)</v>
      </c>
      <c r="K1915" s="2" t="str">
        <f>HYPERLINK("https://www.nba.com/game/...-vs-...-0021500103/play-by-play?watchFullGame=true", "SAS vs SAC - Q4 03:53.00")</f>
        <v>SAS vs SAC - Q4 03:53.00</v>
      </c>
      <c r="L1915">
        <v>0</v>
      </c>
      <c r="M1915">
        <v>0</v>
      </c>
      <c r="N1915">
        <v>1</v>
      </c>
      <c r="O1915">
        <v>0</v>
      </c>
      <c r="P1915">
        <v>1</v>
      </c>
    </row>
    <row r="1916" spans="1:16" x14ac:dyDescent="0.25">
      <c r="A1916">
        <v>21500416</v>
      </c>
      <c r="B1916">
        <v>2015</v>
      </c>
      <c r="C1916" t="s">
        <v>32</v>
      </c>
      <c r="D1916" t="s">
        <v>60</v>
      </c>
      <c r="E1916">
        <v>46</v>
      </c>
      <c r="F1916">
        <v>46</v>
      </c>
      <c r="G1916">
        <v>2</v>
      </c>
      <c r="H1916" s="1">
        <v>1.5509259259259259E-3</v>
      </c>
      <c r="I1916" t="s">
        <v>18</v>
      </c>
      <c r="J1916" s="2" t="str">
        <f>HYPERLINK("https://www.nba.com/stats/events?CFID=&amp;CFPARAMS=&amp;GameEventID=212&amp;GameID=0021500416&amp;Season=2015-16&amp;flag=1&amp;title=Leonard%20Alley%20Oop%20Dunk%20(8%20PTS)%20(Duncan%202%20AST)", "Leonard Alley Oop Dunk (8 PTS) (Duncan 2 AST)")</f>
        <v>Leonard Alley Oop Dunk (8 PTS) (Duncan 2 AST)</v>
      </c>
      <c r="K1916" s="2" t="str">
        <f>HYPERLINK("https://www.nba.com/game/...-vs-...-0021500416/play-by-play?watchFullGame=true", "SAS vs IND - Q2 02:14.00")</f>
        <v>SAS vs IND - Q2 02:14.00</v>
      </c>
      <c r="L1916">
        <v>0</v>
      </c>
      <c r="M1916">
        <v>0</v>
      </c>
      <c r="N1916">
        <v>1</v>
      </c>
      <c r="O1916">
        <v>0</v>
      </c>
      <c r="P1916">
        <v>1</v>
      </c>
    </row>
    <row r="1917" spans="1:16" x14ac:dyDescent="0.25">
      <c r="A1917">
        <v>21500502</v>
      </c>
      <c r="B1917">
        <v>2015</v>
      </c>
      <c r="C1917" t="s">
        <v>32</v>
      </c>
      <c r="D1917" t="s">
        <v>67</v>
      </c>
      <c r="E1917">
        <v>45</v>
      </c>
      <c r="F1917">
        <v>48</v>
      </c>
      <c r="G1917">
        <v>2</v>
      </c>
      <c r="H1917" s="1">
        <v>2.8124999999999999E-3</v>
      </c>
      <c r="I1917" t="s">
        <v>18</v>
      </c>
      <c r="J1917" s="2" t="str">
        <f>HYPERLINK("https://www.nba.com/stats/events?CFID=&amp;CFPARAMS=&amp;GameEventID=226&amp;GameID=0021500502&amp;Season=2015-16&amp;flag=1&amp;title=Leonard%20%20Driving%20Dunk%20(7%20PTS)", "Leonard  Driving Dunk (7 PTS)")</f>
        <v>Leonard  Driving Dunk (7 PTS)</v>
      </c>
      <c r="K1917" s="2" t="str">
        <f>HYPERLINK("https://www.nba.com/game/...-vs-...-0021500502/play-by-play?watchFullGame=true", "SAS vs HOU - Q2 04:03.00")</f>
        <v>SAS vs HOU - Q2 04:03.00</v>
      </c>
      <c r="L1917">
        <v>0</v>
      </c>
      <c r="M1917">
        <v>0</v>
      </c>
      <c r="N1917">
        <v>1</v>
      </c>
      <c r="O1917">
        <v>0</v>
      </c>
      <c r="P1917">
        <v>1</v>
      </c>
    </row>
    <row r="1918" spans="1:16" x14ac:dyDescent="0.25">
      <c r="A1918">
        <v>21500566</v>
      </c>
      <c r="B1918">
        <v>2015</v>
      </c>
      <c r="C1918" t="s">
        <v>32</v>
      </c>
      <c r="D1918" t="s">
        <v>67</v>
      </c>
      <c r="E1918">
        <v>26</v>
      </c>
      <c r="F1918">
        <v>33</v>
      </c>
      <c r="G1918">
        <v>2</v>
      </c>
      <c r="H1918" s="1">
        <v>4.6412037037037038E-3</v>
      </c>
      <c r="I1918" t="s">
        <v>18</v>
      </c>
      <c r="J1918" s="2" t="str">
        <f>HYPERLINK("https://www.nba.com/stats/events?CFID=&amp;CFPARAMS=&amp;GameEventID=137&amp;GameID=0021500566&amp;Season=2015-16&amp;flag=1&amp;title=Leonard%20%20Driving%20Dunk%20(4%20PTS)", "Leonard  Driving Dunk (4 PTS)")</f>
        <v>Leonard  Driving Dunk (4 PTS)</v>
      </c>
      <c r="K1918" s="2" t="str">
        <f>HYPERLINK("https://www.nba.com/game/...-vs-...-0021500566/play-by-play?watchFullGame=true", "SAS vs BKN - Q2 06:41.00")</f>
        <v>SAS vs BKN - Q2 06:41.00</v>
      </c>
      <c r="L1918">
        <v>0</v>
      </c>
      <c r="M1918">
        <v>0</v>
      </c>
      <c r="N1918">
        <v>1</v>
      </c>
      <c r="O1918">
        <v>0</v>
      </c>
      <c r="P1918">
        <v>1</v>
      </c>
    </row>
    <row r="1919" spans="1:16" x14ac:dyDescent="0.25">
      <c r="A1919">
        <v>21600525</v>
      </c>
      <c r="B1919">
        <v>2016</v>
      </c>
      <c r="C1919" t="s">
        <v>32</v>
      </c>
      <c r="D1919" t="s">
        <v>62</v>
      </c>
      <c r="E1919">
        <v>48</v>
      </c>
      <c r="F1919">
        <v>32</v>
      </c>
      <c r="G1919">
        <v>2</v>
      </c>
      <c r="H1919" s="1">
        <v>2.5694444444444445E-3</v>
      </c>
      <c r="I1919" t="s">
        <v>18</v>
      </c>
      <c r="J1919" s="2" t="str">
        <f>HYPERLINK("https://www.nba.com/stats/events?CFID=&amp;CFPARAMS=&amp;GameEventID=208&amp;GameID=0021600525&amp;Season=2016-17&amp;flag=1&amp;title=Leonard%20%20Dunk%20(15%20PTS)%20(Green%201%20AST)", "Leonard  Dunk (15 PTS) (Green 1 AST)")</f>
        <v>Leonard  Dunk (15 PTS) (Green 1 AST)</v>
      </c>
      <c r="K1919" s="2" t="str">
        <f>HYPERLINK("https://www.nba.com/game/...-vs-...-0021600525/play-by-play?watchFullGame=true", "SAS vs TOR - Q2 03:42.00")</f>
        <v>SAS vs TOR - Q2 03:42.00</v>
      </c>
      <c r="L1919">
        <v>0</v>
      </c>
      <c r="M1919">
        <v>0</v>
      </c>
      <c r="N1919">
        <v>1</v>
      </c>
      <c r="O1919">
        <v>0</v>
      </c>
      <c r="P1919">
        <v>1</v>
      </c>
    </row>
    <row r="1920" spans="1:16" x14ac:dyDescent="0.25">
      <c r="A1920">
        <v>21600874</v>
      </c>
      <c r="B1920">
        <v>2016</v>
      </c>
      <c r="C1920" t="s">
        <v>32</v>
      </c>
      <c r="D1920" t="s">
        <v>63</v>
      </c>
      <c r="E1920">
        <v>79</v>
      </c>
      <c r="F1920">
        <v>103</v>
      </c>
      <c r="G1920">
        <v>4</v>
      </c>
      <c r="H1920" s="1">
        <v>5.7175925925925927E-3</v>
      </c>
      <c r="I1920" t="s">
        <v>18</v>
      </c>
      <c r="J1920" s="2" t="str">
        <f>HYPERLINK("https://www.nba.com/stats/events?CFID=&amp;CFPARAMS=&amp;GameEventID=419&amp;GameID=0021600874&amp;Season=2016-17&amp;flag=1&amp;title=Leonard%20%20Running%20Dunk%20(25%20PTS)%20(Murray%201%20AST)", "Leonard  Running Dunk (25 PTS) (Murray 1 AST)")</f>
        <v>Leonard  Running Dunk (25 PTS) (Murray 1 AST)</v>
      </c>
      <c r="K1920" s="2" t="str">
        <f>HYPERLINK("https://www.nba.com/game/...-vs-...-0021600874/play-by-play?watchFullGame=true", "SAS vs LAL - Q4 08:14.00")</f>
        <v>SAS vs LAL - Q4 08:14.00</v>
      </c>
      <c r="L1920">
        <v>0</v>
      </c>
      <c r="M1920">
        <v>0</v>
      </c>
      <c r="N1920">
        <v>1</v>
      </c>
      <c r="O1920">
        <v>0</v>
      </c>
      <c r="P1920">
        <v>1</v>
      </c>
    </row>
    <row r="1921" spans="1:16" x14ac:dyDescent="0.25">
      <c r="A1921">
        <v>21401028</v>
      </c>
      <c r="B1921">
        <v>2014</v>
      </c>
      <c r="C1921" t="s">
        <v>32</v>
      </c>
      <c r="D1921" t="s">
        <v>62</v>
      </c>
      <c r="E1921">
        <v>73</v>
      </c>
      <c r="F1921">
        <v>56</v>
      </c>
      <c r="G1921">
        <v>3</v>
      </c>
      <c r="H1921" s="1">
        <v>4.0393518518518521E-3</v>
      </c>
      <c r="I1921" t="s">
        <v>18</v>
      </c>
      <c r="J1921" s="2" t="str">
        <f>HYPERLINK("https://www.nba.com/stats/events?CFID=&amp;CFPARAMS=&amp;GameEventID=310&amp;GameID=0021401028&amp;Season=2014-15&amp;flag=1&amp;title=Leonard%20%20Dunk%20(15%20PTS)", "Leonard  Dunk (15 PTS)")</f>
        <v>Leonard  Dunk (15 PTS)</v>
      </c>
      <c r="K1921" s="2" t="str">
        <f>HYPERLINK("https://www.nba.com/game/...-vs-...-0021401028/play-by-play?watchFullGame=true", "SAS vs BOS - Q3 05:49.00")</f>
        <v>SAS vs BOS - Q3 05:49.00</v>
      </c>
      <c r="L1921">
        <v>0</v>
      </c>
      <c r="M1921">
        <v>0</v>
      </c>
      <c r="N1921">
        <v>1</v>
      </c>
      <c r="O1921">
        <v>0</v>
      </c>
      <c r="P1921">
        <v>1</v>
      </c>
    </row>
    <row r="1922" spans="1:16" x14ac:dyDescent="0.25">
      <c r="A1922">
        <v>21500013</v>
      </c>
      <c r="B1922">
        <v>2015</v>
      </c>
      <c r="C1922" t="s">
        <v>32</v>
      </c>
      <c r="D1922" t="s">
        <v>67</v>
      </c>
      <c r="E1922">
        <v>41</v>
      </c>
      <c r="F1922">
        <v>45</v>
      </c>
      <c r="G1922">
        <v>2</v>
      </c>
      <c r="H1922" s="1">
        <v>2.4074074074074076E-3</v>
      </c>
      <c r="I1922" t="s">
        <v>18</v>
      </c>
      <c r="J1922" s="2" t="str">
        <f>HYPERLINK("https://www.nba.com/stats/events?CFID=&amp;CFPARAMS=&amp;GameEventID=222&amp;GameID=0021500013&amp;Season=2015-16&amp;flag=1&amp;title=Leonard%20%20Driving%20Dunk%20(12%20PTS)", "Leonard  Driving Dunk (12 PTS)")</f>
        <v>Leonard  Driving Dunk (12 PTS)</v>
      </c>
      <c r="K1922" s="2" t="str">
        <f>HYPERLINK("https://www.nba.com/game/...-vs-...-0021500013/play-by-play?watchFullGame=true", "SAS vs OKC - Q2 03:28.00")</f>
        <v>SAS vs OKC - Q2 03:28.00</v>
      </c>
      <c r="L1922">
        <v>0</v>
      </c>
      <c r="M1922">
        <v>0</v>
      </c>
      <c r="N1922">
        <v>1</v>
      </c>
      <c r="O1922">
        <v>0</v>
      </c>
      <c r="P1922">
        <v>1</v>
      </c>
    </row>
    <row r="1923" spans="1:16" x14ac:dyDescent="0.25">
      <c r="A1923">
        <v>21500207</v>
      </c>
      <c r="B1923">
        <v>2015</v>
      </c>
      <c r="C1923" t="s">
        <v>32</v>
      </c>
      <c r="D1923" t="s">
        <v>62</v>
      </c>
      <c r="E1923">
        <v>82</v>
      </c>
      <c r="F1923">
        <v>70</v>
      </c>
      <c r="G1923">
        <v>4</v>
      </c>
      <c r="H1923" s="1">
        <v>4.2361111111111115E-3</v>
      </c>
      <c r="I1923" t="s">
        <v>18</v>
      </c>
      <c r="J1923" s="2" t="str">
        <f>HYPERLINK("https://www.nba.com/stats/events?CFID=&amp;CFPARAMS=&amp;GameEventID=418&amp;GameID=0021500207&amp;Season=2015-16&amp;flag=1&amp;title=Leonard%20%20Dunk%20(22%20PTS)%20(Parker%204%20AST)", "Leonard  Dunk (22 PTS) (Parker 4 AST)")</f>
        <v>Leonard  Dunk (22 PTS) (Parker 4 AST)</v>
      </c>
      <c r="K1923" s="2" t="str">
        <f>HYPERLINK("https://www.nba.com/game/...-vs-...-0021500207/play-by-play?watchFullGame=true", "SAS vs PHX - Q4 06:06.00")</f>
        <v>SAS vs PHX - Q4 06:06.00</v>
      </c>
      <c r="L1923">
        <v>0</v>
      </c>
      <c r="M1923">
        <v>0</v>
      </c>
      <c r="N1923">
        <v>1</v>
      </c>
      <c r="O1923">
        <v>0</v>
      </c>
      <c r="P1923">
        <v>1</v>
      </c>
    </row>
    <row r="1924" spans="1:16" x14ac:dyDescent="0.25">
      <c r="A1924">
        <v>21500242</v>
      </c>
      <c r="B1924">
        <v>2015</v>
      </c>
      <c r="C1924" t="s">
        <v>32</v>
      </c>
      <c r="D1924" t="s">
        <v>62</v>
      </c>
      <c r="E1924">
        <v>51</v>
      </c>
      <c r="F1924">
        <v>37</v>
      </c>
      <c r="G1924">
        <v>2</v>
      </c>
      <c r="H1924" s="1">
        <v>8.6805555555555551E-4</v>
      </c>
      <c r="I1924" t="s">
        <v>18</v>
      </c>
      <c r="J1924" s="2" t="str">
        <f>HYPERLINK("https://www.nba.com/stats/events?CFID=&amp;CFPARAMS=&amp;GameEventID=248&amp;GameID=0021500242&amp;Season=2015-16&amp;flag=1&amp;title=Leonard%20%20Dunk%20(12%20PTS)%20(Mills%201%20AST)", "Leonard  Dunk (12 PTS) (Mills 1 AST)")</f>
        <v>Leonard  Dunk (12 PTS) (Mills 1 AST)</v>
      </c>
      <c r="K1924" s="2" t="str">
        <f>HYPERLINK("https://www.nba.com/game/...-vs-...-0021500242/play-by-play?watchFullGame=true", "SAS vs ATL - Q2 01:15.00")</f>
        <v>SAS vs ATL - Q2 01:15.00</v>
      </c>
      <c r="L1924">
        <v>0</v>
      </c>
      <c r="M1924">
        <v>0</v>
      </c>
      <c r="N1924">
        <v>1</v>
      </c>
      <c r="O1924">
        <v>0</v>
      </c>
      <c r="P1924">
        <v>1</v>
      </c>
    </row>
    <row r="1925" spans="1:16" x14ac:dyDescent="0.25">
      <c r="A1925">
        <v>21500546</v>
      </c>
      <c r="B1925">
        <v>2015</v>
      </c>
      <c r="C1925" t="s">
        <v>32</v>
      </c>
      <c r="D1925" t="s">
        <v>63</v>
      </c>
      <c r="E1925">
        <v>69</v>
      </c>
      <c r="F1925">
        <v>64</v>
      </c>
      <c r="G1925">
        <v>3</v>
      </c>
      <c r="H1925" s="1">
        <v>3.6574074074074074E-3</v>
      </c>
      <c r="I1925" t="s">
        <v>18</v>
      </c>
      <c r="J1925" s="2" t="str">
        <f>HYPERLINK("https://www.nba.com/stats/events?CFID=&amp;CFPARAMS=&amp;GameEventID=330&amp;GameID=0021500546&amp;Season=2015-16&amp;flag=1&amp;title=Leonard%20%20Running%20Dunk%20(17%20PTS)%20(Parker%207%20AST)", "Leonard  Running Dunk (17 PTS) (Parker 7 AST)")</f>
        <v>Leonard  Running Dunk (17 PTS) (Parker 7 AST)</v>
      </c>
      <c r="K1925" s="2" t="str">
        <f>HYPERLINK("https://www.nba.com/game/...-vs-...-0021500546/play-by-play?watchFullGame=true", "SAS vs NYK - Q3 05:16.00")</f>
        <v>SAS vs NYK - Q3 05:16.00</v>
      </c>
      <c r="L1925">
        <v>0</v>
      </c>
      <c r="M1925">
        <v>0</v>
      </c>
      <c r="N1925">
        <v>1</v>
      </c>
      <c r="O1925">
        <v>0</v>
      </c>
      <c r="P1925">
        <v>1</v>
      </c>
    </row>
    <row r="1926" spans="1:16" x14ac:dyDescent="0.25">
      <c r="A1926">
        <v>21500979</v>
      </c>
      <c r="B1926">
        <v>2015</v>
      </c>
      <c r="C1926" t="s">
        <v>32</v>
      </c>
      <c r="D1926" t="s">
        <v>67</v>
      </c>
      <c r="E1926">
        <v>35</v>
      </c>
      <c r="F1926">
        <v>27</v>
      </c>
      <c r="G1926">
        <v>2</v>
      </c>
      <c r="H1926" s="1">
        <v>4.9768518518518521E-3</v>
      </c>
      <c r="I1926" t="s">
        <v>18</v>
      </c>
      <c r="J1926" s="2" t="str">
        <f>HYPERLINK("https://www.nba.com/stats/events?CFID=&amp;CFPARAMS=&amp;GameEventID=191&amp;GameID=0021500979&amp;Season=2015-16&amp;flag=1&amp;title=Leonard%20%20Driving%20Dunk%20(6%20PTS)%20(Aldridge%201%20AST)", "Leonard  Driving Dunk (6 PTS) (Aldridge 1 AST)")</f>
        <v>Leonard  Driving Dunk (6 PTS) (Aldridge 1 AST)</v>
      </c>
      <c r="K1926" s="2" t="str">
        <f>HYPERLINK("https://www.nba.com/game/...-vs-...-0021500979/play-by-play?watchFullGame=true", "SAS vs OKC - Q2 07:10.00")</f>
        <v>SAS vs OKC - Q2 07:10.00</v>
      </c>
      <c r="L1926">
        <v>0</v>
      </c>
      <c r="M1926">
        <v>0</v>
      </c>
      <c r="N1926">
        <v>1</v>
      </c>
      <c r="O1926">
        <v>0</v>
      </c>
      <c r="P1926">
        <v>1</v>
      </c>
    </row>
    <row r="1927" spans="1:16" x14ac:dyDescent="0.25">
      <c r="A1927">
        <v>21600114</v>
      </c>
      <c r="B1927">
        <v>2016</v>
      </c>
      <c r="C1927" t="s">
        <v>32</v>
      </c>
      <c r="D1927" t="s">
        <v>68</v>
      </c>
      <c r="E1927">
        <v>97</v>
      </c>
      <c r="F1927">
        <v>98</v>
      </c>
      <c r="G1927">
        <v>4</v>
      </c>
      <c r="H1927" s="1">
        <v>1.8402777777777777E-3</v>
      </c>
      <c r="I1927" t="s">
        <v>18</v>
      </c>
      <c r="J1927" s="2" t="str">
        <f>HYPERLINK("https://www.nba.com/stats/events?CFID=&amp;CFPARAMS=&amp;GameEventID=540&amp;GameID=0021600114&amp;Season=2016-17&amp;flag=1&amp;title=Leonard%20%20Cutting%20Dunk%20Shot%20(32%20PTS)%20(Mills%2010%20AST)", "Leonard  Cutting Dunk Shot (32 PTS) (Mills 10 AST)")</f>
        <v>Leonard  Cutting Dunk Shot (32 PTS) (Mills 10 AST)</v>
      </c>
      <c r="K1927" s="2" t="str">
        <f>HYPERLINK("https://www.nba.com/game/...-vs-...-0021600114/play-by-play?watchFullGame=true", "SAS vs HOU - Q4 02:39.00")</f>
        <v>SAS vs HOU - Q4 02:39.00</v>
      </c>
      <c r="L1927">
        <v>0</v>
      </c>
      <c r="M1927">
        <v>0</v>
      </c>
      <c r="N1927">
        <v>1</v>
      </c>
      <c r="O1927">
        <v>0</v>
      </c>
      <c r="P1927">
        <v>1</v>
      </c>
    </row>
    <row r="1928" spans="1:16" x14ac:dyDescent="0.25">
      <c r="A1928">
        <v>21600134</v>
      </c>
      <c r="B1928">
        <v>2016</v>
      </c>
      <c r="C1928" t="s">
        <v>32</v>
      </c>
      <c r="D1928" t="s">
        <v>68</v>
      </c>
      <c r="E1928">
        <v>87</v>
      </c>
      <c r="F1928">
        <v>96</v>
      </c>
      <c r="G1928">
        <v>4</v>
      </c>
      <c r="H1928" s="1">
        <v>2.9282407407407408E-3</v>
      </c>
      <c r="I1928" t="s">
        <v>18</v>
      </c>
      <c r="J1928" s="2" t="str">
        <f>HYPERLINK("https://www.nba.com/stats/events?CFID=&amp;CFPARAMS=&amp;GameEventID=487&amp;GameID=0021600134&amp;Season=2016-17&amp;flag=1&amp;title=Leonard%20%20Cutting%20Dunk%20Shot%20(16%20PTS)%20(Aldridge%202%20AST)", "Leonard  Cutting Dunk Shot (16 PTS) (Aldridge 2 AST)")</f>
        <v>Leonard  Cutting Dunk Shot (16 PTS) (Aldridge 2 AST)</v>
      </c>
      <c r="K1928" s="2" t="str">
        <f>HYPERLINK("https://www.nba.com/game/...-vs-...-0021600134/play-by-play?watchFullGame=true", "SAS vs HOU - Q4 04:13.00")</f>
        <v>SAS vs HOU - Q4 04:13.00</v>
      </c>
      <c r="L1928">
        <v>0</v>
      </c>
      <c r="M1928">
        <v>0</v>
      </c>
      <c r="N1928">
        <v>1</v>
      </c>
      <c r="O1928">
        <v>0</v>
      </c>
      <c r="P1928">
        <v>1</v>
      </c>
    </row>
    <row r="1929" spans="1:16" x14ac:dyDescent="0.25">
      <c r="A1929">
        <v>21600213</v>
      </c>
      <c r="B1929">
        <v>2016</v>
      </c>
      <c r="C1929" t="s">
        <v>32</v>
      </c>
      <c r="D1929" t="s">
        <v>64</v>
      </c>
      <c r="E1929">
        <v>73</v>
      </c>
      <c r="F1929">
        <v>77</v>
      </c>
      <c r="G1929">
        <v>3</v>
      </c>
      <c r="H1929" s="1">
        <v>2.6157407407407405E-3</v>
      </c>
      <c r="I1929" t="s">
        <v>18</v>
      </c>
      <c r="J1929" s="2" t="str">
        <f>HYPERLINK("https://www.nba.com/stats/events?CFID=&amp;CFPARAMS=&amp;GameEventID=317&amp;GameID=0021600213&amp;Season=2016-17&amp;flag=1&amp;title=Leonard%20%20Putback%20Dunk%20(24%20PTS)", "Leonard  Putback Dunk (24 PTS)")</f>
        <v>Leonard  Putback Dunk (24 PTS)</v>
      </c>
      <c r="K1929" s="2" t="str">
        <f>HYPERLINK("https://www.nba.com/game/...-vs-...-0021600213/play-by-play?watchFullGame=true", "SAS vs CHA - Q3 03:46.00")</f>
        <v>SAS vs CHA - Q3 03:46.00</v>
      </c>
      <c r="L1929">
        <v>0</v>
      </c>
      <c r="M1929">
        <v>0</v>
      </c>
      <c r="N1929">
        <v>1</v>
      </c>
      <c r="O1929">
        <v>0</v>
      </c>
      <c r="P1929">
        <v>1</v>
      </c>
    </row>
    <row r="1930" spans="1:16" x14ac:dyDescent="0.25">
      <c r="A1930">
        <v>21601135</v>
      </c>
      <c r="B1930">
        <v>2016</v>
      </c>
      <c r="C1930" t="s">
        <v>32</v>
      </c>
      <c r="D1930" t="s">
        <v>63</v>
      </c>
      <c r="E1930">
        <v>51</v>
      </c>
      <c r="F1930">
        <v>41</v>
      </c>
      <c r="G1930">
        <v>2</v>
      </c>
      <c r="H1930" s="1">
        <v>3.8425925925925927E-4</v>
      </c>
      <c r="I1930" t="s">
        <v>18</v>
      </c>
      <c r="J1930" s="2" t="str">
        <f>HYPERLINK("https://www.nba.com/stats/events?CFID=&amp;CFPARAMS=&amp;GameEventID=236&amp;GameID=0021601135&amp;Season=2016-17&amp;flag=1&amp;title=Leonard%20%20Running%20Dunk%20(8%20PTS)%20(Lee%202%20AST)", "Leonard  Running Dunk (8 PTS) (Lee 2 AST)")</f>
        <v>Leonard  Running Dunk (8 PTS) (Lee 2 AST)</v>
      </c>
      <c r="K1930" s="2" t="str">
        <f>HYPERLINK("https://www.nba.com/game/...-vs-...-0021601135/play-by-play?watchFullGame=true", "SAS vs OKC - Q2 00:33.20")</f>
        <v>SAS vs OKC - Q2 00:33.20</v>
      </c>
      <c r="L1930">
        <v>0</v>
      </c>
      <c r="M1930">
        <v>0</v>
      </c>
      <c r="N1930">
        <v>1</v>
      </c>
      <c r="O1930">
        <v>0</v>
      </c>
      <c r="P1930">
        <v>1</v>
      </c>
    </row>
    <row r="1931" spans="1:16" x14ac:dyDescent="0.25">
      <c r="A1931">
        <v>21400191</v>
      </c>
      <c r="B1931">
        <v>2014</v>
      </c>
      <c r="C1931" t="s">
        <v>32</v>
      </c>
      <c r="D1931" t="s">
        <v>62</v>
      </c>
      <c r="E1931">
        <v>77</v>
      </c>
      <c r="F1931">
        <v>60</v>
      </c>
      <c r="G1931">
        <v>3</v>
      </c>
      <c r="H1931" s="1">
        <v>9.9537037037037042E-4</v>
      </c>
      <c r="I1931" t="s">
        <v>18</v>
      </c>
      <c r="J1931" s="2" t="str">
        <f>HYPERLINK("https://www.nba.com/stats/events?CFID=&amp;CFPARAMS=&amp;GameEventID=331&amp;GameID=0021400191&amp;Season=2014-15&amp;flag=1&amp;title=Leonard%20%20Dunk%20(15%20PTS)%20(Parker%206%20AST)", "Leonard  Dunk (15 PTS) (Parker 6 AST)")</f>
        <v>Leonard  Dunk (15 PTS) (Parker 6 AST)</v>
      </c>
      <c r="K1931" s="2" t="str">
        <f>HYPERLINK("https://www.nba.com/game/...-vs-...-0021400191/play-by-play?watchFullGame=true", "SAS vs BKN - Q3 01:26.00")</f>
        <v>SAS vs BKN - Q3 01:26.00</v>
      </c>
      <c r="L1931">
        <v>0</v>
      </c>
      <c r="M1931">
        <v>0</v>
      </c>
      <c r="N1931">
        <v>1</v>
      </c>
      <c r="O1931">
        <v>0</v>
      </c>
      <c r="P1931">
        <v>1</v>
      </c>
    </row>
    <row r="1932" spans="1:16" x14ac:dyDescent="0.25">
      <c r="A1932">
        <v>21400867</v>
      </c>
      <c r="B1932">
        <v>2014</v>
      </c>
      <c r="C1932" t="s">
        <v>32</v>
      </c>
      <c r="D1932" t="s">
        <v>62</v>
      </c>
      <c r="E1932">
        <v>80</v>
      </c>
      <c r="F1932">
        <v>84</v>
      </c>
      <c r="G1932">
        <v>4</v>
      </c>
      <c r="H1932" s="1">
        <v>5.7638888888888887E-3</v>
      </c>
      <c r="I1932" t="s">
        <v>18</v>
      </c>
      <c r="J1932" s="2" t="str">
        <f>HYPERLINK("https://www.nba.com/stats/events?CFID=&amp;CFPARAMS=&amp;GameEventID=458&amp;GameID=0021400867&amp;Season=2014-15&amp;flag=1&amp;title=Leonard%20%20Dunk%20(17%20PTS)%20(Green%202%20AST)", "Leonard  Dunk (17 PTS) (Green 2 AST)")</f>
        <v>Leonard  Dunk (17 PTS) (Green 2 AST)</v>
      </c>
      <c r="K1932" s="2" t="str">
        <f>HYPERLINK("https://www.nba.com/game/...-vs-...-0021400867/play-by-play?watchFullGame=true", "SAS vs SAC - Q4 08:18.00")</f>
        <v>SAS vs SAC - Q4 08:18.00</v>
      </c>
      <c r="L1932">
        <v>0</v>
      </c>
      <c r="M1932">
        <v>0</v>
      </c>
      <c r="N1932">
        <v>1</v>
      </c>
      <c r="O1932">
        <v>0</v>
      </c>
      <c r="P1932">
        <v>1</v>
      </c>
    </row>
    <row r="1933" spans="1:16" x14ac:dyDescent="0.25">
      <c r="A1933">
        <v>21401001</v>
      </c>
      <c r="B1933">
        <v>2014</v>
      </c>
      <c r="C1933" t="s">
        <v>32</v>
      </c>
      <c r="D1933" t="s">
        <v>60</v>
      </c>
      <c r="E1933">
        <v>2</v>
      </c>
      <c r="F1933">
        <v>8</v>
      </c>
      <c r="G1933">
        <v>1</v>
      </c>
      <c r="H1933" s="1">
        <v>6.7708333333333336E-3</v>
      </c>
      <c r="I1933" t="s">
        <v>18</v>
      </c>
      <c r="J1933" s="2" t="str">
        <f>HYPERLINK("https://www.nba.com/stats/events?CFID=&amp;CFPARAMS=&amp;GameEventID=26&amp;GameID=0021401001&amp;Season=2014-15&amp;flag=1&amp;title=Leonard%20%20Alley%20Oop%20Dunk%20(4%20PTS)%20(Duncan%201%20AST)", "Leonard  Alley Oop Dunk (4 PTS) (Duncan 1 AST)")</f>
        <v>Leonard  Alley Oop Dunk (4 PTS) (Duncan 1 AST)</v>
      </c>
      <c r="K1933" s="2" t="str">
        <f>HYPERLINK("https://www.nba.com/game/...-vs-...-0021401001/play-by-play?watchFullGame=true", "SAS vs NYK - Q1 09:45.00")</f>
        <v>SAS vs NYK - Q1 09:45.00</v>
      </c>
      <c r="L1933">
        <v>0</v>
      </c>
      <c r="M1933">
        <v>0</v>
      </c>
      <c r="N1933">
        <v>1</v>
      </c>
      <c r="O1933">
        <v>0</v>
      </c>
      <c r="P1933">
        <v>1</v>
      </c>
    </row>
    <row r="1934" spans="1:16" x14ac:dyDescent="0.25">
      <c r="A1934">
        <v>21500103</v>
      </c>
      <c r="B1934">
        <v>2015</v>
      </c>
      <c r="C1934" t="s">
        <v>32</v>
      </c>
      <c r="D1934" t="s">
        <v>62</v>
      </c>
      <c r="E1934">
        <v>50</v>
      </c>
      <c r="F1934">
        <v>55</v>
      </c>
      <c r="G1934">
        <v>3</v>
      </c>
      <c r="H1934" s="1">
        <v>5.8449074074074072E-3</v>
      </c>
      <c r="I1934" t="s">
        <v>18</v>
      </c>
      <c r="J1934" s="2" t="str">
        <f>HYPERLINK("https://www.nba.com/stats/events?CFID=&amp;CFPARAMS=&amp;GameEventID=289&amp;GameID=0021500103&amp;Season=2015-16&amp;flag=1&amp;title=Leonard%20%20Dunk%20(15%20PTS)%20(Duncan%201%20AST)", "Leonard  Dunk (15 PTS) (Duncan 1 AST)")</f>
        <v>Leonard  Dunk (15 PTS) (Duncan 1 AST)</v>
      </c>
      <c r="K1934" s="2" t="str">
        <f>HYPERLINK("https://www.nba.com/game/...-vs-...-0021500103/play-by-play?watchFullGame=true", "SAS vs SAC - Q3 08:25.00")</f>
        <v>SAS vs SAC - Q3 08:25.00</v>
      </c>
      <c r="L1934">
        <v>0</v>
      </c>
      <c r="M1934">
        <v>0</v>
      </c>
      <c r="N1934">
        <v>1</v>
      </c>
      <c r="O1934">
        <v>0</v>
      </c>
      <c r="P1934">
        <v>1</v>
      </c>
    </row>
    <row r="1935" spans="1:16" x14ac:dyDescent="0.25">
      <c r="A1935">
        <v>21500342</v>
      </c>
      <c r="B1935">
        <v>2015</v>
      </c>
      <c r="C1935" t="s">
        <v>32</v>
      </c>
      <c r="D1935" t="s">
        <v>63</v>
      </c>
      <c r="E1935">
        <v>17</v>
      </c>
      <c r="F1935">
        <v>21</v>
      </c>
      <c r="G1935">
        <v>1</v>
      </c>
      <c r="H1935" s="1">
        <v>2.650462962962963E-3</v>
      </c>
      <c r="I1935" t="s">
        <v>18</v>
      </c>
      <c r="J1935" s="2" t="str">
        <f>HYPERLINK("https://www.nba.com/stats/events?CFID=&amp;CFPARAMS=&amp;GameEventID=59&amp;GameID=0021500342&amp;Season=2015-16&amp;flag=1&amp;title=Leonard%20%20Running%20Dunk%20(4%20PTS)", "Leonard  Running Dunk (4 PTS)")</f>
        <v>Leonard  Running Dunk (4 PTS)</v>
      </c>
      <c r="K1935" s="2" t="str">
        <f>HYPERLINK("https://www.nba.com/game/...-vs-...-0021500342/play-by-play?watchFullGame=true", "SAS vs LAL - Q1 03:49.00")</f>
        <v>SAS vs LAL - Q1 03:49.00</v>
      </c>
      <c r="L1935">
        <v>0</v>
      </c>
      <c r="M1935">
        <v>0</v>
      </c>
      <c r="N1935">
        <v>1</v>
      </c>
      <c r="O1935">
        <v>0</v>
      </c>
      <c r="P1935">
        <v>1</v>
      </c>
    </row>
    <row r="1936" spans="1:16" x14ac:dyDescent="0.25">
      <c r="A1936">
        <v>21500364</v>
      </c>
      <c r="B1936">
        <v>2015</v>
      </c>
      <c r="C1936" t="s">
        <v>32</v>
      </c>
      <c r="D1936" t="s">
        <v>68</v>
      </c>
      <c r="E1936">
        <v>76</v>
      </c>
      <c r="F1936">
        <v>43</v>
      </c>
      <c r="G1936">
        <v>3</v>
      </c>
      <c r="H1936" s="1">
        <v>4.8148148148148152E-3</v>
      </c>
      <c r="I1936" t="s">
        <v>18</v>
      </c>
      <c r="J1936" s="2" t="str">
        <f>HYPERLINK("https://www.nba.com/stats/events?CFID=&amp;CFPARAMS=&amp;GameEventID=306&amp;GameID=0021500364&amp;Season=2015-16&amp;flag=1&amp;title=Leonard%20%20Cutting%20Dunk%20Shot%20(17%20PTS)%20(Green%205%20AST)", "Leonard  Cutting Dunk Shot (17 PTS) (Green 5 AST)")</f>
        <v>Leonard  Cutting Dunk Shot (17 PTS) (Green 5 AST)</v>
      </c>
      <c r="K1936" s="2" t="str">
        <f>HYPERLINK("https://www.nba.com/game/...-vs-...-0021500364/play-by-play?watchFullGame=true", "SAS vs UTA - Q3 06:56.00")</f>
        <v>SAS vs UTA - Q3 06:56.00</v>
      </c>
      <c r="L1936">
        <v>0</v>
      </c>
      <c r="M1936">
        <v>0</v>
      </c>
      <c r="N1936">
        <v>1</v>
      </c>
      <c r="O1936">
        <v>0</v>
      </c>
      <c r="P1936">
        <v>1</v>
      </c>
    </row>
    <row r="1937" spans="1:16" x14ac:dyDescent="0.25">
      <c r="A1937">
        <v>21500516</v>
      </c>
      <c r="B1937">
        <v>2015</v>
      </c>
      <c r="C1937" t="s">
        <v>32</v>
      </c>
      <c r="D1937" t="s">
        <v>68</v>
      </c>
      <c r="E1937">
        <v>53</v>
      </c>
      <c r="F1937">
        <v>64</v>
      </c>
      <c r="G1937">
        <v>3</v>
      </c>
      <c r="H1937" s="1">
        <v>6.9560185185185185E-3</v>
      </c>
      <c r="I1937" t="s">
        <v>18</v>
      </c>
      <c r="J1937" s="2" t="str">
        <f>HYPERLINK("https://www.nba.com/stats/events?CFID=&amp;CFPARAMS=&amp;GameEventID=299&amp;GameID=0021500516&amp;Season=2015-16&amp;flag=1&amp;title=Leonard%20%20Cutting%20Dunk%20Shot%20(13%20PTS)%20(Duncan%203%20AST)", "Leonard  Cutting Dunk Shot (13 PTS) (Duncan 3 AST)")</f>
        <v>Leonard  Cutting Dunk Shot (13 PTS) (Duncan 3 AST)</v>
      </c>
      <c r="K1937" s="2" t="str">
        <f>HYPERLINK("https://www.nba.com/game/...-vs-...-0021500516/play-by-play?watchFullGame=true", "SAS vs MIL - Q3 10:01.00")</f>
        <v>SAS vs MIL - Q3 10:01.00</v>
      </c>
      <c r="L1937">
        <v>0</v>
      </c>
      <c r="M1937">
        <v>0</v>
      </c>
      <c r="N1937">
        <v>1</v>
      </c>
      <c r="O1937">
        <v>0</v>
      </c>
      <c r="P1937">
        <v>1</v>
      </c>
    </row>
    <row r="1938" spans="1:16" x14ac:dyDescent="0.25">
      <c r="A1938">
        <v>21500590</v>
      </c>
      <c r="B1938">
        <v>2015</v>
      </c>
      <c r="C1938" t="s">
        <v>32</v>
      </c>
      <c r="D1938" t="s">
        <v>80</v>
      </c>
      <c r="E1938">
        <v>89</v>
      </c>
      <c r="F1938">
        <v>79</v>
      </c>
      <c r="G1938">
        <v>4</v>
      </c>
      <c r="H1938" s="1">
        <v>3.1944444444444446E-3</v>
      </c>
      <c r="I1938" t="s">
        <v>18</v>
      </c>
      <c r="J1938" s="2" t="str">
        <f>HYPERLINK("https://www.nba.com/stats/events?CFID=&amp;CFPARAMS=&amp;GameEventID=446&amp;GameID=0021500590&amp;Season=2015-16&amp;flag=1&amp;title=Leonard%20%20Tip%20Dunk%20Shot%20(20%20PTS)", "Leonard  Tip Dunk Shot (20 PTS)")</f>
        <v>Leonard  Tip Dunk Shot (20 PTS)</v>
      </c>
      <c r="K1938" s="2" t="str">
        <f>HYPERLINK("https://www.nba.com/game/...-vs-...-0021500590/play-by-play?watchFullGame=true", "SAS vs CLE - Q4 04:36.00")</f>
        <v>SAS vs CLE - Q4 04:36.00</v>
      </c>
      <c r="L1938">
        <v>0</v>
      </c>
      <c r="M1938">
        <v>0</v>
      </c>
      <c r="N1938">
        <v>1</v>
      </c>
      <c r="O1938">
        <v>0</v>
      </c>
      <c r="P1938">
        <v>1</v>
      </c>
    </row>
    <row r="1939" spans="1:16" x14ac:dyDescent="0.25">
      <c r="A1939">
        <v>21500713</v>
      </c>
      <c r="B1939">
        <v>2015</v>
      </c>
      <c r="C1939" t="s">
        <v>32</v>
      </c>
      <c r="D1939" t="s">
        <v>68</v>
      </c>
      <c r="E1939">
        <v>1</v>
      </c>
      <c r="F1939">
        <v>4</v>
      </c>
      <c r="G1939">
        <v>1</v>
      </c>
      <c r="H1939" s="1">
        <v>7.5925925925925926E-3</v>
      </c>
      <c r="I1939" t="s">
        <v>18</v>
      </c>
      <c r="J1939" s="2" t="str">
        <f>HYPERLINK("https://www.nba.com/stats/events?CFID=&amp;CFPARAMS=&amp;GameEventID=12&amp;GameID=0021500713&amp;Season=2015-16&amp;flag=1&amp;title=Leonard%20%20Cutting%20Dunk%20Shot%20(2%20PTS)%20(West%201%20AST)", "Leonard  Cutting Dunk Shot (2 PTS) (West 1 AST)")</f>
        <v>Leonard  Cutting Dunk Shot (2 PTS) (West 1 AST)</v>
      </c>
      <c r="K1939" s="2" t="str">
        <f>HYPERLINK("https://www.nba.com/game/...-vs-...-0021500713/play-by-play?watchFullGame=true", "SAS vs CLE - Q1 10:56.00")</f>
        <v>SAS vs CLE - Q1 10:56.00</v>
      </c>
      <c r="L1939">
        <v>0</v>
      </c>
      <c r="M1939">
        <v>0</v>
      </c>
      <c r="N1939">
        <v>1</v>
      </c>
      <c r="O1939">
        <v>0</v>
      </c>
      <c r="P1939">
        <v>1</v>
      </c>
    </row>
    <row r="1940" spans="1:16" x14ac:dyDescent="0.25">
      <c r="A1940">
        <v>21500905</v>
      </c>
      <c r="B1940">
        <v>2015</v>
      </c>
      <c r="C1940" t="s">
        <v>32</v>
      </c>
      <c r="D1940" t="s">
        <v>63</v>
      </c>
      <c r="E1940">
        <v>87</v>
      </c>
      <c r="F1940">
        <v>72</v>
      </c>
      <c r="G1940">
        <v>4</v>
      </c>
      <c r="H1940" s="1">
        <v>5.4398148148148149E-3</v>
      </c>
      <c r="I1940" t="s">
        <v>18</v>
      </c>
      <c r="J1940" s="2" t="str">
        <f>HYPERLINK("https://www.nba.com/stats/events?CFID=&amp;CFPARAMS=&amp;GameEventID=379&amp;GameID=0021500905&amp;Season=2015-16&amp;flag=1&amp;title=Leonard%20%20Running%20Dunk%20(23%20PTS)", "Leonard  Running Dunk (23 PTS)")</f>
        <v>Leonard  Running Dunk (23 PTS)</v>
      </c>
      <c r="K1940" s="2" t="str">
        <f>HYPERLINK("https://www.nba.com/game/...-vs-...-0021500905/play-by-play?watchFullGame=true", "SAS vs DET - Q4 07:50.00")</f>
        <v>SAS vs DET - Q4 07:50.00</v>
      </c>
      <c r="L1940">
        <v>0</v>
      </c>
      <c r="M1940">
        <v>0</v>
      </c>
      <c r="N1940">
        <v>1</v>
      </c>
      <c r="O1940">
        <v>0</v>
      </c>
      <c r="P1940">
        <v>1</v>
      </c>
    </row>
    <row r="1941" spans="1:16" x14ac:dyDescent="0.25">
      <c r="A1941">
        <v>21600086</v>
      </c>
      <c r="B1941">
        <v>2016</v>
      </c>
      <c r="C1941" t="s">
        <v>32</v>
      </c>
      <c r="D1941" t="s">
        <v>67</v>
      </c>
      <c r="E1941">
        <v>5</v>
      </c>
      <c r="F1941">
        <v>0</v>
      </c>
      <c r="G1941">
        <v>1</v>
      </c>
      <c r="H1941" s="1">
        <v>7.6273148148148151E-3</v>
      </c>
      <c r="I1941" t="s">
        <v>18</v>
      </c>
      <c r="J1941" s="2" t="str">
        <f>HYPERLINK("https://www.nba.com/stats/events?CFID=&amp;CFPARAMS=&amp;GameEventID=7&amp;GameID=0021600086&amp;Season=2016-17&amp;flag=1&amp;title=Leonard%20%20Driving%20Dunk%20(2%20PTS)", "Leonard  Driving Dunk (2 PTS)")</f>
        <v>Leonard  Driving Dunk (2 PTS)</v>
      </c>
      <c r="K1941" s="2" t="str">
        <f>HYPERLINK("https://www.nba.com/game/...-vs-...-0021600086/play-by-play?watchFullGame=true", "SAS vs LAC - Q1 10:59.00")</f>
        <v>SAS vs LAC - Q1 10:59.00</v>
      </c>
      <c r="L1941">
        <v>0</v>
      </c>
      <c r="M1941">
        <v>0</v>
      </c>
      <c r="N1941">
        <v>1</v>
      </c>
      <c r="O1941">
        <v>0</v>
      </c>
      <c r="P1941">
        <v>1</v>
      </c>
    </row>
    <row r="1942" spans="1:16" x14ac:dyDescent="0.25">
      <c r="A1942">
        <v>21600865</v>
      </c>
      <c r="B1942">
        <v>2016</v>
      </c>
      <c r="C1942" t="s">
        <v>32</v>
      </c>
      <c r="D1942" t="s">
        <v>63</v>
      </c>
      <c r="E1942">
        <v>84</v>
      </c>
      <c r="F1942">
        <v>92</v>
      </c>
      <c r="G1942">
        <v>4</v>
      </c>
      <c r="H1942" s="1">
        <v>3.4953703703703705E-3</v>
      </c>
      <c r="I1942" t="s">
        <v>18</v>
      </c>
      <c r="J1942" s="2" t="str">
        <f>HYPERLINK("https://www.nba.com/stats/events?CFID=&amp;CFPARAMS=&amp;GameEventID=508&amp;GameID=0021600865&amp;Season=2016-17&amp;flag=1&amp;title=Leonard%20%20Running%20Dunk%20(16%20PTS)%20(Parker%203%20AST)", "Leonard  Running Dunk (16 PTS) (Parker 3 AST)")</f>
        <v>Leonard  Running Dunk (16 PTS) (Parker 3 AST)</v>
      </c>
      <c r="K1942" s="2" t="str">
        <f>HYPERLINK("https://www.nba.com/game/...-vs-...-0021600865/play-by-play?watchFullGame=true", "SAS vs LAC - Q4 05:02.00")</f>
        <v>SAS vs LAC - Q4 05:02.00</v>
      </c>
      <c r="L1942">
        <v>0</v>
      </c>
      <c r="M1942">
        <v>0</v>
      </c>
      <c r="N1942">
        <v>1</v>
      </c>
      <c r="O1942">
        <v>0</v>
      </c>
      <c r="P1942">
        <v>1</v>
      </c>
    </row>
    <row r="1943" spans="1:16" x14ac:dyDescent="0.25">
      <c r="A1943">
        <v>21601151</v>
      </c>
      <c r="B1943">
        <v>2016</v>
      </c>
      <c r="C1943" t="s">
        <v>32</v>
      </c>
      <c r="D1943" t="s">
        <v>62</v>
      </c>
      <c r="E1943">
        <v>56</v>
      </c>
      <c r="F1943">
        <v>52</v>
      </c>
      <c r="G1943">
        <v>3</v>
      </c>
      <c r="H1943" s="1">
        <v>8.067129629629629E-3</v>
      </c>
      <c r="I1943" t="s">
        <v>18</v>
      </c>
      <c r="J1943" s="2" t="str">
        <f>HYPERLINK("https://www.nba.com/stats/events?CFID=&amp;CFPARAMS=&amp;GameEventID=222&amp;GameID=0021601151&amp;Season=2016-17&amp;flag=1&amp;title=Leonard%20%20Dunk%20(8%20PTS)%20(Parker%204%20AST)", "Leonard  Dunk (8 PTS) (Parker 4 AST)")</f>
        <v>Leonard  Dunk (8 PTS) (Parker 4 AST)</v>
      </c>
      <c r="K1943" s="2" t="str">
        <f>HYPERLINK("https://www.nba.com/game/...-vs-...-0021601151/play-by-play?watchFullGame=true", "SAS vs UTA - Q3 11:37.00")</f>
        <v>SAS vs UTA - Q3 11:37.00</v>
      </c>
      <c r="L1943">
        <v>0</v>
      </c>
      <c r="M1943">
        <v>0</v>
      </c>
      <c r="N1943">
        <v>1</v>
      </c>
      <c r="O1943">
        <v>0</v>
      </c>
      <c r="P1943">
        <v>1</v>
      </c>
    </row>
    <row r="1944" spans="1:16" x14ac:dyDescent="0.25">
      <c r="A1944">
        <v>41500231</v>
      </c>
      <c r="B1944" t="s">
        <v>25</v>
      </c>
      <c r="C1944" t="s">
        <v>32</v>
      </c>
      <c r="D1944" t="s">
        <v>62</v>
      </c>
      <c r="E1944">
        <v>30</v>
      </c>
      <c r="F1944">
        <v>10</v>
      </c>
      <c r="G1944">
        <v>1</v>
      </c>
      <c r="H1944" s="1">
        <v>2.5694444444444445E-3</v>
      </c>
      <c r="I1944" t="s">
        <v>18</v>
      </c>
      <c r="J1944" s="2" t="str">
        <f>HYPERLINK("https://www.nba.com/stats/events?CFID=&amp;CFPARAMS=&amp;GameEventID=75&amp;GameID=0041500231&amp;Season=2015-16&amp;flag=1&amp;title=Leonard%20%20Dunk%20(12%20PTS)%20(Ginobili%202%20AST)", "Leonard  Dunk (12 PTS) (Ginobili 2 AST)")</f>
        <v>Leonard  Dunk (12 PTS) (Ginobili 2 AST)</v>
      </c>
      <c r="K1944" s="2" t="str">
        <f>HYPERLINK("https://www.nba.com/game/...-vs-...-0041500231/play-by-play?watchFullGame=true", "SAS vs OKC - Q1 03:42.00")</f>
        <v>SAS vs OKC - Q1 03:42.00</v>
      </c>
      <c r="L1944">
        <v>0</v>
      </c>
      <c r="M1944">
        <v>0</v>
      </c>
      <c r="N1944">
        <v>1</v>
      </c>
      <c r="O1944">
        <v>0</v>
      </c>
      <c r="P1944">
        <v>1</v>
      </c>
    </row>
    <row r="1945" spans="1:16" x14ac:dyDescent="0.25">
      <c r="A1945">
        <v>21400131</v>
      </c>
      <c r="B1945">
        <v>2014</v>
      </c>
      <c r="C1945" t="s">
        <v>32</v>
      </c>
      <c r="D1945" t="s">
        <v>74</v>
      </c>
      <c r="E1945">
        <v>11</v>
      </c>
      <c r="F1945">
        <v>12</v>
      </c>
      <c r="G1945">
        <v>1</v>
      </c>
      <c r="H1945" s="1">
        <v>3.9467592592592592E-3</v>
      </c>
      <c r="I1945" t="s">
        <v>18</v>
      </c>
      <c r="J1945" s="2" t="str">
        <f>HYPERLINK("https://www.nba.com/stats/events?CFID=&amp;CFPARAMS=&amp;GameEventID=43&amp;GameID=0021400131&amp;Season=2014-15&amp;flag=1&amp;title=Leonard%20%20Slam%20Dunk%20(5%20PTS)%20(Parker%203%20AST)", "Leonard  Slam Dunk (5 PTS) (Parker 3 AST)")</f>
        <v>Leonard  Slam Dunk (5 PTS) (Parker 3 AST)</v>
      </c>
      <c r="K1945" s="2" t="str">
        <f>HYPERLINK("https://www.nba.com/game/...-vs-...-0021400131/play-by-play?watchFullGame=true", "SAS vs LAL - Q1 05:41.00")</f>
        <v>SAS vs LAL - Q1 05:41.00</v>
      </c>
      <c r="L1945">
        <v>0</v>
      </c>
      <c r="M1945">
        <v>0</v>
      </c>
      <c r="N1945">
        <v>1</v>
      </c>
      <c r="O1945">
        <v>0</v>
      </c>
      <c r="P1945">
        <v>1</v>
      </c>
    </row>
    <row r="1946" spans="1:16" x14ac:dyDescent="0.25">
      <c r="A1946">
        <v>21400282</v>
      </c>
      <c r="B1946">
        <v>2014</v>
      </c>
      <c r="C1946" t="s">
        <v>32</v>
      </c>
      <c r="D1946" t="s">
        <v>62</v>
      </c>
      <c r="E1946">
        <v>2</v>
      </c>
      <c r="F1946">
        <v>10</v>
      </c>
      <c r="G1946">
        <v>1</v>
      </c>
      <c r="H1946" s="1">
        <v>5.6828703703703702E-3</v>
      </c>
      <c r="I1946" t="s">
        <v>18</v>
      </c>
      <c r="J1946" s="2" t="str">
        <f>HYPERLINK("https://www.nba.com/stats/events?CFID=&amp;CFPARAMS=&amp;GameEventID=31&amp;GameID=0021400282&amp;Season=2014-15&amp;flag=1&amp;title=Leonard%20%20Dunk%20(5%20PTS)", "Leonard  Dunk (5 PTS)")</f>
        <v>Leonard  Dunk (5 PTS)</v>
      </c>
      <c r="K1946" s="2" t="str">
        <f>HYPERLINK("https://www.nba.com/game/...-vs-...-0021400282/play-by-play?watchFullGame=true", "SAS vs MEM - Q1 08:11.00")</f>
        <v>SAS vs MEM - Q1 08:11.00</v>
      </c>
      <c r="L1946">
        <v>0</v>
      </c>
      <c r="M1946">
        <v>0</v>
      </c>
      <c r="N1946">
        <v>1</v>
      </c>
      <c r="O1946">
        <v>0</v>
      </c>
      <c r="P1946">
        <v>1</v>
      </c>
    </row>
    <row r="1947" spans="1:16" x14ac:dyDescent="0.25">
      <c r="A1947">
        <v>21400906</v>
      </c>
      <c r="B1947">
        <v>2014</v>
      </c>
      <c r="C1947" t="s">
        <v>32</v>
      </c>
      <c r="D1947" t="s">
        <v>62</v>
      </c>
      <c r="E1947">
        <v>39</v>
      </c>
      <c r="F1947">
        <v>33</v>
      </c>
      <c r="G1947">
        <v>2</v>
      </c>
      <c r="H1947" s="1">
        <v>4.2708333333333331E-3</v>
      </c>
      <c r="I1947" t="s">
        <v>18</v>
      </c>
      <c r="J1947" s="2" t="str">
        <f>HYPERLINK("https://www.nba.com/stats/events?CFID=&amp;CFPARAMS=&amp;GameEventID=193&amp;GameID=0021400906&amp;Season=2014-15&amp;flag=1&amp;title=Leonard%20%20Dunk%20(14%20PTS)", "Leonard  Dunk (14 PTS)")</f>
        <v>Leonard  Dunk (14 PTS)</v>
      </c>
      <c r="K1947" s="2" t="str">
        <f>HYPERLINK("https://www.nba.com/game/...-vs-...-0021400906/play-by-play?watchFullGame=true", "SAS vs SAC - Q2 06:09.00")</f>
        <v>SAS vs SAC - Q2 06:09.00</v>
      </c>
      <c r="L1947">
        <v>0</v>
      </c>
      <c r="M1947">
        <v>0</v>
      </c>
      <c r="N1947">
        <v>1</v>
      </c>
      <c r="O1947">
        <v>0</v>
      </c>
      <c r="P1947">
        <v>1</v>
      </c>
    </row>
    <row r="1948" spans="1:16" x14ac:dyDescent="0.25">
      <c r="A1948">
        <v>21400931</v>
      </c>
      <c r="B1948">
        <v>2014</v>
      </c>
      <c r="C1948" t="s">
        <v>32</v>
      </c>
      <c r="D1948" t="s">
        <v>62</v>
      </c>
      <c r="E1948">
        <v>108</v>
      </c>
      <c r="F1948">
        <v>92</v>
      </c>
      <c r="G1948">
        <v>4</v>
      </c>
      <c r="H1948" s="1">
        <v>2.4652777777777776E-3</v>
      </c>
      <c r="I1948" t="s">
        <v>18</v>
      </c>
      <c r="J1948" s="2" t="str">
        <f>HYPERLINK("https://www.nba.com/stats/events?CFID=&amp;CFPARAMS=&amp;GameEventID=481&amp;GameID=0021400931&amp;Season=2014-15&amp;flag=1&amp;title=Leonard%20%20Dunk%20(20%20PTS)", "Leonard  Dunk (20 PTS)")</f>
        <v>Leonard  Dunk (20 PTS)</v>
      </c>
      <c r="K1948" s="2" t="str">
        <f>HYPERLINK("https://www.nba.com/game/...-vs-...-0021400931/play-by-play?watchFullGame=true", "SAS vs CHI - Q4 03:33.00")</f>
        <v>SAS vs CHI - Q4 03:33.00</v>
      </c>
      <c r="L1948">
        <v>0</v>
      </c>
      <c r="M1948">
        <v>0</v>
      </c>
      <c r="N1948">
        <v>1</v>
      </c>
      <c r="O1948">
        <v>0</v>
      </c>
      <c r="P1948">
        <v>1</v>
      </c>
    </row>
    <row r="1949" spans="1:16" x14ac:dyDescent="0.25">
      <c r="A1949">
        <v>21500048</v>
      </c>
      <c r="B1949">
        <v>2015</v>
      </c>
      <c r="C1949" t="s">
        <v>32</v>
      </c>
      <c r="D1949" t="s">
        <v>60</v>
      </c>
      <c r="E1949">
        <v>29</v>
      </c>
      <c r="F1949">
        <v>38</v>
      </c>
      <c r="G1949">
        <v>2</v>
      </c>
      <c r="H1949" s="1">
        <v>3.8888888888888888E-3</v>
      </c>
      <c r="I1949" t="s">
        <v>18</v>
      </c>
      <c r="J1949" s="2" t="str">
        <f>HYPERLINK("https://www.nba.com/stats/events?CFID=&amp;CFPARAMS=&amp;GameEventID=183&amp;GameID=0021500048&amp;Season=2015-16&amp;flag=1&amp;title=Leonard%20%20Alley%20Oop%20Dunk%20(12%20PTS)%20(Duncan%203%20AST)", "Leonard  Alley Oop Dunk (12 PTS) (Duncan 3 AST)")</f>
        <v>Leonard  Alley Oop Dunk (12 PTS) (Duncan 3 AST)</v>
      </c>
      <c r="K1949" s="2" t="str">
        <f>HYPERLINK("https://www.nba.com/game/...-vs-...-0021500048/play-by-play?watchFullGame=true", "SAS vs NYK - Q2 05:36.00")</f>
        <v>SAS vs NYK - Q2 05:36.00</v>
      </c>
      <c r="L1949">
        <v>0</v>
      </c>
      <c r="M1949">
        <v>0</v>
      </c>
      <c r="N1949">
        <v>1</v>
      </c>
      <c r="O1949">
        <v>0</v>
      </c>
      <c r="P1949">
        <v>1</v>
      </c>
    </row>
    <row r="1950" spans="1:16" x14ac:dyDescent="0.25">
      <c r="A1950">
        <v>21600225</v>
      </c>
      <c r="B1950">
        <v>2016</v>
      </c>
      <c r="C1950" t="s">
        <v>32</v>
      </c>
      <c r="D1950" t="s">
        <v>68</v>
      </c>
      <c r="E1950">
        <v>53</v>
      </c>
      <c r="F1950">
        <v>59</v>
      </c>
      <c r="G1950">
        <v>3</v>
      </c>
      <c r="H1950" s="1">
        <v>5.1504629629629626E-3</v>
      </c>
      <c r="I1950" t="s">
        <v>18</v>
      </c>
      <c r="J1950" s="2" t="str">
        <f>HYPERLINK("https://www.nba.com/stats/events?CFID=&amp;CFPARAMS=&amp;GameEventID=282&amp;GameID=0021600225&amp;Season=2016-17&amp;flag=1&amp;title=Leonard%20%20Cutting%20Dunk%20Shot%20(14%20PTS)%20(Aldridge%203%20AST)", "Leonard  Cutting Dunk Shot (14 PTS) (Aldridge 3 AST)")</f>
        <v>Leonard  Cutting Dunk Shot (14 PTS) (Aldridge 3 AST)</v>
      </c>
      <c r="K1950" s="2" t="str">
        <f>HYPERLINK("https://www.nba.com/game/...-vs-...-0021600225/play-by-play?watchFullGame=true", "SAS vs BOS - Q3 07:25.00")</f>
        <v>SAS vs BOS - Q3 07:25.00</v>
      </c>
      <c r="L1950">
        <v>0</v>
      </c>
      <c r="M1950">
        <v>0</v>
      </c>
      <c r="N1950">
        <v>1</v>
      </c>
      <c r="O1950">
        <v>0</v>
      </c>
      <c r="P1950">
        <v>1</v>
      </c>
    </row>
    <row r="1951" spans="1:16" x14ac:dyDescent="0.25">
      <c r="A1951">
        <v>21600353</v>
      </c>
      <c r="B1951">
        <v>2016</v>
      </c>
      <c r="C1951" t="s">
        <v>32</v>
      </c>
      <c r="D1951" t="s">
        <v>63</v>
      </c>
      <c r="E1951">
        <v>58</v>
      </c>
      <c r="F1951">
        <v>38</v>
      </c>
      <c r="G1951">
        <v>2</v>
      </c>
      <c r="H1951" s="1">
        <v>4.5138888888888885E-3</v>
      </c>
      <c r="I1951" t="s">
        <v>18</v>
      </c>
      <c r="J1951" s="2" t="str">
        <f>HYPERLINK("https://www.nba.com/stats/events?CFID=&amp;CFPARAMS=&amp;GameEventID=161&amp;GameID=0021600353&amp;Season=2016-17&amp;flag=1&amp;title=Leonard%20%20Running%20Dunk%20(14%20PTS)%20(Green%201%20AST)", "Leonard  Running Dunk (14 PTS) (Green 1 AST)")</f>
        <v>Leonard  Running Dunk (14 PTS) (Green 1 AST)</v>
      </c>
      <c r="K1951" s="2" t="str">
        <f>HYPERLINK("https://www.nba.com/game/...-vs-...-0021600353/play-by-play?watchFullGame=true", "SAS vs BKN - Q2 06:30.00")</f>
        <v>SAS vs BKN - Q2 06:30.00</v>
      </c>
      <c r="L1951">
        <v>0</v>
      </c>
      <c r="M1951">
        <v>0</v>
      </c>
      <c r="N1951">
        <v>1</v>
      </c>
      <c r="O1951">
        <v>0</v>
      </c>
      <c r="P1951">
        <v>1</v>
      </c>
    </row>
    <row r="1952" spans="1:16" x14ac:dyDescent="0.25">
      <c r="A1952">
        <v>21600625</v>
      </c>
      <c r="B1952">
        <v>2016</v>
      </c>
      <c r="C1952" t="s">
        <v>32</v>
      </c>
      <c r="D1952" t="s">
        <v>63</v>
      </c>
      <c r="E1952">
        <v>103</v>
      </c>
      <c r="F1952">
        <v>92</v>
      </c>
      <c r="G1952">
        <v>4</v>
      </c>
      <c r="H1952" s="1">
        <v>5.2777777777777779E-3</v>
      </c>
      <c r="I1952" t="s">
        <v>18</v>
      </c>
      <c r="J1952" s="2" t="str">
        <f>HYPERLINK("https://www.nba.com/stats/events?CFID=&amp;CFPARAMS=&amp;GameEventID=482&amp;GameID=0021600625&amp;Season=2016-17&amp;flag=1&amp;title=Leonard%20%20Running%20Dunk%20(27%20PTS)", "Leonard  Running Dunk (27 PTS)")</f>
        <v>Leonard  Running Dunk (27 PTS)</v>
      </c>
      <c r="K1952" s="2" t="str">
        <f>HYPERLINK("https://www.nba.com/game/...-vs-...-0021600625/play-by-play?watchFullGame=true", "SAS vs MIN - Q4 07:36.00")</f>
        <v>SAS vs MIN - Q4 07:36.00</v>
      </c>
      <c r="L1952">
        <v>0</v>
      </c>
      <c r="M1952">
        <v>0</v>
      </c>
      <c r="N1952">
        <v>1</v>
      </c>
      <c r="O1952">
        <v>0</v>
      </c>
      <c r="P1952">
        <v>1</v>
      </c>
    </row>
    <row r="1953" spans="1:16" x14ac:dyDescent="0.25">
      <c r="A1953">
        <v>41400164</v>
      </c>
      <c r="B1953" t="s">
        <v>28</v>
      </c>
      <c r="C1953" t="s">
        <v>32</v>
      </c>
      <c r="D1953" t="s">
        <v>60</v>
      </c>
      <c r="E1953">
        <v>2</v>
      </c>
      <c r="F1953">
        <v>6</v>
      </c>
      <c r="G1953">
        <v>1</v>
      </c>
      <c r="H1953" s="1">
        <v>7.013888888888889E-3</v>
      </c>
      <c r="I1953" t="s">
        <v>18</v>
      </c>
      <c r="J1953" s="2" t="str">
        <f>HYPERLINK("https://www.nba.com/stats/events?CFID=&amp;CFPARAMS=&amp;GameEventID=18&amp;GameID=0041400164&amp;Season=2014-15&amp;flag=1&amp;title=Leonard%20%20Alley%20Oop%20Dunk%20(2%20PTS)%20(Duncan%201%20AST)", "Leonard  Alley Oop Dunk (2 PTS) (Duncan 1 AST)")</f>
        <v>Leonard  Alley Oop Dunk (2 PTS) (Duncan 1 AST)</v>
      </c>
      <c r="K1953" s="2" t="str">
        <f>HYPERLINK("https://www.nba.com/game/...-vs-...-0041400164/play-by-play?watchFullGame=true", "SAS vs LAC - Q1 10:06.00")</f>
        <v>SAS vs LAC - Q1 10:06.00</v>
      </c>
      <c r="L1953">
        <v>0</v>
      </c>
      <c r="M1953">
        <v>0</v>
      </c>
      <c r="N1953">
        <v>1</v>
      </c>
      <c r="O1953">
        <v>0</v>
      </c>
      <c r="P1953">
        <v>1</v>
      </c>
    </row>
    <row r="1954" spans="1:16" x14ac:dyDescent="0.25">
      <c r="A1954">
        <v>41500233</v>
      </c>
      <c r="B1954" t="s">
        <v>25</v>
      </c>
      <c r="C1954" t="s">
        <v>32</v>
      </c>
      <c r="D1954" t="s">
        <v>68</v>
      </c>
      <c r="E1954">
        <v>20</v>
      </c>
      <c r="F1954">
        <v>25</v>
      </c>
      <c r="G1954">
        <v>1</v>
      </c>
      <c r="H1954" s="1">
        <v>1.3541666666666667E-3</v>
      </c>
      <c r="I1954" t="s">
        <v>18</v>
      </c>
      <c r="J1954" s="2" t="str">
        <f>HYPERLINK("https://www.nba.com/stats/events?CFID=&amp;CFPARAMS=&amp;GameEventID=96&amp;GameID=0041500233&amp;Season=2015-16&amp;flag=1&amp;title=Leonard%20%20Cutting%20Dunk%20Shot%20(11%20PTS)%20(West%201%20AST)", "Leonard  Cutting Dunk Shot (11 PTS) (West 1 AST)")</f>
        <v>Leonard  Cutting Dunk Shot (11 PTS) (West 1 AST)</v>
      </c>
      <c r="K1954" s="2" t="str">
        <f>HYPERLINK("https://www.nba.com/game/...-vs-...-0041500233/play-by-play?watchFullGame=true", "SAS vs OKC - Q1 01:57.00")</f>
        <v>SAS vs OKC - Q1 01:57.00</v>
      </c>
      <c r="L1954">
        <v>0</v>
      </c>
      <c r="M1954">
        <v>0</v>
      </c>
      <c r="N1954">
        <v>1</v>
      </c>
      <c r="O1954">
        <v>0</v>
      </c>
      <c r="P1954">
        <v>1</v>
      </c>
    </row>
    <row r="1955" spans="1:16" x14ac:dyDescent="0.25">
      <c r="A1955">
        <v>41600152</v>
      </c>
      <c r="B1955" t="s">
        <v>30</v>
      </c>
      <c r="C1955" t="s">
        <v>32</v>
      </c>
      <c r="D1955" t="s">
        <v>67</v>
      </c>
      <c r="E1955">
        <v>96</v>
      </c>
      <c r="F1955">
        <v>82</v>
      </c>
      <c r="G1955">
        <v>4</v>
      </c>
      <c r="H1955" s="1">
        <v>5.8333333333333327E-4</v>
      </c>
      <c r="I1955" t="s">
        <v>18</v>
      </c>
      <c r="J1955" s="2" t="str">
        <f>HYPERLINK("https://www.nba.com/stats/events?CFID=&amp;CFPARAMS=&amp;GameEventID=484&amp;GameID=0041600152&amp;Season=2016-17&amp;flag=1&amp;title=Leonard%20%20Driving%20Dunk%20(37%20PTS)", "Leonard  Driving Dunk (37 PTS)")</f>
        <v>Leonard  Driving Dunk (37 PTS)</v>
      </c>
      <c r="K1955" s="2" t="str">
        <f>HYPERLINK("https://www.nba.com/game/...-vs-...-0041600152/play-by-play?watchFullGame=true", "SAS vs MEM - Q4 00:50.40")</f>
        <v>SAS vs MEM - Q4 00:50.40</v>
      </c>
      <c r="L1955">
        <v>0</v>
      </c>
      <c r="M1955">
        <v>0</v>
      </c>
      <c r="N1955">
        <v>1</v>
      </c>
      <c r="O1955">
        <v>0</v>
      </c>
      <c r="P1955">
        <v>1</v>
      </c>
    </row>
    <row r="1956" spans="1:16" x14ac:dyDescent="0.25">
      <c r="A1956">
        <v>21400949</v>
      </c>
      <c r="B1956">
        <v>2014</v>
      </c>
      <c r="C1956" t="s">
        <v>32</v>
      </c>
      <c r="D1956" t="s">
        <v>60</v>
      </c>
      <c r="E1956">
        <v>73</v>
      </c>
      <c r="F1956">
        <v>47</v>
      </c>
      <c r="G1956">
        <v>3</v>
      </c>
      <c r="H1956" s="1">
        <v>4.9537037037037041E-3</v>
      </c>
      <c r="I1956" t="s">
        <v>18</v>
      </c>
      <c r="J1956" s="2" t="str">
        <f>HYPERLINK("https://www.nba.com/stats/events?CFID=&amp;CFPARAMS=&amp;GameEventID=292&amp;GameID=0021400949&amp;Season=2014-15&amp;flag=1&amp;title=Leonard%20Alley%20Oop%20Dunk%20(16%20PTS)%20(Duncan%201%20AST)", "Leonard Alley Oop Dunk (16 PTS) (Duncan 1 AST)")</f>
        <v>Leonard Alley Oop Dunk (16 PTS) (Duncan 1 AST)</v>
      </c>
      <c r="K1956" s="2" t="str">
        <f>HYPERLINK("https://www.nba.com/game/...-vs-...-0021400949/play-by-play?watchFullGame=true", "SAS vs TOR - Q3 07:08.00")</f>
        <v>SAS vs TOR - Q3 07:08.00</v>
      </c>
      <c r="L1956">
        <v>0</v>
      </c>
      <c r="M1956">
        <v>0</v>
      </c>
      <c r="N1956">
        <v>1</v>
      </c>
      <c r="O1956">
        <v>0</v>
      </c>
      <c r="P1956">
        <v>1</v>
      </c>
    </row>
    <row r="1957" spans="1:16" x14ac:dyDescent="0.25">
      <c r="A1957">
        <v>21401150</v>
      </c>
      <c r="B1957">
        <v>2014</v>
      </c>
      <c r="C1957" t="s">
        <v>32</v>
      </c>
      <c r="D1957" t="s">
        <v>62</v>
      </c>
      <c r="E1957">
        <v>8</v>
      </c>
      <c r="F1957">
        <v>1</v>
      </c>
      <c r="G1957">
        <v>1</v>
      </c>
      <c r="H1957" s="1">
        <v>6.4236111111111108E-3</v>
      </c>
      <c r="I1957" t="s">
        <v>18</v>
      </c>
      <c r="J1957" s="2" t="str">
        <f>HYPERLINK("https://www.nba.com/stats/events?CFID=&amp;CFPARAMS=&amp;GameEventID=23&amp;GameID=0021401150&amp;Season=2014-15&amp;flag=1&amp;title=Leonard%20%20Dunk%20(6%20PTS)%20(Green%201%20AST)", "Leonard  Dunk (6 PTS) (Green 1 AST)")</f>
        <v>Leonard  Dunk (6 PTS) (Green 1 AST)</v>
      </c>
      <c r="K1957" s="2" t="str">
        <f>HYPERLINK("https://www.nba.com/game/...-vs-...-0021401150/play-by-play?watchFullGame=true", "SAS vs GSW - Q1 09:15.00")</f>
        <v>SAS vs GSW - Q1 09:15.00</v>
      </c>
      <c r="L1957">
        <v>0</v>
      </c>
      <c r="M1957">
        <v>0</v>
      </c>
      <c r="N1957">
        <v>1</v>
      </c>
      <c r="O1957">
        <v>0</v>
      </c>
      <c r="P1957">
        <v>1</v>
      </c>
    </row>
    <row r="1958" spans="1:16" x14ac:dyDescent="0.25">
      <c r="A1958">
        <v>21500364</v>
      </c>
      <c r="B1958">
        <v>2015</v>
      </c>
      <c r="C1958" t="s">
        <v>32</v>
      </c>
      <c r="D1958" t="s">
        <v>63</v>
      </c>
      <c r="E1958">
        <v>45</v>
      </c>
      <c r="F1958">
        <v>22</v>
      </c>
      <c r="G1958">
        <v>2</v>
      </c>
      <c r="H1958" s="1">
        <v>4.1319444444444442E-3</v>
      </c>
      <c r="I1958" t="s">
        <v>18</v>
      </c>
      <c r="J1958" s="2" t="str">
        <f>HYPERLINK("https://www.nba.com/stats/events?CFID=&amp;CFPARAMS=&amp;GameEventID=186&amp;GameID=0021500364&amp;Season=2015-16&amp;flag=1&amp;title=Leonard%20%20Running%20Dunk%20(4%20PTS)%20(Green%202%20AST)", "Leonard  Running Dunk (4 PTS) (Green 2 AST)")</f>
        <v>Leonard  Running Dunk (4 PTS) (Green 2 AST)</v>
      </c>
      <c r="K1958" s="2" t="str">
        <f>HYPERLINK("https://www.nba.com/game/...-vs-...-0021500364/play-by-play?watchFullGame=true", "SAS vs UTA - Q2 05:57.00")</f>
        <v>SAS vs UTA - Q2 05:57.00</v>
      </c>
      <c r="L1958">
        <v>0</v>
      </c>
      <c r="M1958">
        <v>0</v>
      </c>
      <c r="N1958">
        <v>1</v>
      </c>
      <c r="O1958">
        <v>0</v>
      </c>
      <c r="P1958">
        <v>1</v>
      </c>
    </row>
    <row r="1959" spans="1:16" x14ac:dyDescent="0.25">
      <c r="A1959">
        <v>21500726</v>
      </c>
      <c r="B1959">
        <v>2015</v>
      </c>
      <c r="C1959" t="s">
        <v>32</v>
      </c>
      <c r="D1959" t="s">
        <v>67</v>
      </c>
      <c r="E1959">
        <v>46</v>
      </c>
      <c r="F1959">
        <v>36</v>
      </c>
      <c r="G1959">
        <v>2</v>
      </c>
      <c r="H1959" s="1">
        <v>2.8472222222222223E-3</v>
      </c>
      <c r="I1959" t="s">
        <v>18</v>
      </c>
      <c r="J1959" s="2" t="str">
        <f>HYPERLINK("https://www.nba.com/stats/events?CFID=&amp;CFPARAMS=&amp;GameEventID=204&amp;GameID=0021500726&amp;Season=2015-16&amp;flag=1&amp;title=Leonard%20%20Driving%20Dunk%20(8%20PTS)%20(Parker%203%20AST)", "Leonard  Driving Dunk (8 PTS) (Parker 3 AST)")</f>
        <v>Leonard  Driving Dunk (8 PTS) (Parker 3 AST)</v>
      </c>
      <c r="K1959" s="2" t="str">
        <f>HYPERLINK("https://www.nba.com/game/...-vs-...-0021500726/play-by-play?watchFullGame=true", "SAS vs ORL - Q2 04:06.00")</f>
        <v>SAS vs ORL - Q2 04:06.00</v>
      </c>
      <c r="L1959">
        <v>0</v>
      </c>
      <c r="M1959">
        <v>0</v>
      </c>
      <c r="N1959">
        <v>1</v>
      </c>
      <c r="O1959">
        <v>0</v>
      </c>
      <c r="P1959">
        <v>1</v>
      </c>
    </row>
    <row r="1960" spans="1:16" x14ac:dyDescent="0.25">
      <c r="A1960">
        <v>21600003</v>
      </c>
      <c r="B1960">
        <v>2016</v>
      </c>
      <c r="C1960" t="s">
        <v>32</v>
      </c>
      <c r="D1960" t="s">
        <v>63</v>
      </c>
      <c r="E1960">
        <v>75</v>
      </c>
      <c r="F1960">
        <v>95</v>
      </c>
      <c r="G1960">
        <v>3</v>
      </c>
      <c r="H1960" s="1">
        <v>3.4606481481481478E-4</v>
      </c>
      <c r="I1960" t="s">
        <v>18</v>
      </c>
      <c r="J1960" s="2" t="str">
        <f>HYPERLINK("https://www.nba.com/stats/events?CFID=&amp;CFPARAMS=&amp;GameEventID=395&amp;GameID=0021600003&amp;Season=2016-17&amp;flag=1&amp;title=Leonard%20%20Running%20Dunk%20(29%20PTS)", "Leonard  Running Dunk (29 PTS)")</f>
        <v>Leonard  Running Dunk (29 PTS)</v>
      </c>
      <c r="K1960" s="2" t="str">
        <f>HYPERLINK("https://www.nba.com/game/...-vs-...-0021600003/play-by-play?watchFullGame=true", "SAS vs GSW - Q3 00:29.90")</f>
        <v>SAS vs GSW - Q3 00:29.90</v>
      </c>
      <c r="L1960">
        <v>0</v>
      </c>
      <c r="M1960">
        <v>0</v>
      </c>
      <c r="N1960">
        <v>1</v>
      </c>
      <c r="O1960">
        <v>0</v>
      </c>
      <c r="P1960">
        <v>1</v>
      </c>
    </row>
    <row r="1961" spans="1:16" x14ac:dyDescent="0.25">
      <c r="A1961">
        <v>21600336</v>
      </c>
      <c r="B1961">
        <v>2016</v>
      </c>
      <c r="C1961" t="s">
        <v>32</v>
      </c>
      <c r="D1961" t="s">
        <v>64</v>
      </c>
      <c r="E1961">
        <v>93</v>
      </c>
      <c r="F1961">
        <v>88</v>
      </c>
      <c r="G1961">
        <v>4</v>
      </c>
      <c r="H1961" s="1">
        <v>1.3425925925925925E-3</v>
      </c>
      <c r="I1961" t="s">
        <v>18</v>
      </c>
      <c r="J1961" s="2" t="str">
        <f>HYPERLINK("https://www.nba.com/stats/events?CFID=&amp;CFPARAMS=&amp;GameEventID=517&amp;GameID=0021600336&amp;Season=2016-17&amp;flag=1&amp;title=Leonard%20%20Putback%20Dunk%20(24%20PTS)", "Leonard  Putback Dunk (24 PTS)")</f>
        <v>Leonard  Putback Dunk (24 PTS)</v>
      </c>
      <c r="K1961" s="2" t="str">
        <f>HYPERLINK("https://www.nba.com/game/...-vs-...-0021600336/play-by-play?watchFullGame=true", "SAS vs CHI - Q4 01:56.00")</f>
        <v>SAS vs CHI - Q4 01:56.00</v>
      </c>
      <c r="L1961">
        <v>0</v>
      </c>
      <c r="M1961">
        <v>0</v>
      </c>
      <c r="N1961">
        <v>1</v>
      </c>
      <c r="O1961">
        <v>0</v>
      </c>
      <c r="P1961">
        <v>1</v>
      </c>
    </row>
    <row r="1962" spans="1:16" x14ac:dyDescent="0.25">
      <c r="A1962">
        <v>21600412</v>
      </c>
      <c r="B1962">
        <v>2016</v>
      </c>
      <c r="C1962" t="s">
        <v>32</v>
      </c>
      <c r="D1962" t="s">
        <v>60</v>
      </c>
      <c r="E1962">
        <v>72</v>
      </c>
      <c r="F1962">
        <v>60</v>
      </c>
      <c r="G1962">
        <v>3</v>
      </c>
      <c r="H1962" s="1">
        <v>4.8263888888888887E-3</v>
      </c>
      <c r="I1962" t="s">
        <v>18</v>
      </c>
      <c r="J1962" s="2" t="str">
        <f>HYPERLINK("https://www.nba.com/stats/events?CFID=&amp;CFPARAMS=&amp;GameEventID=304&amp;GameID=0021600412&amp;Season=2016-17&amp;flag=1&amp;title=Leonard%20%20Alley%20Oop%20Dunk%20(13%20PTS)%20(Gasol%204%20AST)", "Leonard  Alley Oop Dunk (13 PTS) (Gasol 4 AST)")</f>
        <v>Leonard  Alley Oop Dunk (13 PTS) (Gasol 4 AST)</v>
      </c>
      <c r="K1962" s="2" t="str">
        <f>HYPERLINK("https://www.nba.com/game/...-vs-...-0021600412/play-by-play?watchFullGame=true", "SAS vs NOP - Q3 06:57.00")</f>
        <v>SAS vs NOP - Q3 06:57.00</v>
      </c>
      <c r="L1962">
        <v>0</v>
      </c>
      <c r="M1962">
        <v>0</v>
      </c>
      <c r="N1962">
        <v>1</v>
      </c>
      <c r="O1962">
        <v>0</v>
      </c>
      <c r="P1962">
        <v>1</v>
      </c>
    </row>
    <row r="1963" spans="1:16" x14ac:dyDescent="0.25">
      <c r="A1963">
        <v>21600762</v>
      </c>
      <c r="B1963">
        <v>2016</v>
      </c>
      <c r="C1963" t="s">
        <v>32</v>
      </c>
      <c r="D1963" t="s">
        <v>57</v>
      </c>
      <c r="E1963">
        <v>60</v>
      </c>
      <c r="F1963">
        <v>50</v>
      </c>
      <c r="G1963">
        <v>3</v>
      </c>
      <c r="H1963" s="1">
        <v>7.6504629629629631E-3</v>
      </c>
      <c r="I1963" t="s">
        <v>18</v>
      </c>
      <c r="J1963" s="2" t="str">
        <f>HYPERLINK("https://www.nba.com/stats/events?CFID=&amp;CFPARAMS=&amp;GameEventID=273&amp;GameID=0021600762&amp;Season=2016-17&amp;flag=1&amp;title=Leonard%20%20Layup%20(11%20PTS)%20(Green%201%20AST)", "Leonard  Layup (11 PTS) (Green 1 AST)")</f>
        <v>Leonard  Layup (11 PTS) (Green 1 AST)</v>
      </c>
      <c r="K1963" s="2" t="str">
        <f>HYPERLINK("https://www.nba.com/game/...-vs-...-0021600762/play-by-play?watchFullGame=true", "SAS vs DEN - Q3 11:01.00")</f>
        <v>SAS vs DEN - Q3 11:01.00</v>
      </c>
      <c r="L1963">
        <v>0</v>
      </c>
      <c r="M1963">
        <v>0</v>
      </c>
      <c r="N1963">
        <v>1</v>
      </c>
      <c r="O1963">
        <v>0</v>
      </c>
      <c r="P1963">
        <v>1</v>
      </c>
    </row>
    <row r="1964" spans="1:16" x14ac:dyDescent="0.25">
      <c r="A1964">
        <v>41500151</v>
      </c>
      <c r="B1964" t="s">
        <v>25</v>
      </c>
      <c r="C1964" t="s">
        <v>32</v>
      </c>
      <c r="D1964" t="s">
        <v>68</v>
      </c>
      <c r="E1964">
        <v>30</v>
      </c>
      <c r="F1964">
        <v>22</v>
      </c>
      <c r="G1964">
        <v>2</v>
      </c>
      <c r="H1964" s="1">
        <v>5.4861111111111109E-3</v>
      </c>
      <c r="I1964" t="s">
        <v>18</v>
      </c>
      <c r="J1964" s="2" t="str">
        <f>HYPERLINK("https://www.nba.com/stats/events?CFID=&amp;CFPARAMS=&amp;GameEventID=159&amp;GameID=0041500151&amp;Season=2015-16&amp;flag=1&amp;title=Leonard%20%20Cutting%20Dunk%20Shot%20(9%20PTS)%20(Mills%201%20AST)", "Leonard  Cutting Dunk Shot (9 PTS) (Mills 1 AST)")</f>
        <v>Leonard  Cutting Dunk Shot (9 PTS) (Mills 1 AST)</v>
      </c>
      <c r="K1964" s="2" t="str">
        <f>HYPERLINK("https://www.nba.com/game/...-vs-...-0041500151/play-by-play?watchFullGame=true", "SAS vs MEM - Q2 07:54.00")</f>
        <v>SAS vs MEM - Q2 07:54.00</v>
      </c>
      <c r="L1964">
        <v>0</v>
      </c>
      <c r="M1964">
        <v>0</v>
      </c>
      <c r="N1964">
        <v>1</v>
      </c>
      <c r="O1964">
        <v>0</v>
      </c>
      <c r="P1964">
        <v>1</v>
      </c>
    </row>
    <row r="1965" spans="1:16" x14ac:dyDescent="0.25">
      <c r="A1965">
        <v>41500234</v>
      </c>
      <c r="B1965" t="s">
        <v>25</v>
      </c>
      <c r="C1965" t="s">
        <v>32</v>
      </c>
      <c r="D1965" t="s">
        <v>67</v>
      </c>
      <c r="E1965">
        <v>45</v>
      </c>
      <c r="F1965">
        <v>46</v>
      </c>
      <c r="G1965">
        <v>2</v>
      </c>
      <c r="H1965" s="1">
        <v>1.0763888888888889E-3</v>
      </c>
      <c r="I1965" t="s">
        <v>18</v>
      </c>
      <c r="J1965" s="2" t="str">
        <f>HYPERLINK("https://www.nba.com/stats/events?CFID=&amp;CFPARAMS=&amp;GameEventID=249&amp;GameID=0041500234&amp;Season=2015-16&amp;flag=1&amp;title=Leonard%20%20Driving%20Dunk%20(12%20PTS)", "Leonard  Driving Dunk (12 PTS)")</f>
        <v>Leonard  Driving Dunk (12 PTS)</v>
      </c>
      <c r="K1965" s="2" t="str">
        <f>HYPERLINK("https://www.nba.com/game/...-vs-...-0041500234/play-by-play?watchFullGame=true", "SAS vs OKC - Q2 01:33.00")</f>
        <v>SAS vs OKC - Q2 01:33.00</v>
      </c>
      <c r="L1965">
        <v>0</v>
      </c>
      <c r="M1965">
        <v>0</v>
      </c>
      <c r="N1965">
        <v>1</v>
      </c>
      <c r="O1965">
        <v>0</v>
      </c>
      <c r="P1965">
        <v>1</v>
      </c>
    </row>
    <row r="1966" spans="1:16" x14ac:dyDescent="0.25">
      <c r="A1966">
        <v>21400906</v>
      </c>
      <c r="B1966">
        <v>2014</v>
      </c>
      <c r="C1966" t="s">
        <v>32</v>
      </c>
      <c r="D1966" t="s">
        <v>67</v>
      </c>
      <c r="E1966">
        <v>76</v>
      </c>
      <c r="F1966">
        <v>53</v>
      </c>
      <c r="G1966">
        <v>3</v>
      </c>
      <c r="H1966" s="1">
        <v>2.8356481481481483E-3</v>
      </c>
      <c r="I1966" t="s">
        <v>18</v>
      </c>
      <c r="J1966" s="2" t="str">
        <f>HYPERLINK("https://www.nba.com/stats/events?CFID=&amp;CFPARAMS=&amp;GameEventID=370&amp;GameID=0021400906&amp;Season=2014-15&amp;flag=1&amp;title=Leonard%20%20Driving%20Dunk%20(21%20PTS)", "Leonard  Driving Dunk (21 PTS)")</f>
        <v>Leonard  Driving Dunk (21 PTS)</v>
      </c>
      <c r="K1966" s="2" t="str">
        <f>HYPERLINK("https://www.nba.com/game/...-vs-...-0021400906/play-by-play?watchFullGame=true", "SAS vs SAC - Q3 04:05.00")</f>
        <v>SAS vs SAC - Q3 04:05.00</v>
      </c>
      <c r="L1966">
        <v>0</v>
      </c>
      <c r="M1966">
        <v>0</v>
      </c>
      <c r="N1966">
        <v>1</v>
      </c>
      <c r="O1966">
        <v>0</v>
      </c>
      <c r="P1966">
        <v>1</v>
      </c>
    </row>
    <row r="1967" spans="1:16" x14ac:dyDescent="0.25">
      <c r="A1967">
        <v>21401110</v>
      </c>
      <c r="B1967">
        <v>2014</v>
      </c>
      <c r="C1967" t="s">
        <v>32</v>
      </c>
      <c r="D1967" t="s">
        <v>62</v>
      </c>
      <c r="E1967">
        <v>62</v>
      </c>
      <c r="F1967">
        <v>79</v>
      </c>
      <c r="G1967">
        <v>4</v>
      </c>
      <c r="H1967" s="1">
        <v>5.8564814814814816E-3</v>
      </c>
      <c r="I1967" t="s">
        <v>18</v>
      </c>
      <c r="J1967" s="2" t="str">
        <f>HYPERLINK("https://www.nba.com/stats/events?CFID=&amp;CFPARAMS=&amp;GameEventID=392&amp;GameID=0021401110&amp;Season=2014-15&amp;flag=1&amp;title=Leonard%20Dunk%20(20%20PTS)%20(Joseph%203%20AST)", "Leonard Dunk (20 PTS) (Joseph 3 AST)")</f>
        <v>Leonard Dunk (20 PTS) (Joseph 3 AST)</v>
      </c>
      <c r="K1967" s="2" t="str">
        <f>HYPERLINK("https://www.nba.com/game/...-vs-...-0021401110/play-by-play?watchFullGame=true", "SAS vs MIA - Q4 08:26.00")</f>
        <v>SAS vs MIA - Q4 08:26.00</v>
      </c>
      <c r="L1967">
        <v>0</v>
      </c>
      <c r="M1967">
        <v>0</v>
      </c>
      <c r="N1967">
        <v>1</v>
      </c>
      <c r="O1967">
        <v>0</v>
      </c>
      <c r="P1967">
        <v>1</v>
      </c>
    </row>
    <row r="1968" spans="1:16" x14ac:dyDescent="0.25">
      <c r="A1968">
        <v>21500172</v>
      </c>
      <c r="B1968">
        <v>2015</v>
      </c>
      <c r="C1968" t="s">
        <v>32</v>
      </c>
      <c r="D1968" t="s">
        <v>62</v>
      </c>
      <c r="E1968">
        <v>89</v>
      </c>
      <c r="F1968">
        <v>77</v>
      </c>
      <c r="G1968">
        <v>3</v>
      </c>
      <c r="H1968" s="1">
        <v>1.0185185185185184E-3</v>
      </c>
      <c r="I1968" t="s">
        <v>18</v>
      </c>
      <c r="J1968" s="2" t="str">
        <f>HYPERLINK("https://www.nba.com/stats/events?CFID=&amp;CFPARAMS=&amp;GameEventID=370&amp;GameID=0021500172&amp;Season=2015-16&amp;flag=1&amp;title=Leonard%20%20Dunk%20(15%20PTS)%20(Diaw%201%20AST)", "Leonard  Dunk (15 PTS) (Diaw 1 AST)")</f>
        <v>Leonard  Dunk (15 PTS) (Diaw 1 AST)</v>
      </c>
      <c r="K1968" s="2" t="str">
        <f>HYPERLINK("https://www.nba.com/game/...-vs-...-0021500172/play-by-play?watchFullGame=true", "SAS vs DEN - Q3 01:28.00")</f>
        <v>SAS vs DEN - Q3 01:28.00</v>
      </c>
      <c r="L1968">
        <v>0</v>
      </c>
      <c r="M1968">
        <v>0</v>
      </c>
      <c r="N1968">
        <v>1</v>
      </c>
      <c r="O1968">
        <v>0</v>
      </c>
      <c r="P1968">
        <v>1</v>
      </c>
    </row>
    <row r="1969" spans="1:16" x14ac:dyDescent="0.25">
      <c r="A1969">
        <v>21500207</v>
      </c>
      <c r="B1969">
        <v>2015</v>
      </c>
      <c r="C1969" t="s">
        <v>32</v>
      </c>
      <c r="D1969" t="s">
        <v>62</v>
      </c>
      <c r="E1969">
        <v>51</v>
      </c>
      <c r="F1969">
        <v>41</v>
      </c>
      <c r="G1969">
        <v>3</v>
      </c>
      <c r="H1969" s="1">
        <v>5.3009259259259259E-3</v>
      </c>
      <c r="I1969" t="s">
        <v>18</v>
      </c>
      <c r="J1969" s="2" t="str">
        <f>HYPERLINK("https://www.nba.com/stats/events?CFID=&amp;CFPARAMS=&amp;GameEventID=280&amp;GameID=0021500207&amp;Season=2015-16&amp;flag=1&amp;title=Leonard%20%20Dunk%20(15%20PTS)%20(Parker%202%20AST)", "Leonard  Dunk (15 PTS) (Parker 2 AST)")</f>
        <v>Leonard  Dunk (15 PTS) (Parker 2 AST)</v>
      </c>
      <c r="K1969" s="2" t="str">
        <f>HYPERLINK("https://www.nba.com/game/...-vs-...-0021500207/play-by-play?watchFullGame=true", "SAS vs PHX - Q3 07:38.00")</f>
        <v>SAS vs PHX - Q3 07:38.00</v>
      </c>
      <c r="L1969">
        <v>0</v>
      </c>
      <c r="M1969">
        <v>0</v>
      </c>
      <c r="N1969">
        <v>1</v>
      </c>
      <c r="O1969">
        <v>0</v>
      </c>
      <c r="P1969">
        <v>1</v>
      </c>
    </row>
    <row r="1970" spans="1:16" x14ac:dyDescent="0.25">
      <c r="A1970">
        <v>21500532</v>
      </c>
      <c r="B1970">
        <v>2015</v>
      </c>
      <c r="C1970" t="s">
        <v>32</v>
      </c>
      <c r="D1970" t="s">
        <v>67</v>
      </c>
      <c r="E1970">
        <v>102</v>
      </c>
      <c r="F1970">
        <v>79</v>
      </c>
      <c r="G1970">
        <v>4</v>
      </c>
      <c r="H1970" s="1">
        <v>7.013888888888889E-3</v>
      </c>
      <c r="I1970" t="s">
        <v>18</v>
      </c>
      <c r="J1970" s="2" t="str">
        <f>HYPERLINK("https://www.nba.com/stats/events?CFID=&amp;CFPARAMS=&amp;GameEventID=366&amp;GameID=0021500532&amp;Season=2015-16&amp;flag=1&amp;title=Leonard%20%20Driving%20Dunk%20(15%20PTS)", "Leonard  Driving Dunk (15 PTS)")</f>
        <v>Leonard  Driving Dunk (15 PTS)</v>
      </c>
      <c r="K1970" s="2" t="str">
        <f>HYPERLINK("https://www.nba.com/game/...-vs-...-0021500532/play-by-play?watchFullGame=true", "SAS vs UTA - Q4 10:06.00")</f>
        <v>SAS vs UTA - Q4 10:06.00</v>
      </c>
      <c r="L1970">
        <v>0</v>
      </c>
      <c r="M1970">
        <v>0</v>
      </c>
      <c r="N1970">
        <v>1</v>
      </c>
      <c r="O1970">
        <v>0</v>
      </c>
      <c r="P1970">
        <v>1</v>
      </c>
    </row>
    <row r="1971" spans="1:16" x14ac:dyDescent="0.25">
      <c r="A1971">
        <v>21600458</v>
      </c>
      <c r="B1971">
        <v>2016</v>
      </c>
      <c r="C1971" t="s">
        <v>32</v>
      </c>
      <c r="D1971" t="s">
        <v>80</v>
      </c>
      <c r="E1971">
        <v>65</v>
      </c>
      <c r="F1971">
        <v>63</v>
      </c>
      <c r="G1971">
        <v>3</v>
      </c>
      <c r="H1971" s="1">
        <v>4.5949074074074078E-3</v>
      </c>
      <c r="I1971" t="s">
        <v>18</v>
      </c>
      <c r="J1971" s="2" t="str">
        <f>HYPERLINK("https://www.nba.com/stats/events?CFID=&amp;CFPARAMS=&amp;GameEventID=280&amp;GameID=0021600458&amp;Season=2016-17&amp;flag=1&amp;title=Leonard%20%20Tip%20Dunk%20Shot%20(18%20PTS)", "Leonard  Tip Dunk Shot (18 PTS)")</f>
        <v>Leonard  Tip Dunk Shot (18 PTS)</v>
      </c>
      <c r="K1971" s="2" t="str">
        <f>HYPERLINK("https://www.nba.com/game/...-vs-...-0021600458/play-by-play?watchFullGame=true", "SAS vs CHI - Q3 06:37.00")</f>
        <v>SAS vs CHI - Q3 06:37.00</v>
      </c>
      <c r="L1971">
        <v>0</v>
      </c>
      <c r="M1971">
        <v>0</v>
      </c>
      <c r="N1971">
        <v>1</v>
      </c>
      <c r="O1971">
        <v>0</v>
      </c>
      <c r="P1971">
        <v>1</v>
      </c>
    </row>
    <row r="1972" spans="1:16" x14ac:dyDescent="0.25">
      <c r="A1972">
        <v>21601118</v>
      </c>
      <c r="B1972">
        <v>2016</v>
      </c>
      <c r="C1972" t="s">
        <v>32</v>
      </c>
      <c r="D1972" t="s">
        <v>62</v>
      </c>
      <c r="E1972">
        <v>96</v>
      </c>
      <c r="F1972">
        <v>105</v>
      </c>
      <c r="G1972">
        <v>4</v>
      </c>
      <c r="H1972" s="1">
        <v>1.8402777777777777E-3</v>
      </c>
      <c r="I1972" t="s">
        <v>18</v>
      </c>
      <c r="J1972" s="2" t="str">
        <f>HYPERLINK("https://www.nba.com/stats/events?CFID=&amp;CFPARAMS=&amp;GameEventID=491&amp;GameID=0021601118&amp;Season=2016-17&amp;flag=1&amp;title=Leonard%20%20Dunk%20(19%20PTS)%20(Gasol%205%20AST)", "Leonard  Dunk (19 PTS) (Gasol 5 AST)")</f>
        <v>Leonard  Dunk (19 PTS) (Gasol 5 AST)</v>
      </c>
      <c r="K1972" s="2" t="str">
        <f>HYPERLINK("https://www.nba.com/game/...-vs-...-0021601118/play-by-play?watchFullGame=true", "SAS vs GSW - Q4 02:39.00")</f>
        <v>SAS vs GSW - Q4 02:39.00</v>
      </c>
      <c r="L1972">
        <v>0</v>
      </c>
      <c r="M1972">
        <v>0</v>
      </c>
      <c r="N1972">
        <v>1</v>
      </c>
      <c r="O1972">
        <v>0</v>
      </c>
      <c r="P1972">
        <v>1</v>
      </c>
    </row>
    <row r="1973" spans="1:16" x14ac:dyDescent="0.25">
      <c r="A1973">
        <v>41500234</v>
      </c>
      <c r="B1973" t="s">
        <v>25</v>
      </c>
      <c r="C1973" t="s">
        <v>32</v>
      </c>
      <c r="D1973" t="s">
        <v>68</v>
      </c>
      <c r="E1973">
        <v>11</v>
      </c>
      <c r="F1973">
        <v>14</v>
      </c>
      <c r="G1973">
        <v>1</v>
      </c>
      <c r="H1973" s="1">
        <v>3.3564814814814816E-3</v>
      </c>
      <c r="I1973" t="s">
        <v>18</v>
      </c>
      <c r="J1973" s="2" t="str">
        <f>HYPERLINK("https://www.nba.com/stats/events?CFID=&amp;CFPARAMS=&amp;GameEventID=66&amp;GameID=0041500234&amp;Season=2015-16&amp;flag=1&amp;title=Leonard%20%20Cutting%20Dunk%20Shot%20(6%20PTS)%20(West%201%20AST)", "Leonard  Cutting Dunk Shot (6 PTS) (West 1 AST)")</f>
        <v>Leonard  Cutting Dunk Shot (6 PTS) (West 1 AST)</v>
      </c>
      <c r="K1973" s="2" t="str">
        <f>HYPERLINK("https://www.nba.com/game/...-vs-...-0041500234/play-by-play?watchFullGame=true", "SAS vs OKC - Q1 04:50.00")</f>
        <v>SAS vs OKC - Q1 04:50.00</v>
      </c>
      <c r="L1973">
        <v>0</v>
      </c>
      <c r="M1973">
        <v>0</v>
      </c>
      <c r="N1973">
        <v>1</v>
      </c>
      <c r="O1973">
        <v>0</v>
      </c>
      <c r="P1973">
        <v>1</v>
      </c>
    </row>
    <row r="1974" spans="1:16" x14ac:dyDescent="0.25">
      <c r="A1974">
        <v>41500235</v>
      </c>
      <c r="B1974" t="s">
        <v>25</v>
      </c>
      <c r="C1974" t="s">
        <v>32</v>
      </c>
      <c r="D1974" t="s">
        <v>62</v>
      </c>
      <c r="E1974">
        <v>22</v>
      </c>
      <c r="F1974">
        <v>26</v>
      </c>
      <c r="G1974">
        <v>2</v>
      </c>
      <c r="H1974" s="1">
        <v>6.1574074074074074E-3</v>
      </c>
      <c r="I1974" t="s">
        <v>18</v>
      </c>
      <c r="J1974" s="2" t="str">
        <f>HYPERLINK("https://www.nba.com/stats/events?CFID=&amp;CFPARAMS=&amp;GameEventID=151&amp;GameID=0041500235&amp;Season=2015-16&amp;flag=1&amp;title=Leonard%20%20Dunk%20(6%20PTS)%20(Mills%201%20AST)", "Leonard  Dunk (6 PTS) (Mills 1 AST)")</f>
        <v>Leonard  Dunk (6 PTS) (Mills 1 AST)</v>
      </c>
      <c r="K1974" s="2" t="str">
        <f>HYPERLINK("https://www.nba.com/game/...-vs-...-0041500235/play-by-play?watchFullGame=true", "SAS vs OKC - Q2 08:52.00")</f>
        <v>SAS vs OKC - Q2 08:52.00</v>
      </c>
      <c r="L1974">
        <v>0</v>
      </c>
      <c r="M1974">
        <v>0</v>
      </c>
      <c r="N1974">
        <v>1</v>
      </c>
      <c r="O1974">
        <v>0</v>
      </c>
      <c r="P1974">
        <v>1</v>
      </c>
    </row>
    <row r="1975" spans="1:16" x14ac:dyDescent="0.25">
      <c r="A1975">
        <v>41600233</v>
      </c>
      <c r="B1975" t="s">
        <v>30</v>
      </c>
      <c r="C1975" t="s">
        <v>32</v>
      </c>
      <c r="D1975" t="s">
        <v>68</v>
      </c>
      <c r="E1975">
        <v>34</v>
      </c>
      <c r="F1975">
        <v>35</v>
      </c>
      <c r="G1975">
        <v>2</v>
      </c>
      <c r="H1975" s="1">
        <v>2.5115740740740741E-3</v>
      </c>
      <c r="I1975" t="s">
        <v>18</v>
      </c>
      <c r="J1975" s="2" t="str">
        <f>HYPERLINK("https://www.nba.com/stats/events?CFID=&amp;CFPARAMS=&amp;GameEventID=216&amp;GameID=0041600233&amp;Season=2016-17&amp;flag=1&amp;title=Leonard%20Cutting%20Dunk%20Shot%20(4%20PTS)%20(Lee%201%20AST)", "Leonard Cutting Dunk Shot (4 PTS) (Lee 1 AST)")</f>
        <v>Leonard Cutting Dunk Shot (4 PTS) (Lee 1 AST)</v>
      </c>
      <c r="K1975" s="2" t="str">
        <f>HYPERLINK("https://www.nba.com/game/...-vs-...-0041600233/play-by-play?watchFullGame=true", "SAS vs HOU - Q2 03:37.00")</f>
        <v>SAS vs HOU - Q2 03:37.00</v>
      </c>
      <c r="L1975">
        <v>0</v>
      </c>
      <c r="M1975">
        <v>0</v>
      </c>
      <c r="N1975">
        <v>1</v>
      </c>
      <c r="O1975">
        <v>0</v>
      </c>
      <c r="P1975">
        <v>1</v>
      </c>
    </row>
    <row r="1976" spans="1:16" x14ac:dyDescent="0.25">
      <c r="A1976">
        <v>41600311</v>
      </c>
      <c r="B1976" t="s">
        <v>30</v>
      </c>
      <c r="C1976" t="s">
        <v>32</v>
      </c>
      <c r="D1976" t="s">
        <v>67</v>
      </c>
      <c r="E1976">
        <v>14</v>
      </c>
      <c r="F1976">
        <v>18</v>
      </c>
      <c r="G1976">
        <v>1</v>
      </c>
      <c r="H1976" s="1">
        <v>2.5578703703703705E-3</v>
      </c>
      <c r="I1976" t="s">
        <v>18</v>
      </c>
      <c r="J1976" s="2" t="str">
        <f>HYPERLINK("https://www.nba.com/stats/events?CFID=&amp;CFPARAMS=&amp;GameEventID=89&amp;GameID=0041600311&amp;Season=2016-17&amp;flag=1&amp;title=Leonard%20%20Driving%20Dunk%20(4%20PTS)", "Leonard  Driving Dunk (4 PTS)")</f>
        <v>Leonard  Driving Dunk (4 PTS)</v>
      </c>
      <c r="K1976" s="2" t="str">
        <f>HYPERLINK("https://www.nba.com/game/...-vs-...-0041600311/play-by-play?watchFullGame=true", "SAS vs GSW - Q1 03:41.00")</f>
        <v>SAS vs GSW - Q1 03:41.00</v>
      </c>
      <c r="L1976">
        <v>0</v>
      </c>
      <c r="M1976">
        <v>0</v>
      </c>
      <c r="N1976">
        <v>1</v>
      </c>
      <c r="O1976">
        <v>0</v>
      </c>
      <c r="P1976">
        <v>1</v>
      </c>
    </row>
    <row r="1977" spans="1:16" x14ac:dyDescent="0.25">
      <c r="A1977">
        <v>21400152</v>
      </c>
      <c r="B1977">
        <v>2014</v>
      </c>
      <c r="C1977" t="s">
        <v>32</v>
      </c>
      <c r="D1977" t="s">
        <v>62</v>
      </c>
      <c r="E1977">
        <v>2</v>
      </c>
      <c r="F1977">
        <v>0</v>
      </c>
      <c r="G1977">
        <v>1</v>
      </c>
      <c r="H1977" s="1">
        <v>7.7546296296296295E-3</v>
      </c>
      <c r="I1977" t="s">
        <v>18</v>
      </c>
      <c r="J1977" s="2" t="str">
        <f>HYPERLINK("https://www.nba.com/stats/events?CFID=&amp;CFPARAMS=&amp;GameEventID=8&amp;GameID=0021400152&amp;Season=2014-15&amp;flag=1&amp;title=Leonard%20%20Dunk%20(2%20PTS)%20(Green%201%20AST)", "Leonard  Dunk (2 PTS) (Green 1 AST)")</f>
        <v>Leonard  Dunk (2 PTS) (Green 1 AST)</v>
      </c>
      <c r="K1977" s="2" t="str">
        <f>HYPERLINK("https://www.nba.com/game/...-vs-...-0021400152/play-by-play?watchFullGame=true", "SAS vs PHI - Q1 11:10.00")</f>
        <v>SAS vs PHI - Q1 11:10.00</v>
      </c>
      <c r="L1977">
        <v>0</v>
      </c>
      <c r="M1977">
        <v>0</v>
      </c>
      <c r="N1977">
        <v>1</v>
      </c>
      <c r="O1977">
        <v>0</v>
      </c>
      <c r="P1977">
        <v>1</v>
      </c>
    </row>
    <row r="1978" spans="1:16" x14ac:dyDescent="0.25">
      <c r="A1978">
        <v>21400875</v>
      </c>
      <c r="B1978">
        <v>2014</v>
      </c>
      <c r="C1978" t="s">
        <v>32</v>
      </c>
      <c r="D1978" t="s">
        <v>67</v>
      </c>
      <c r="E1978">
        <v>13</v>
      </c>
      <c r="F1978">
        <v>32</v>
      </c>
      <c r="G1978">
        <v>2</v>
      </c>
      <c r="H1978" s="1">
        <v>6.1805555555555555E-3</v>
      </c>
      <c r="I1978" t="s">
        <v>18</v>
      </c>
      <c r="J1978" s="2" t="str">
        <f>HYPERLINK("https://www.nba.com/stats/events?CFID=&amp;CFPARAMS=&amp;GameEventID=173&amp;GameID=0021400875&amp;Season=2014-15&amp;flag=1&amp;title=Leonard%20%20Driving%20Dunk%20(6%20PTS)", "Leonard  Driving Dunk (6 PTS)")</f>
        <v>Leonard  Driving Dunk (6 PTS)</v>
      </c>
      <c r="K1978" s="2" t="str">
        <f>HYPERLINK("https://www.nba.com/game/...-vs-...-0021400875/play-by-play?watchFullGame=true", "SAS vs PHX - Q2 08:54.00")</f>
        <v>SAS vs PHX - Q2 08:54.00</v>
      </c>
      <c r="L1978">
        <v>0</v>
      </c>
      <c r="M1978">
        <v>0</v>
      </c>
      <c r="N1978">
        <v>1</v>
      </c>
      <c r="O1978">
        <v>0</v>
      </c>
      <c r="P1978">
        <v>1</v>
      </c>
    </row>
    <row r="1979" spans="1:16" x14ac:dyDescent="0.25">
      <c r="A1979">
        <v>21400931</v>
      </c>
      <c r="B1979">
        <v>2014</v>
      </c>
      <c r="C1979" t="s">
        <v>32</v>
      </c>
      <c r="D1979" t="s">
        <v>62</v>
      </c>
      <c r="E1979">
        <v>48</v>
      </c>
      <c r="F1979">
        <v>32</v>
      </c>
      <c r="G1979">
        <v>2</v>
      </c>
      <c r="H1979" s="1">
        <v>2.6967592592592594E-3</v>
      </c>
      <c r="I1979" t="s">
        <v>18</v>
      </c>
      <c r="J1979" s="2" t="str">
        <f>HYPERLINK("https://www.nba.com/stats/events?CFID=&amp;CFPARAMS=&amp;GameEventID=210&amp;GameID=0021400931&amp;Season=2014-15&amp;flag=1&amp;title=Leonard%20%20Dunk%20(6%20PTS)", "Leonard  Dunk (6 PTS)")</f>
        <v>Leonard  Dunk (6 PTS)</v>
      </c>
      <c r="K1979" s="2" t="str">
        <f>HYPERLINK("https://www.nba.com/game/...-vs-...-0021400931/play-by-play?watchFullGame=true", "SAS vs CHI - Q2 03:53.00")</f>
        <v>SAS vs CHI - Q2 03:53.00</v>
      </c>
      <c r="L1979">
        <v>0</v>
      </c>
      <c r="M1979">
        <v>0</v>
      </c>
      <c r="N1979">
        <v>1</v>
      </c>
      <c r="O1979">
        <v>0</v>
      </c>
      <c r="P1979">
        <v>1</v>
      </c>
    </row>
    <row r="1980" spans="1:16" x14ac:dyDescent="0.25">
      <c r="A1980">
        <v>21401168</v>
      </c>
      <c r="B1980">
        <v>2014</v>
      </c>
      <c r="C1980" t="s">
        <v>32</v>
      </c>
      <c r="D1980" t="s">
        <v>62</v>
      </c>
      <c r="E1980">
        <v>65</v>
      </c>
      <c r="F1980">
        <v>57</v>
      </c>
      <c r="G1980">
        <v>3</v>
      </c>
      <c r="H1980" s="1">
        <v>6.1111111111111114E-3</v>
      </c>
      <c r="I1980" t="s">
        <v>18</v>
      </c>
      <c r="J1980" s="2" t="str">
        <f>HYPERLINK("https://www.nba.com/stats/events?CFID=&amp;CFPARAMS=&amp;GameEventID=272&amp;GameID=0021401168&amp;Season=2014-15&amp;flag=1&amp;title=Leonard%20%20Dunk%20(10%20PTS)%20(Green%202%20AST)", "Leonard  Dunk (10 PTS) (Green 2 AST)")</f>
        <v>Leonard  Dunk (10 PTS) (Green 2 AST)</v>
      </c>
      <c r="K1980" s="2" t="str">
        <f>HYPERLINK("https://www.nba.com/game/...-vs-...-0021401168/play-by-play?watchFullGame=true", "SAS vs HOU - Q3 08:48.00")</f>
        <v>SAS vs HOU - Q3 08:48.00</v>
      </c>
      <c r="L1980">
        <v>0</v>
      </c>
      <c r="M1980">
        <v>0</v>
      </c>
      <c r="N1980">
        <v>1</v>
      </c>
      <c r="O1980">
        <v>0</v>
      </c>
      <c r="P1980">
        <v>1</v>
      </c>
    </row>
    <row r="1981" spans="1:16" x14ac:dyDescent="0.25">
      <c r="A1981">
        <v>21500156</v>
      </c>
      <c r="B1981">
        <v>2015</v>
      </c>
      <c r="C1981" t="s">
        <v>32</v>
      </c>
      <c r="D1981" t="s">
        <v>63</v>
      </c>
      <c r="E1981">
        <v>8</v>
      </c>
      <c r="F1981">
        <v>10</v>
      </c>
      <c r="G1981">
        <v>1</v>
      </c>
      <c r="H1981" s="1">
        <v>3.3333333333333335E-3</v>
      </c>
      <c r="I1981" t="s">
        <v>18</v>
      </c>
      <c r="J1981" s="2" t="str">
        <f>HYPERLINK("https://www.nba.com/stats/events?CFID=&amp;CFPARAMS=&amp;GameEventID=65&amp;GameID=0021500156&amp;Season=2015-16&amp;flag=1&amp;title=Leonard%20%20Running%20Dunk%20(2%20PTS)%20(Ginobili%201%20AST)", "Leonard  Running Dunk (2 PTS) (Ginobili 1 AST)")</f>
        <v>Leonard  Running Dunk (2 PTS) (Ginobili 1 AST)</v>
      </c>
      <c r="K1981" s="2" t="str">
        <f>HYPERLINK("https://www.nba.com/game/...-vs-...-0021500156/play-by-play?watchFullGame=true", "SAS vs POR - Q1 04:48.00")</f>
        <v>SAS vs POR - Q1 04:48.00</v>
      </c>
      <c r="L1981">
        <v>0</v>
      </c>
      <c r="M1981">
        <v>0</v>
      </c>
      <c r="N1981">
        <v>1</v>
      </c>
      <c r="O1981">
        <v>0</v>
      </c>
      <c r="P1981">
        <v>1</v>
      </c>
    </row>
    <row r="1982" spans="1:16" x14ac:dyDescent="0.25">
      <c r="A1982">
        <v>21500257</v>
      </c>
      <c r="B1982">
        <v>2015</v>
      </c>
      <c r="C1982" t="s">
        <v>32</v>
      </c>
      <c r="D1982" t="s">
        <v>67</v>
      </c>
      <c r="E1982">
        <v>58</v>
      </c>
      <c r="F1982">
        <v>55</v>
      </c>
      <c r="G1982">
        <v>3</v>
      </c>
      <c r="H1982" s="1">
        <v>5.7291666666666663E-3</v>
      </c>
      <c r="I1982" t="s">
        <v>18</v>
      </c>
      <c r="J1982" s="2" t="str">
        <f>HYPERLINK("https://www.nba.com/stats/events?CFID=&amp;CFPARAMS=&amp;GameEventID=265&amp;GameID=0021500257&amp;Season=2015-16&amp;flag=1&amp;title=Leonard%20%20Driving%20Dunk%20(11%20PTS)", "Leonard  Driving Dunk (11 PTS)")</f>
        <v>Leonard  Driving Dunk (11 PTS)</v>
      </c>
      <c r="K1982" s="2" t="str">
        <f>HYPERLINK("https://www.nba.com/game/...-vs-...-0021500257/play-by-play?watchFullGame=true", "SAS vs CHI - Q3 08:15.00")</f>
        <v>SAS vs CHI - Q3 08:15.00</v>
      </c>
      <c r="L1982">
        <v>0</v>
      </c>
      <c r="M1982">
        <v>0</v>
      </c>
      <c r="N1982">
        <v>1</v>
      </c>
      <c r="O1982">
        <v>0</v>
      </c>
      <c r="P1982">
        <v>1</v>
      </c>
    </row>
    <row r="1983" spans="1:16" x14ac:dyDescent="0.25">
      <c r="A1983">
        <v>21600206</v>
      </c>
      <c r="B1983">
        <v>2016</v>
      </c>
      <c r="C1983" t="s">
        <v>32</v>
      </c>
      <c r="D1983" t="s">
        <v>62</v>
      </c>
      <c r="E1983">
        <v>92</v>
      </c>
      <c r="F1983">
        <v>88</v>
      </c>
      <c r="G1983">
        <v>4</v>
      </c>
      <c r="H1983" s="1">
        <v>1.4699074074074074E-3</v>
      </c>
      <c r="I1983" t="s">
        <v>18</v>
      </c>
      <c r="J1983" s="2" t="str">
        <f>HYPERLINK("https://www.nba.com/stats/events?CFID=&amp;CFPARAMS=&amp;GameEventID=463&amp;GameID=0021600206&amp;Season=2016-17&amp;flag=1&amp;title=Leonard%20%20Dunk%20(24%20PTS)", "Leonard  Dunk (24 PTS)")</f>
        <v>Leonard  Dunk (24 PTS)</v>
      </c>
      <c r="K1983" s="2" t="str">
        <f>HYPERLINK("https://www.nba.com/game/...-vs-...-0021600206/play-by-play?watchFullGame=true", "SAS vs DAL - Q4 02:07.00")</f>
        <v>SAS vs DAL - Q4 02:07.00</v>
      </c>
      <c r="L1983">
        <v>0</v>
      </c>
      <c r="M1983">
        <v>0</v>
      </c>
      <c r="N1983">
        <v>1</v>
      </c>
      <c r="O1983">
        <v>0</v>
      </c>
      <c r="P1983">
        <v>1</v>
      </c>
    </row>
    <row r="1984" spans="1:16" x14ac:dyDescent="0.25">
      <c r="A1984">
        <v>21600289</v>
      </c>
      <c r="B1984">
        <v>2016</v>
      </c>
      <c r="C1984" t="s">
        <v>32</v>
      </c>
      <c r="D1984" t="s">
        <v>62</v>
      </c>
      <c r="E1984">
        <v>96</v>
      </c>
      <c r="F1984">
        <v>87</v>
      </c>
      <c r="G1984">
        <v>4</v>
      </c>
      <c r="H1984" s="1">
        <v>3.7037037037037038E-3</v>
      </c>
      <c r="I1984" t="s">
        <v>18</v>
      </c>
      <c r="J1984" s="2" t="str">
        <f>HYPERLINK("https://www.nba.com/stats/events?CFID=&amp;CFPARAMS=&amp;GameEventID=489&amp;GameID=0021600289&amp;Season=2016-17&amp;flag=1&amp;title=Leonard%20%20Dunk%20(19%20PTS)%20(Aldridge%201%20AST)", "Leonard  Dunk (19 PTS) (Aldridge 1 AST)")</f>
        <v>Leonard  Dunk (19 PTS) (Aldridge 1 AST)</v>
      </c>
      <c r="K1984" s="2" t="str">
        <f>HYPERLINK("https://www.nba.com/game/...-vs-...-0021600289/play-by-play?watchFullGame=true", "SAS vs WAS - Q4 05:20.00")</f>
        <v>SAS vs WAS - Q4 05:20.00</v>
      </c>
      <c r="L1984">
        <v>0</v>
      </c>
      <c r="M1984">
        <v>0</v>
      </c>
      <c r="N1984">
        <v>1</v>
      </c>
      <c r="O1984">
        <v>0</v>
      </c>
      <c r="P1984">
        <v>1</v>
      </c>
    </row>
    <row r="1985" spans="1:16" x14ac:dyDescent="0.25">
      <c r="A1985">
        <v>21600782</v>
      </c>
      <c r="B1985">
        <v>2016</v>
      </c>
      <c r="C1985" t="s">
        <v>32</v>
      </c>
      <c r="D1985" t="s">
        <v>67</v>
      </c>
      <c r="E1985">
        <v>40</v>
      </c>
      <c r="F1985">
        <v>50</v>
      </c>
      <c r="G1985">
        <v>2</v>
      </c>
      <c r="H1985" s="1">
        <v>2.8935185185185184E-3</v>
      </c>
      <c r="I1985" t="s">
        <v>18</v>
      </c>
      <c r="J1985" s="2" t="str">
        <f>HYPERLINK("https://www.nba.com/stats/events?CFID=&amp;CFPARAMS=&amp;GameEventID=187&amp;GameID=0021600782&amp;Season=2016-17&amp;flag=1&amp;title=Leonard%20%20Driving%20Dunk%20(12%20PTS)%20(Dedmon%201%20AST)", "Leonard  Driving Dunk (12 PTS) (Dedmon 1 AST)")</f>
        <v>Leonard  Driving Dunk (12 PTS) (Dedmon 1 AST)</v>
      </c>
      <c r="K1985" s="2" t="str">
        <f>HYPERLINK("https://www.nba.com/game/...-vs-...-0021600782/play-by-play?watchFullGame=true", "SAS vs PHI - Q2 04:10.00")</f>
        <v>SAS vs PHI - Q2 04:10.00</v>
      </c>
      <c r="L1985">
        <v>0</v>
      </c>
      <c r="M1985">
        <v>0</v>
      </c>
      <c r="N1985">
        <v>1</v>
      </c>
      <c r="O1985">
        <v>0</v>
      </c>
      <c r="P1985">
        <v>1</v>
      </c>
    </row>
    <row r="1986" spans="1:16" x14ac:dyDescent="0.25">
      <c r="A1986">
        <v>21600962</v>
      </c>
      <c r="B1986">
        <v>2016</v>
      </c>
      <c r="C1986" t="s">
        <v>32</v>
      </c>
      <c r="D1986" t="s">
        <v>68</v>
      </c>
      <c r="E1986">
        <v>44</v>
      </c>
      <c r="F1986">
        <v>36</v>
      </c>
      <c r="G1986">
        <v>2</v>
      </c>
      <c r="H1986" s="1">
        <v>3.3449074074074076E-3</v>
      </c>
      <c r="I1986" t="s">
        <v>18</v>
      </c>
      <c r="J1986" s="2" t="str">
        <f>HYPERLINK("https://www.nba.com/stats/events?CFID=&amp;CFPARAMS=&amp;GameEventID=213&amp;GameID=0021600962&amp;Season=2016-17&amp;flag=1&amp;title=Leonard%20%20Cutting%20Dunk%20Shot%20(10%20PTS)%20(Green%202%20AST)", "Leonard  Cutting Dunk Shot (10 PTS) (Green 2 AST)")</f>
        <v>Leonard  Cutting Dunk Shot (10 PTS) (Green 2 AST)</v>
      </c>
      <c r="K1986" s="2" t="str">
        <f>HYPERLINK("https://www.nba.com/game/...-vs-...-0021600962/play-by-play?watchFullGame=true", "SAS vs OKC - Q2 04:49.00")</f>
        <v>SAS vs OKC - Q2 04:49.00</v>
      </c>
      <c r="L1986">
        <v>0</v>
      </c>
      <c r="M1986">
        <v>0</v>
      </c>
      <c r="N1986">
        <v>1</v>
      </c>
      <c r="O1986">
        <v>0</v>
      </c>
      <c r="P1986">
        <v>1</v>
      </c>
    </row>
    <row r="1987" spans="1:16" x14ac:dyDescent="0.25">
      <c r="A1987">
        <v>21601099</v>
      </c>
      <c r="B1987">
        <v>2016</v>
      </c>
      <c r="C1987" t="s">
        <v>32</v>
      </c>
      <c r="D1987" t="s">
        <v>62</v>
      </c>
      <c r="E1987">
        <v>52</v>
      </c>
      <c r="F1987">
        <v>34</v>
      </c>
      <c r="G1987">
        <v>2</v>
      </c>
      <c r="H1987" s="1">
        <v>2.0601851851851853E-3</v>
      </c>
      <c r="I1987" t="s">
        <v>18</v>
      </c>
      <c r="J1987" s="2" t="str">
        <f>HYPERLINK("https://www.nba.com/stats/events?CFID=&amp;CFPARAMS=&amp;GameEventID=226&amp;GameID=0021601099&amp;Season=2016-17&amp;flag=1&amp;title=Leonard%20Dunk%20(10%20PTS)%20(Mills%204%20AST)", "Leonard Dunk (10 PTS) (Mills 4 AST)")</f>
        <v>Leonard Dunk (10 PTS) (Mills 4 AST)</v>
      </c>
      <c r="K1987" s="2" t="str">
        <f>HYPERLINK("https://www.nba.com/game/...-vs-...-0021601099/play-by-play?watchFullGame=true", "SAS vs CLE - Q2 02:58.00")</f>
        <v>SAS vs CLE - Q2 02:58.00</v>
      </c>
      <c r="L1987">
        <v>0</v>
      </c>
      <c r="M1987">
        <v>0</v>
      </c>
      <c r="N1987">
        <v>1</v>
      </c>
      <c r="O1987">
        <v>0</v>
      </c>
      <c r="P1987">
        <v>1</v>
      </c>
    </row>
    <row r="1988" spans="1:16" x14ac:dyDescent="0.25">
      <c r="A1988">
        <v>41600234</v>
      </c>
      <c r="B1988" t="s">
        <v>30</v>
      </c>
      <c r="C1988" t="s">
        <v>32</v>
      </c>
      <c r="D1988" t="s">
        <v>49</v>
      </c>
      <c r="E1988">
        <v>52</v>
      </c>
      <c r="F1988">
        <v>47</v>
      </c>
      <c r="G1988">
        <v>2</v>
      </c>
      <c r="H1988" s="1">
        <v>1.8402777777777777E-3</v>
      </c>
      <c r="I1988" t="s">
        <v>18</v>
      </c>
      <c r="J1988" s="2" t="str">
        <f>HYPERLINK("https://www.nba.com/stats/events?CFID=&amp;CFPARAMS=&amp;GameEventID=242&amp;GameID=0041600234&amp;Season=2016-17&amp;flag=1&amp;title=Leonard%20Driving%20Layup%20(14%20PTS)", "Leonard Driving Layup (14 PTS)")</f>
        <v>Leonard Driving Layup (14 PTS)</v>
      </c>
      <c r="K1988" s="2" t="str">
        <f>HYPERLINK("https://www.nba.com/game/...-vs-...-0041600234/play-by-play?watchFullGame=true", "SAS vs HOU - Q2 02:39.00")</f>
        <v>SAS vs HOU - Q2 02:39.00</v>
      </c>
      <c r="L1988">
        <v>0</v>
      </c>
      <c r="M1988">
        <v>0</v>
      </c>
      <c r="N1988">
        <v>2</v>
      </c>
      <c r="O1988">
        <v>0</v>
      </c>
      <c r="P1988">
        <v>2</v>
      </c>
    </row>
    <row r="1989" spans="1:16" x14ac:dyDescent="0.25">
      <c r="A1989">
        <v>41300147</v>
      </c>
      <c r="B1989" t="s">
        <v>26</v>
      </c>
      <c r="C1989" t="s">
        <v>32</v>
      </c>
      <c r="D1989" t="s">
        <v>74</v>
      </c>
      <c r="E1989">
        <v>62</v>
      </c>
      <c r="F1989">
        <v>35</v>
      </c>
      <c r="G1989">
        <v>2</v>
      </c>
      <c r="H1989" s="1">
        <v>2.2800925925925927E-3</v>
      </c>
      <c r="I1989" t="s">
        <v>18</v>
      </c>
      <c r="J1989" s="2" t="str">
        <f>HYPERLINK("https://www.nba.com/stats/events?CFID=&amp;CFPARAMS=&amp;GameEventID=235&amp;GameID=0041300147&amp;Season=2013-14&amp;flag=1&amp;title=Leonard%20%20Slam%20Dunk%20(6%20PTS)%20(Parker%202%20AST)", "Leonard  Slam Dunk (6 PTS) (Parker 2 AST)")</f>
        <v>Leonard  Slam Dunk (6 PTS) (Parker 2 AST)</v>
      </c>
      <c r="K1989" s="2" t="str">
        <f>HYPERLINK("https://www.nba.com/game/...-vs-...-0041300147/play-by-play?watchFullGame=true", "SAS vs DAL - Q2 03:17.00")</f>
        <v>SAS vs DAL - Q2 03:17.00</v>
      </c>
      <c r="L1989">
        <v>0</v>
      </c>
      <c r="M1989">
        <v>0</v>
      </c>
      <c r="N1989">
        <v>3</v>
      </c>
      <c r="O1989">
        <v>0</v>
      </c>
      <c r="P1989">
        <v>3</v>
      </c>
    </row>
    <row r="1990" spans="1:16" x14ac:dyDescent="0.25">
      <c r="A1990">
        <v>41300145</v>
      </c>
      <c r="B1990" t="s">
        <v>26</v>
      </c>
      <c r="C1990" t="s">
        <v>32</v>
      </c>
      <c r="D1990" t="s">
        <v>74</v>
      </c>
      <c r="E1990">
        <v>49</v>
      </c>
      <c r="F1990">
        <v>44</v>
      </c>
      <c r="G1990">
        <v>2</v>
      </c>
      <c r="H1990" s="1">
        <v>2.2569444444444442E-3</v>
      </c>
      <c r="I1990" t="s">
        <v>18</v>
      </c>
      <c r="J1990" s="2" t="str">
        <f>HYPERLINK("https://www.nba.com/stats/events?CFID=&amp;CFPARAMS=&amp;GameEventID=192&amp;GameID=0041300145&amp;Season=2013-14&amp;flag=1&amp;title=Leonard%20%20Slam%20Dunk%20(8%20PTS)%20(Parker%203%20AST)", "Leonard  Slam Dunk (8 PTS) (Parker 3 AST)")</f>
        <v>Leonard  Slam Dunk (8 PTS) (Parker 3 AST)</v>
      </c>
      <c r="K1990" s="2" t="str">
        <f>HYPERLINK("https://www.nba.com/game/...-vs-...-0041300145/play-by-play?watchFullGame=true", "SAS vs DAL - Q2 03:15.00")</f>
        <v>SAS vs DAL - Q2 03:15.00</v>
      </c>
      <c r="L1990">
        <v>0</v>
      </c>
      <c r="M1990">
        <v>0</v>
      </c>
      <c r="N1990">
        <v>4</v>
      </c>
      <c r="O1990">
        <v>0</v>
      </c>
      <c r="P1990">
        <v>4</v>
      </c>
    </row>
    <row r="1991" spans="1:16" x14ac:dyDescent="0.25">
      <c r="A1991">
        <v>21301127</v>
      </c>
      <c r="B1991">
        <v>2013</v>
      </c>
      <c r="C1991" t="s">
        <v>32</v>
      </c>
      <c r="D1991" t="s">
        <v>62</v>
      </c>
      <c r="E1991">
        <v>0</v>
      </c>
      <c r="F1991">
        <v>2</v>
      </c>
      <c r="G1991">
        <v>1</v>
      </c>
      <c r="H1991" s="1">
        <v>8.1481481481481474E-3</v>
      </c>
      <c r="I1991" t="s">
        <v>18</v>
      </c>
      <c r="J1991" s="2" t="str">
        <f>HYPERLINK("https://www.nba.com/stats/events?CFID=&amp;CFPARAMS=&amp;GameEventID=3&amp;GameID=0021301127&amp;Season=2013-14&amp;flag=1&amp;title=Leonard%201'%20Dunk%20(2%20PTS)", "Leonard 1' Dunk (2 PTS)")</f>
        <v>Leonard 1' Dunk (2 PTS)</v>
      </c>
      <c r="K1991" s="2" t="str">
        <f>HYPERLINK("https://www.nba.com/game/...-vs-...-0021301127/play-by-play?watchFullGame=true", "SAS vs OKC - Q1 11:44.00")</f>
        <v>SAS vs OKC - Q1 11:44.00</v>
      </c>
      <c r="L1991">
        <v>1</v>
      </c>
      <c r="M1991">
        <v>0</v>
      </c>
      <c r="N1991">
        <v>6</v>
      </c>
      <c r="O1991">
        <v>0</v>
      </c>
      <c r="P1991">
        <v>6</v>
      </c>
    </row>
    <row r="1992" spans="1:16" x14ac:dyDescent="0.25">
      <c r="A1992">
        <v>21300170</v>
      </c>
      <c r="B1992">
        <v>2013</v>
      </c>
      <c r="C1992" t="s">
        <v>32</v>
      </c>
      <c r="D1992" t="s">
        <v>57</v>
      </c>
      <c r="E1992">
        <v>58</v>
      </c>
      <c r="F1992">
        <v>52</v>
      </c>
      <c r="G1992">
        <v>3</v>
      </c>
      <c r="H1992" s="1">
        <v>5.6712962962962967E-3</v>
      </c>
      <c r="I1992" t="s">
        <v>18</v>
      </c>
      <c r="J1992" s="2" t="str">
        <f>HYPERLINK("https://www.nba.com/stats/events?CFID=&amp;CFPARAMS=&amp;GameEventID=277&amp;GameID=0021300170&amp;Season=2013-14&amp;flag=1&amp;title=Leonard%201'%20Layup%20(11%20PTS)", "Leonard 1' Layup (11 PTS)")</f>
        <v>Leonard 1' Layup (11 PTS)</v>
      </c>
      <c r="K1992" s="2" t="str">
        <f>HYPERLINK("https://www.nba.com/game/...-vs-...-0021300170/play-by-play?watchFullGame=true", "SAS vs BOS - Q3 08:10.00")</f>
        <v>SAS vs BOS - Q3 08:10.00</v>
      </c>
      <c r="L1992">
        <v>1</v>
      </c>
      <c r="M1992">
        <v>0</v>
      </c>
      <c r="N1992">
        <v>6</v>
      </c>
      <c r="O1992">
        <v>0</v>
      </c>
      <c r="P1992">
        <v>6</v>
      </c>
    </row>
    <row r="1993" spans="1:16" x14ac:dyDescent="0.25">
      <c r="A1993">
        <v>41800212</v>
      </c>
      <c r="B1993" t="s">
        <v>20</v>
      </c>
      <c r="C1993" t="s">
        <v>32</v>
      </c>
      <c r="D1993" t="s">
        <v>68</v>
      </c>
      <c r="E1993">
        <v>43</v>
      </c>
      <c r="F1993">
        <v>51</v>
      </c>
      <c r="G1993">
        <v>3</v>
      </c>
      <c r="H1993" s="1">
        <v>6.3425925925925924E-3</v>
      </c>
      <c r="I1993" t="s">
        <v>21</v>
      </c>
      <c r="J1993" s="2" t="str">
        <f>HYPERLINK("https://www.nba.com/stats/events?CFID=&amp;CFPARAMS=&amp;GameEventID=366&amp;GameID=0041800212&amp;Season=2018-19&amp;flag=1&amp;title=Leonard%201'%20Cutting%20Dunk%20Shot%20(20%20PTS)%20(Gasol%203%20AST)", "Leonard 1' Cutting Dunk Shot (20 PTS) (Gasol 3 AST)")</f>
        <v>Leonard 1' Cutting Dunk Shot (20 PTS) (Gasol 3 AST)</v>
      </c>
      <c r="K1993" s="2" t="str">
        <f>HYPERLINK("https://www.nba.com/game/...-vs-...-0041800212/play-by-play?watchFullGame=true", "TOR vs PHI - Q3 09:08.00")</f>
        <v>TOR vs PHI - Q3 09:08.00</v>
      </c>
      <c r="L1993">
        <v>1</v>
      </c>
      <c r="M1993">
        <v>0</v>
      </c>
      <c r="N1993">
        <v>6</v>
      </c>
      <c r="O1993">
        <v>0</v>
      </c>
      <c r="P1993">
        <v>6</v>
      </c>
    </row>
    <row r="1994" spans="1:16" x14ac:dyDescent="0.25">
      <c r="A1994">
        <v>41300144</v>
      </c>
      <c r="B1994" t="s">
        <v>26</v>
      </c>
      <c r="C1994" t="s">
        <v>32</v>
      </c>
      <c r="D1994" t="s">
        <v>81</v>
      </c>
      <c r="E1994">
        <v>27</v>
      </c>
      <c r="F1994">
        <v>36</v>
      </c>
      <c r="G1994">
        <v>2</v>
      </c>
      <c r="H1994" s="1">
        <v>3.7384259259259259E-3</v>
      </c>
      <c r="I1994" t="s">
        <v>18</v>
      </c>
      <c r="J1994" s="2" t="str">
        <f>HYPERLINK("https://www.nba.com/stats/events?CFID=&amp;CFPARAMS=&amp;GameEventID=202&amp;GameID=0041300144&amp;Season=2013-14&amp;flag=1&amp;title=Leonard%201'%20Running%20Slam%20Dunk%20(2%20PTS)%20(Mills%201%20AST)", "Leonard 1' Running Slam Dunk (2 PTS) (Mills 1 AST)")</f>
        <v>Leonard 1' Running Slam Dunk (2 PTS) (Mills 1 AST)</v>
      </c>
      <c r="K1994" s="2" t="str">
        <f>HYPERLINK("https://www.nba.com/game/...-vs-...-0041300144/play-by-play?watchFullGame=true", "SAS vs DAL - Q2 05:23.00")</f>
        <v>SAS vs DAL - Q2 05:23.00</v>
      </c>
      <c r="L1994">
        <v>1</v>
      </c>
      <c r="M1994">
        <v>0</v>
      </c>
      <c r="N1994">
        <v>7</v>
      </c>
      <c r="O1994">
        <v>0</v>
      </c>
      <c r="P1994">
        <v>7</v>
      </c>
    </row>
    <row r="1995" spans="1:16" x14ac:dyDescent="0.25">
      <c r="A1995">
        <v>21300296</v>
      </c>
      <c r="B1995">
        <v>2013</v>
      </c>
      <c r="C1995" t="s">
        <v>32</v>
      </c>
      <c r="D1995" t="s">
        <v>67</v>
      </c>
      <c r="E1995">
        <v>67</v>
      </c>
      <c r="F1995">
        <v>87</v>
      </c>
      <c r="G1995">
        <v>4</v>
      </c>
      <c r="H1995" s="1">
        <v>8.0902777777777778E-3</v>
      </c>
      <c r="I1995" t="s">
        <v>18</v>
      </c>
      <c r="J1995" s="2" t="str">
        <f>HYPERLINK("https://www.nba.com/stats/events?CFID=&amp;CFPARAMS=&amp;GameEventID=320&amp;GameID=0021300296&amp;Season=2013-14&amp;flag=1&amp;title=Leonard%201'%20Driving%20Dunk%20(13%20PTS)", "Leonard 1' Driving Dunk (13 PTS)")</f>
        <v>Leonard 1' Driving Dunk (13 PTS)</v>
      </c>
      <c r="K1995" s="2" t="str">
        <f>HYPERLINK("https://www.nba.com/game/...-vs-...-0021300296/play-by-play?watchFullGame=true", "SAS vs IND - Q4 11:39.00")</f>
        <v>SAS vs IND - Q4 11:39.00</v>
      </c>
      <c r="L1995">
        <v>1</v>
      </c>
      <c r="M1995">
        <v>0</v>
      </c>
      <c r="N1995">
        <v>7</v>
      </c>
      <c r="O1995">
        <v>0</v>
      </c>
      <c r="P1995">
        <v>7</v>
      </c>
    </row>
    <row r="1996" spans="1:16" x14ac:dyDescent="0.25">
      <c r="A1996">
        <v>41200405</v>
      </c>
      <c r="B1996" t="s">
        <v>27</v>
      </c>
      <c r="C1996" t="s">
        <v>32</v>
      </c>
      <c r="D1996" t="s">
        <v>62</v>
      </c>
      <c r="E1996">
        <v>29</v>
      </c>
      <c r="F1996">
        <v>17</v>
      </c>
      <c r="G1996">
        <v>1</v>
      </c>
      <c r="H1996" s="1">
        <v>7.291666666666667E-4</v>
      </c>
      <c r="I1996" t="s">
        <v>18</v>
      </c>
      <c r="J1996" s="2" t="str">
        <f>HYPERLINK("https://www.nba.com/stats/events?CFID=&amp;CFPARAMS=&amp;GameEventID=116&amp;GameID=0041200405&amp;Season=2012-13&amp;flag=1&amp;title=Leonard%201'%20Dunk%20(4%20PTS)%20(Diaw%201%20AST)", "Leonard 1' Dunk (4 PTS) (Diaw 1 AST)")</f>
        <v>Leonard 1' Dunk (4 PTS) (Diaw 1 AST)</v>
      </c>
      <c r="K1996" s="2" t="str">
        <f>HYPERLINK("https://www.nba.com/game/...-vs-...-0041200405/play-by-play?watchFullGame=true", "SAS vs MIA - Q1 01:03.00")</f>
        <v>SAS vs MIA - Q1 01:03.00</v>
      </c>
      <c r="L1996">
        <v>1</v>
      </c>
      <c r="M1996">
        <v>0</v>
      </c>
      <c r="N1996">
        <v>9</v>
      </c>
      <c r="O1996">
        <v>0</v>
      </c>
      <c r="P1996">
        <v>9</v>
      </c>
    </row>
    <row r="1997" spans="1:16" x14ac:dyDescent="0.25">
      <c r="A1997">
        <v>41200312</v>
      </c>
      <c r="B1997" t="s">
        <v>27</v>
      </c>
      <c r="C1997" t="s">
        <v>32</v>
      </c>
      <c r="D1997" t="s">
        <v>57</v>
      </c>
      <c r="E1997">
        <v>15</v>
      </c>
      <c r="F1997">
        <v>7</v>
      </c>
      <c r="G1997">
        <v>1</v>
      </c>
      <c r="H1997" s="1">
        <v>3.0671296296296297E-3</v>
      </c>
      <c r="I1997" t="s">
        <v>18</v>
      </c>
      <c r="J1997" s="2" t="str">
        <f>HYPERLINK("https://www.nba.com/stats/events?CFID=&amp;CFPARAMS=&amp;GameEventID=68&amp;GameID=0041200312&amp;Season=2012-13&amp;flag=1&amp;title=Leonard%201'%20Layup%20(4%20PTS)%20(Diaw%201%20AST)", "Leonard 1' Layup (4 PTS) (Diaw 1 AST)")</f>
        <v>Leonard 1' Layup (4 PTS) (Diaw 1 AST)</v>
      </c>
      <c r="K1997" s="2" t="str">
        <f>HYPERLINK("https://www.nba.com/game/...-vs-...-0041200312/play-by-play?watchFullGame=true", "SAS vs MEM - Q1 04:25.00")</f>
        <v>SAS vs MEM - Q1 04:25.00</v>
      </c>
      <c r="L1997">
        <v>1</v>
      </c>
      <c r="M1997">
        <v>0</v>
      </c>
      <c r="N1997">
        <v>9</v>
      </c>
      <c r="O1997">
        <v>0</v>
      </c>
      <c r="P1997">
        <v>9</v>
      </c>
    </row>
    <row r="1998" spans="1:16" x14ac:dyDescent="0.25">
      <c r="A1998">
        <v>21600902</v>
      </c>
      <c r="B1998">
        <v>2016</v>
      </c>
      <c r="C1998" t="s">
        <v>32</v>
      </c>
      <c r="D1998" t="s">
        <v>51</v>
      </c>
      <c r="E1998">
        <v>65</v>
      </c>
      <c r="F1998">
        <v>68</v>
      </c>
      <c r="G1998">
        <v>3</v>
      </c>
      <c r="H1998" s="1">
        <v>2.0138888888888888E-3</v>
      </c>
      <c r="I1998" t="s">
        <v>18</v>
      </c>
      <c r="J1998" s="2" t="str">
        <f>HYPERLINK("https://www.nba.com/stats/events?CFID=&amp;CFPARAMS=&amp;GameEventID=358&amp;GameID=0021600902&amp;Season=2016-17&amp;flag=1&amp;title=Leonard%201'%20Reverse%20Layup%20(22%20PTS)%20(Gasol%202%20AST)", "Leonard 1' Reverse Layup (22 PTS) (Gasol 2 AST)")</f>
        <v>Leonard 1' Reverse Layup (22 PTS) (Gasol 2 AST)</v>
      </c>
      <c r="K1998" s="2" t="str">
        <f>HYPERLINK("https://www.nba.com/game/...-vs-...-0021600902/play-by-play?watchFullGame=true", "SAS vs IND - Q3 02:54.00")</f>
        <v>SAS vs IND - Q3 02:54.00</v>
      </c>
      <c r="L1998">
        <v>1</v>
      </c>
      <c r="M1998">
        <v>0</v>
      </c>
      <c r="N1998">
        <v>11</v>
      </c>
      <c r="O1998">
        <v>0</v>
      </c>
      <c r="P1998">
        <v>11</v>
      </c>
    </row>
    <row r="1999" spans="1:16" x14ac:dyDescent="0.25">
      <c r="A1999">
        <v>41200314</v>
      </c>
      <c r="B1999" t="s">
        <v>27</v>
      </c>
      <c r="C1999" t="s">
        <v>32</v>
      </c>
      <c r="D1999" t="s">
        <v>57</v>
      </c>
      <c r="E1999">
        <v>68</v>
      </c>
      <c r="F1999">
        <v>74</v>
      </c>
      <c r="G1999">
        <v>4</v>
      </c>
      <c r="H1999" s="1">
        <v>7.5578703703703702E-3</v>
      </c>
      <c r="I1999" t="s">
        <v>18</v>
      </c>
      <c r="J1999" s="2" t="str">
        <f>HYPERLINK("https://www.nba.com/stats/events?CFID=&amp;CFPARAMS=&amp;GameEventID=388&amp;GameID=0041200314&amp;Season=2012-13&amp;flag=1&amp;title=Leonard%201'%20Layup%20(11%20PTS)", "Leonard 1' Layup (11 PTS)")</f>
        <v>Leonard 1' Layup (11 PTS)</v>
      </c>
      <c r="K1999" s="2" t="str">
        <f>HYPERLINK("https://www.nba.com/game/...-vs-...-0041200314/play-by-play?watchFullGame=true", "SAS vs MEM - Q4 10:53.00")</f>
        <v>SAS vs MEM - Q4 10:53.00</v>
      </c>
      <c r="L1999">
        <v>1</v>
      </c>
      <c r="M1999">
        <v>0</v>
      </c>
      <c r="N1999">
        <v>11</v>
      </c>
      <c r="O1999">
        <v>0</v>
      </c>
      <c r="P1999">
        <v>11</v>
      </c>
    </row>
    <row r="2000" spans="1:16" x14ac:dyDescent="0.25">
      <c r="A2000">
        <v>41200151</v>
      </c>
      <c r="B2000" t="s">
        <v>27</v>
      </c>
      <c r="C2000" t="s">
        <v>32</v>
      </c>
      <c r="D2000" t="s">
        <v>57</v>
      </c>
      <c r="E2000">
        <v>76</v>
      </c>
      <c r="F2000">
        <v>63</v>
      </c>
      <c r="G2000">
        <v>4</v>
      </c>
      <c r="H2000" s="1">
        <v>5.5671296296296293E-3</v>
      </c>
      <c r="I2000" t="s">
        <v>18</v>
      </c>
      <c r="J2000" s="2" t="str">
        <f>HYPERLINK("https://www.nba.com/stats/events?CFID=&amp;CFPARAMS=&amp;GameEventID=406&amp;GameID=0041200151&amp;Season=2012-13&amp;flag=1&amp;title=Leonard%201'%20Layup%20(5%20PTS)%20(Parker%207%20AST)", "Leonard 1' Layup (5 PTS) (Parker 7 AST)")</f>
        <v>Leonard 1' Layup (5 PTS) (Parker 7 AST)</v>
      </c>
      <c r="K2000" s="2" t="str">
        <f>HYPERLINK("https://www.nba.com/game/...-vs-...-0041200151/play-by-play?watchFullGame=true", "SAS vs LAL - Q4 08:01.00")</f>
        <v>SAS vs LAL - Q4 08:01.00</v>
      </c>
      <c r="L2000">
        <v>1</v>
      </c>
      <c r="M2000">
        <v>0</v>
      </c>
      <c r="N2000">
        <v>11</v>
      </c>
      <c r="O2000">
        <v>0</v>
      </c>
      <c r="P2000">
        <v>11</v>
      </c>
    </row>
    <row r="2001" spans="1:16" x14ac:dyDescent="0.25">
      <c r="A2001">
        <v>41200311</v>
      </c>
      <c r="B2001" t="s">
        <v>27</v>
      </c>
      <c r="C2001" t="s">
        <v>32</v>
      </c>
      <c r="D2001" t="s">
        <v>57</v>
      </c>
      <c r="E2001">
        <v>79</v>
      </c>
      <c r="F2001">
        <v>61</v>
      </c>
      <c r="G2001">
        <v>4</v>
      </c>
      <c r="H2001" s="1">
        <v>6.7129629629629631E-3</v>
      </c>
      <c r="I2001" t="s">
        <v>18</v>
      </c>
      <c r="J2001" s="2" t="str">
        <f>HYPERLINK("https://www.nba.com/stats/events?CFID=&amp;CFPARAMS=&amp;GameEventID=357&amp;GameID=0041200311&amp;Season=2012-13&amp;flag=1&amp;title=Leonard%201'%20Layup%20(12%20PTS)%20(Diaw%202%20AST)", "Leonard 1' Layup (12 PTS) (Diaw 2 AST)")</f>
        <v>Leonard 1' Layup (12 PTS) (Diaw 2 AST)</v>
      </c>
      <c r="K2001" s="2" t="str">
        <f>HYPERLINK("https://www.nba.com/game/...-vs-...-0041200311/play-by-play?watchFullGame=true", "SAS vs MEM - Q4 09:40.00")</f>
        <v>SAS vs MEM - Q4 09:40.00</v>
      </c>
      <c r="L2001">
        <v>1</v>
      </c>
      <c r="M2001">
        <v>0</v>
      </c>
      <c r="N2001">
        <v>12</v>
      </c>
      <c r="O2001">
        <v>0</v>
      </c>
      <c r="P2001">
        <v>12</v>
      </c>
    </row>
    <row r="2002" spans="1:16" x14ac:dyDescent="0.25">
      <c r="A2002">
        <v>21400231</v>
      </c>
      <c r="B2002">
        <v>2014</v>
      </c>
      <c r="C2002" t="s">
        <v>32</v>
      </c>
      <c r="D2002" t="s">
        <v>51</v>
      </c>
      <c r="E2002">
        <v>98</v>
      </c>
      <c r="F2002">
        <v>86</v>
      </c>
      <c r="G2002">
        <v>4</v>
      </c>
      <c r="H2002" s="1">
        <v>5.7291666666666663E-3</v>
      </c>
      <c r="I2002" t="s">
        <v>18</v>
      </c>
      <c r="J2002" s="2" t="str">
        <f>HYPERLINK("https://www.nba.com/stats/events?CFID=&amp;CFPARAMS=&amp;GameEventID=409&amp;GameID=0021400231&amp;Season=2014-15&amp;flag=1&amp;title=Leonard%201'%20Reverse%20Layup%20(13%20PTS)%20(Diaw%204%20AST)", "Leonard 1' Reverse Layup (13 PTS) (Diaw 4 AST)")</f>
        <v>Leonard 1' Reverse Layup (13 PTS) (Diaw 4 AST)</v>
      </c>
      <c r="K2002" s="2" t="str">
        <f>HYPERLINK("https://www.nba.com/game/...-vs-...-0021400231/play-by-play?watchFullGame=true", "SAS vs SAC - Q4 08:15.00")</f>
        <v>SAS vs SAC - Q4 08:15.00</v>
      </c>
      <c r="L2002">
        <v>1</v>
      </c>
      <c r="M2002">
        <v>0</v>
      </c>
      <c r="N2002">
        <v>12</v>
      </c>
      <c r="O2002">
        <v>0</v>
      </c>
      <c r="P2002">
        <v>12</v>
      </c>
    </row>
    <row r="2003" spans="1:16" x14ac:dyDescent="0.25">
      <c r="A2003">
        <v>21600336</v>
      </c>
      <c r="B2003">
        <v>2016</v>
      </c>
      <c r="C2003" t="s">
        <v>32</v>
      </c>
      <c r="D2003" t="s">
        <v>49</v>
      </c>
      <c r="E2003">
        <v>4</v>
      </c>
      <c r="F2003">
        <v>4</v>
      </c>
      <c r="G2003">
        <v>1</v>
      </c>
      <c r="H2003" s="1">
        <v>6.6666666666666671E-3</v>
      </c>
      <c r="I2003" t="s">
        <v>18</v>
      </c>
      <c r="J2003" s="2" t="str">
        <f>HYPERLINK("https://www.nba.com/stats/events?CFID=&amp;CFPARAMS=&amp;GameEventID=14&amp;GameID=0021600336&amp;Season=2016-17&amp;flag=1&amp;title=Leonard%201'%20Driving%20Layup%20(2%20PTS)", "Leonard 1' Driving Layup (2 PTS)")</f>
        <v>Leonard 1' Driving Layup (2 PTS)</v>
      </c>
      <c r="K2003" s="2" t="str">
        <f>HYPERLINK("https://www.nba.com/game/...-vs-...-0021600336/play-by-play?watchFullGame=true", "SAS vs CHI - Q1 09:36.00")</f>
        <v>SAS vs CHI - Q1 09:36.00</v>
      </c>
      <c r="L2003">
        <v>1</v>
      </c>
      <c r="M2003">
        <v>0</v>
      </c>
      <c r="N2003">
        <v>13</v>
      </c>
      <c r="O2003">
        <v>0</v>
      </c>
      <c r="P2003">
        <v>13</v>
      </c>
    </row>
    <row r="2004" spans="1:16" x14ac:dyDescent="0.25">
      <c r="A2004">
        <v>41600232</v>
      </c>
      <c r="B2004" t="s">
        <v>30</v>
      </c>
      <c r="C2004" t="s">
        <v>32</v>
      </c>
      <c r="D2004" t="s">
        <v>61</v>
      </c>
      <c r="E2004">
        <v>41</v>
      </c>
      <c r="F2004">
        <v>37</v>
      </c>
      <c r="G2004">
        <v>2</v>
      </c>
      <c r="H2004" s="1">
        <v>6.3194444444444444E-3</v>
      </c>
      <c r="I2004" t="s">
        <v>18</v>
      </c>
      <c r="J2004" s="2" t="str">
        <f>HYPERLINK("https://www.nba.com/stats/events?CFID=&amp;CFPARAMS=&amp;GameEventID=126&amp;GameID=0041600232&amp;Season=2016-17&amp;flag=1&amp;title=Leonard%201'%20Driving%20Finger%20Roll%20Layup%20(12%20PTS)%20(Gasol%202%20AST)", "Leonard 1' Driving Finger Roll Layup (12 PTS) (Gasol 2 AST)")</f>
        <v>Leonard 1' Driving Finger Roll Layup (12 PTS) (Gasol 2 AST)</v>
      </c>
      <c r="K2004" s="2" t="str">
        <f>HYPERLINK("https://www.nba.com/game/...-vs-...-0041600232/play-by-play?watchFullGame=true", "SAS vs HOU - Q2 09:06.00")</f>
        <v>SAS vs HOU - Q2 09:06.00</v>
      </c>
      <c r="L2004">
        <v>1</v>
      </c>
      <c r="M2004">
        <v>0</v>
      </c>
      <c r="N2004">
        <v>13</v>
      </c>
      <c r="O2004">
        <v>0</v>
      </c>
      <c r="P2004">
        <v>13</v>
      </c>
    </row>
    <row r="2005" spans="1:16" x14ac:dyDescent="0.25">
      <c r="A2005">
        <v>21400266</v>
      </c>
      <c r="B2005">
        <v>2014</v>
      </c>
      <c r="C2005" t="s">
        <v>32</v>
      </c>
      <c r="D2005" t="s">
        <v>72</v>
      </c>
      <c r="E2005">
        <v>15</v>
      </c>
      <c r="F2005">
        <v>13</v>
      </c>
      <c r="G2005">
        <v>1</v>
      </c>
      <c r="H2005" s="1">
        <v>1.7476851851851852E-3</v>
      </c>
      <c r="I2005" t="s">
        <v>18</v>
      </c>
      <c r="J2005" s="2" t="str">
        <f>HYPERLINK("https://www.nba.com/stats/events?CFID=&amp;CFPARAMS=&amp;GameEventID=90&amp;GameID=0021400266&amp;Season=2014-15&amp;flag=1&amp;title=Leonard%201'%20Tip%20Shot%20(6%20PTS)", "Leonard 1' Tip Shot (6 PTS)")</f>
        <v>Leonard 1' Tip Shot (6 PTS)</v>
      </c>
      <c r="K2005" s="2" t="str">
        <f>HYPERLINK("https://www.nba.com/game/...-vs-...-0021400266/play-by-play?watchFullGame=true", "SAS vs BKN - Q1 02:31.00")</f>
        <v>SAS vs BKN - Q1 02:31.00</v>
      </c>
      <c r="L2005">
        <v>1</v>
      </c>
      <c r="M2005">
        <v>0</v>
      </c>
      <c r="N2005">
        <v>14</v>
      </c>
      <c r="O2005">
        <v>0</v>
      </c>
      <c r="P2005">
        <v>14</v>
      </c>
    </row>
    <row r="2006" spans="1:16" x14ac:dyDescent="0.25">
      <c r="A2006">
        <v>41200153</v>
      </c>
      <c r="B2006" t="s">
        <v>27</v>
      </c>
      <c r="C2006" t="s">
        <v>32</v>
      </c>
      <c r="D2006" t="s">
        <v>57</v>
      </c>
      <c r="E2006">
        <v>53</v>
      </c>
      <c r="F2006">
        <v>69</v>
      </c>
      <c r="G2006">
        <v>3</v>
      </c>
      <c r="H2006" s="1">
        <v>5.4745370370370373E-3</v>
      </c>
      <c r="I2006" t="s">
        <v>18</v>
      </c>
      <c r="J2006" s="2" t="str">
        <f>HYPERLINK("https://www.nba.com/stats/events?CFID=&amp;CFPARAMS=&amp;GameEventID=291&amp;GameID=0041200153&amp;Season=2012-13&amp;flag=1&amp;title=Leonard%201'%20Layup%20(8%20PTS)%20(Splitter%202%20AST)", "Leonard 1' Layup (8 PTS) (Splitter 2 AST)")</f>
        <v>Leonard 1' Layup (8 PTS) (Splitter 2 AST)</v>
      </c>
      <c r="K2006" s="2" t="str">
        <f>HYPERLINK("https://www.nba.com/game/...-vs-...-0041200153/play-by-play?watchFullGame=true", "SAS vs LAL - Q3 07:53.00")</f>
        <v>SAS vs LAL - Q3 07:53.00</v>
      </c>
      <c r="L2006">
        <v>1</v>
      </c>
      <c r="M2006">
        <v>0</v>
      </c>
      <c r="N2006">
        <v>14</v>
      </c>
      <c r="O2006">
        <v>0</v>
      </c>
      <c r="P2006">
        <v>14</v>
      </c>
    </row>
    <row r="2007" spans="1:16" x14ac:dyDescent="0.25">
      <c r="A2007">
        <v>21301102</v>
      </c>
      <c r="B2007">
        <v>2013</v>
      </c>
      <c r="C2007" t="s">
        <v>32</v>
      </c>
      <c r="D2007" t="s">
        <v>74</v>
      </c>
      <c r="E2007">
        <v>71</v>
      </c>
      <c r="F2007">
        <v>91</v>
      </c>
      <c r="G2007">
        <v>4</v>
      </c>
      <c r="H2007" s="1">
        <v>2.8703703703703703E-3</v>
      </c>
      <c r="I2007" t="s">
        <v>18</v>
      </c>
      <c r="J2007" s="2" t="str">
        <f>HYPERLINK("https://www.nba.com/stats/events?CFID=&amp;CFPARAMS=&amp;GameEventID=438&amp;GameID=0021301102&amp;Season=2013-14&amp;flag=1&amp;title=Leonard%201'%20Slam%20Dunk%20(13%20PTS)%20(Parker%204%20AST)", "Leonard 1' Slam Dunk (13 PTS) (Parker 4 AST)")</f>
        <v>Leonard 1' Slam Dunk (13 PTS) (Parker 4 AST)</v>
      </c>
      <c r="K2007" s="2" t="str">
        <f>HYPERLINK("https://www.nba.com/game/...-vs-...-0021301102/play-by-play?watchFullGame=true", "SAS vs IND - Q4 04:08.00")</f>
        <v>SAS vs IND - Q4 04:08.00</v>
      </c>
      <c r="L2007">
        <v>1</v>
      </c>
      <c r="M2007">
        <v>0</v>
      </c>
      <c r="N2007">
        <v>14</v>
      </c>
      <c r="O2007">
        <v>0</v>
      </c>
      <c r="P2007">
        <v>14</v>
      </c>
    </row>
    <row r="2008" spans="1:16" x14ac:dyDescent="0.25">
      <c r="A2008">
        <v>21400249</v>
      </c>
      <c r="B2008">
        <v>2014</v>
      </c>
      <c r="C2008" t="s">
        <v>32</v>
      </c>
      <c r="D2008" t="s">
        <v>49</v>
      </c>
      <c r="E2008">
        <v>96</v>
      </c>
      <c r="F2008">
        <v>103</v>
      </c>
      <c r="G2008">
        <v>4</v>
      </c>
      <c r="H2008" s="1">
        <v>4.9421296296296301E-4</v>
      </c>
      <c r="I2008" t="s">
        <v>18</v>
      </c>
      <c r="J2008" s="2" t="str">
        <f>HYPERLINK("https://www.nba.com/stats/events?CFID=&amp;CFPARAMS=&amp;GameEventID=547&amp;GameID=0021400249&amp;Season=2014-15&amp;flag=1&amp;title=Leonard%202'%20Driving%20Layup%20(24%20PTS)", "Leonard 2' Driving Layup (24 PTS)")</f>
        <v>Leonard 2' Driving Layup (24 PTS)</v>
      </c>
      <c r="K2008" s="2" t="str">
        <f>HYPERLINK("https://www.nba.com/game/...-vs-...-0021400249/play-by-play?watchFullGame=true", "SAS vs PHI - Q4 00:42.70")</f>
        <v>SAS vs PHI - Q4 00:42.70</v>
      </c>
      <c r="L2008">
        <v>2</v>
      </c>
      <c r="M2008">
        <v>0</v>
      </c>
      <c r="N2008">
        <v>15</v>
      </c>
      <c r="O2008">
        <v>0</v>
      </c>
      <c r="P2008">
        <v>15</v>
      </c>
    </row>
    <row r="2009" spans="1:16" x14ac:dyDescent="0.25">
      <c r="A2009">
        <v>21600762</v>
      </c>
      <c r="B2009">
        <v>2016</v>
      </c>
      <c r="C2009" t="s">
        <v>32</v>
      </c>
      <c r="D2009" t="s">
        <v>75</v>
      </c>
      <c r="E2009">
        <v>82</v>
      </c>
      <c r="F2009">
        <v>59</v>
      </c>
      <c r="G2009">
        <v>3</v>
      </c>
      <c r="H2009" s="1">
        <v>2.3842592592592591E-3</v>
      </c>
      <c r="I2009" t="s">
        <v>18</v>
      </c>
      <c r="J2009" s="2" t="str">
        <f>HYPERLINK("https://www.nba.com/stats/events?CFID=&amp;CFPARAMS=&amp;GameEventID=353&amp;GameID=0021600762&amp;Season=2016-17&amp;flag=1&amp;title=Leonard%202'%20Cutting%20Layup%20Shot%20(17%20PTS)%20(Lee%204%20AST)", "Leonard 2' Cutting Layup Shot (17 PTS) (Lee 4 AST)")</f>
        <v>Leonard 2' Cutting Layup Shot (17 PTS) (Lee 4 AST)</v>
      </c>
      <c r="K2009" s="2" t="str">
        <f>HYPERLINK("https://www.nba.com/game/...-vs-...-0021600762/play-by-play?watchFullGame=true", "SAS vs DEN - Q3 03:26.00")</f>
        <v>SAS vs DEN - Q3 03:26.00</v>
      </c>
      <c r="L2009">
        <v>2</v>
      </c>
      <c r="M2009">
        <v>0</v>
      </c>
      <c r="N2009">
        <v>16</v>
      </c>
      <c r="O2009">
        <v>0</v>
      </c>
      <c r="P2009">
        <v>16</v>
      </c>
    </row>
    <row r="2010" spans="1:16" x14ac:dyDescent="0.25">
      <c r="A2010">
        <v>41800405</v>
      </c>
      <c r="B2010" t="s">
        <v>20</v>
      </c>
      <c r="C2010" t="s">
        <v>32</v>
      </c>
      <c r="D2010" t="s">
        <v>59</v>
      </c>
      <c r="E2010">
        <v>8</v>
      </c>
      <c r="F2010">
        <v>11</v>
      </c>
      <c r="G2010">
        <v>1</v>
      </c>
      <c r="H2010" s="1">
        <v>6.2384259259259259E-3</v>
      </c>
      <c r="I2010" t="s">
        <v>21</v>
      </c>
      <c r="J2010" s="2" t="str">
        <f>HYPERLINK("https://www.nba.com/stats/events?CFID=&amp;CFPARAMS=&amp;GameEventID=39&amp;GameID=0041800405&amp;Season=2018-19&amp;flag=1&amp;title=Leonard%202'%20Putback%20Layup%20(2%20PTS)", "Leonard 2' Putback Layup (2 PTS)")</f>
        <v>Leonard 2' Putback Layup (2 PTS)</v>
      </c>
      <c r="K2010" s="2" t="str">
        <f>HYPERLINK("https://www.nba.com/game/...-vs-...-0041800405/play-by-play?watchFullGame=true", "TOR vs GSW - Q1 08:59.00")</f>
        <v>TOR vs GSW - Q1 08:59.00</v>
      </c>
      <c r="L2010">
        <v>2</v>
      </c>
      <c r="M2010">
        <v>0</v>
      </c>
      <c r="N2010">
        <v>18</v>
      </c>
      <c r="O2010">
        <v>0</v>
      </c>
      <c r="P2010">
        <v>18</v>
      </c>
    </row>
    <row r="2011" spans="1:16" x14ac:dyDescent="0.25">
      <c r="A2011">
        <v>21500928</v>
      </c>
      <c r="B2011">
        <v>2015</v>
      </c>
      <c r="C2011" t="s">
        <v>32</v>
      </c>
      <c r="D2011" t="s">
        <v>61</v>
      </c>
      <c r="E2011">
        <v>38</v>
      </c>
      <c r="F2011">
        <v>28</v>
      </c>
      <c r="G2011">
        <v>2</v>
      </c>
      <c r="H2011" s="1">
        <v>5.9490740740740745E-3</v>
      </c>
      <c r="I2011" t="s">
        <v>18</v>
      </c>
      <c r="J2011" s="2" t="str">
        <f>HYPERLINK("https://www.nba.com/stats/events?CFID=&amp;CFPARAMS=&amp;GameEventID=153&amp;GameID=0021500928&amp;Season=2015-16&amp;flag=1&amp;title=Leonard%202'%20Driving%20Finger%20Roll%20Layup%20(2%20PTS)", "Leonard 2' Driving Finger Roll Layup (2 PTS)")</f>
        <v>Leonard 2' Driving Finger Roll Layup (2 PTS)</v>
      </c>
      <c r="K2011" s="2" t="str">
        <f>HYPERLINK("https://www.nba.com/game/...-vs-...-0021500928/play-by-play?watchFullGame=true", "SAS vs SAC - Q2 08:34.00")</f>
        <v>SAS vs SAC - Q2 08:34.00</v>
      </c>
      <c r="L2011">
        <v>2</v>
      </c>
      <c r="M2011">
        <v>0</v>
      </c>
      <c r="N2011">
        <v>18</v>
      </c>
      <c r="O2011">
        <v>0</v>
      </c>
      <c r="P2011">
        <v>18</v>
      </c>
    </row>
    <row r="2012" spans="1:16" x14ac:dyDescent="0.25">
      <c r="A2012">
        <v>41200154</v>
      </c>
      <c r="B2012" t="s">
        <v>27</v>
      </c>
      <c r="C2012" t="s">
        <v>32</v>
      </c>
      <c r="D2012" t="s">
        <v>57</v>
      </c>
      <c r="E2012">
        <v>49</v>
      </c>
      <c r="F2012">
        <v>69</v>
      </c>
      <c r="G2012">
        <v>3</v>
      </c>
      <c r="H2012" s="1">
        <v>2.638888888888889E-3</v>
      </c>
      <c r="I2012" t="s">
        <v>18</v>
      </c>
      <c r="J2012" s="2" t="str">
        <f>HYPERLINK("https://www.nba.com/stats/events?CFID=&amp;CFPARAMS=&amp;GameEventID=329&amp;GameID=0041200154&amp;Season=2012-13&amp;flag=1&amp;title=Leonard%202'%20Layup%20(9%20PTS)", "Leonard 2' Layup (9 PTS)")</f>
        <v>Leonard 2' Layup (9 PTS)</v>
      </c>
      <c r="K2012" s="2" t="str">
        <f>HYPERLINK("https://www.nba.com/game/...-vs-...-0041200154/play-by-play?watchFullGame=true", "SAS vs LAL - Q3 03:48.00")</f>
        <v>SAS vs LAL - Q3 03:48.00</v>
      </c>
      <c r="L2012">
        <v>2</v>
      </c>
      <c r="M2012">
        <v>0</v>
      </c>
      <c r="N2012">
        <v>19</v>
      </c>
      <c r="O2012">
        <v>0</v>
      </c>
      <c r="P2012">
        <v>19</v>
      </c>
    </row>
    <row r="2013" spans="1:16" x14ac:dyDescent="0.25">
      <c r="A2013">
        <v>21400249</v>
      </c>
      <c r="B2013">
        <v>2014</v>
      </c>
      <c r="C2013" t="s">
        <v>32</v>
      </c>
      <c r="D2013" t="s">
        <v>57</v>
      </c>
      <c r="E2013">
        <v>53</v>
      </c>
      <c r="F2013">
        <v>68</v>
      </c>
      <c r="G2013">
        <v>3</v>
      </c>
      <c r="H2013" s="1">
        <v>5.6481481481481478E-3</v>
      </c>
      <c r="I2013" t="s">
        <v>18</v>
      </c>
      <c r="J2013" s="2" t="str">
        <f>HYPERLINK("https://www.nba.com/stats/events?CFID=&amp;CFPARAMS=&amp;GameEventID=299&amp;GameID=0021400249&amp;Season=2014-15&amp;flag=1&amp;title=Leonard%202'%20Layup%20(19%20PTS)", "Leonard 2' Layup (19 PTS)")</f>
        <v>Leonard 2' Layup (19 PTS)</v>
      </c>
      <c r="K2013" s="2" t="str">
        <f>HYPERLINK("https://www.nba.com/game/...-vs-...-0021400249/play-by-play?watchFullGame=true", "SAS vs PHI - Q3 08:08.00")</f>
        <v>SAS vs PHI - Q3 08:08.00</v>
      </c>
      <c r="L2013">
        <v>2</v>
      </c>
      <c r="M2013">
        <v>0</v>
      </c>
      <c r="N2013">
        <v>22</v>
      </c>
      <c r="O2013">
        <v>0</v>
      </c>
      <c r="P2013">
        <v>22</v>
      </c>
    </row>
    <row r="2014" spans="1:16" x14ac:dyDescent="0.25">
      <c r="A2014">
        <v>41800113</v>
      </c>
      <c r="B2014" t="s">
        <v>20</v>
      </c>
      <c r="C2014" t="s">
        <v>32</v>
      </c>
      <c r="D2014" t="s">
        <v>56</v>
      </c>
      <c r="E2014">
        <v>45</v>
      </c>
      <c r="F2014">
        <v>52</v>
      </c>
      <c r="G2014">
        <v>3</v>
      </c>
      <c r="H2014" s="1">
        <v>7.2916666666666668E-3</v>
      </c>
      <c r="I2014" t="s">
        <v>21</v>
      </c>
      <c r="J2014" s="2" t="str">
        <f>HYPERLINK("https://www.nba.com/stats/events?CFID=&amp;CFPARAMS=&amp;GameEventID=332&amp;GameID=0041800113&amp;Season=2018-19&amp;flag=1&amp;title=Leonard%203'%20Running%20Layup%20(10%20PTS)", "Leonard 3' Running Layup (10 PTS)")</f>
        <v>Leonard 3' Running Layup (10 PTS)</v>
      </c>
      <c r="K2014" s="2" t="str">
        <f>HYPERLINK("https://www.nba.com/game/...-vs-...-0041800113/play-by-play?watchFullGame=true", "TOR vs ORL - Q3 10:30.00")</f>
        <v>TOR vs ORL - Q3 10:30.00</v>
      </c>
      <c r="L2014">
        <v>3</v>
      </c>
      <c r="M2014">
        <v>0</v>
      </c>
      <c r="N2014">
        <v>26</v>
      </c>
      <c r="O2014">
        <v>0</v>
      </c>
      <c r="P2014">
        <v>26</v>
      </c>
    </row>
    <row r="2015" spans="1:16" x14ac:dyDescent="0.25">
      <c r="A2015">
        <v>21301017</v>
      </c>
      <c r="B2015">
        <v>2013</v>
      </c>
      <c r="C2015" t="s">
        <v>32</v>
      </c>
      <c r="D2015" t="s">
        <v>49</v>
      </c>
      <c r="E2015">
        <v>63</v>
      </c>
      <c r="F2015">
        <v>65</v>
      </c>
      <c r="G2015">
        <v>3</v>
      </c>
      <c r="H2015" s="1">
        <v>6.0069444444444441E-3</v>
      </c>
      <c r="I2015" t="s">
        <v>18</v>
      </c>
      <c r="J2015" s="2" t="str">
        <f>HYPERLINK("https://www.nba.com/stats/events?CFID=&amp;CFPARAMS=&amp;GameEventID=274&amp;GameID=0021301017&amp;Season=2013-14&amp;flag=1&amp;title=Leonard%203'%20Driving%20Layup%20(11%20PTS)%20(Green%202%20AST)", "Leonard 3' Driving Layup (11 PTS) (Green 2 AST)")</f>
        <v>Leonard 3' Driving Layup (11 PTS) (Green 2 AST)</v>
      </c>
      <c r="K2015" s="2" t="str">
        <f>HYPERLINK("https://www.nba.com/game/...-vs-...-0021301017/play-by-play?watchFullGame=true", "SAS vs LAL - Q3 08:39.00")</f>
        <v>SAS vs LAL - Q3 08:39.00</v>
      </c>
      <c r="L2015">
        <v>3</v>
      </c>
      <c r="M2015">
        <v>0</v>
      </c>
      <c r="N2015">
        <v>33</v>
      </c>
      <c r="O2015">
        <v>0</v>
      </c>
      <c r="P2015">
        <v>33</v>
      </c>
    </row>
    <row r="2016" spans="1:16" x14ac:dyDescent="0.25">
      <c r="A2016">
        <v>21500784</v>
      </c>
      <c r="B2016">
        <v>2015</v>
      </c>
      <c r="C2016" t="s">
        <v>32</v>
      </c>
      <c r="D2016" t="s">
        <v>40</v>
      </c>
      <c r="E2016">
        <v>84</v>
      </c>
      <c r="F2016">
        <v>100</v>
      </c>
      <c r="G2016">
        <v>4</v>
      </c>
      <c r="H2016" s="1">
        <v>5.3125000000000004E-3</v>
      </c>
      <c r="I2016" t="s">
        <v>18</v>
      </c>
      <c r="J2016" s="2" t="str">
        <f>HYPERLINK("https://www.nba.com/stats/events?CFID=&amp;CFPARAMS=&amp;GameEventID=442&amp;GameID=0021500784&amp;Season=2015-16&amp;flag=1&amp;title=Leonard%206'%20Hook%20Shot%20(21%20PTS)", "Leonard 6' Hook Shot (21 PTS)")</f>
        <v>Leonard 6' Hook Shot (21 PTS)</v>
      </c>
      <c r="K2016" s="2" t="str">
        <f>HYPERLINK("https://www.nba.com/game/...-vs-...-0021500784/play-by-play?watchFullGame=true", "SAS vs MIA - Q4 07:39.00")</f>
        <v>SAS vs MIA - Q4 07:39.00</v>
      </c>
      <c r="L2016">
        <v>6</v>
      </c>
      <c r="M2016">
        <v>0</v>
      </c>
      <c r="N2016">
        <v>62</v>
      </c>
      <c r="O2016">
        <v>0</v>
      </c>
      <c r="P2016">
        <v>62</v>
      </c>
    </row>
    <row r="2017" spans="1:16" x14ac:dyDescent="0.25">
      <c r="A2017">
        <v>21300451</v>
      </c>
      <c r="B2017">
        <v>2013</v>
      </c>
      <c r="C2017" t="s">
        <v>32</v>
      </c>
      <c r="D2017" t="s">
        <v>19</v>
      </c>
      <c r="E2017">
        <v>59</v>
      </c>
      <c r="F2017">
        <v>51</v>
      </c>
      <c r="G2017">
        <v>3</v>
      </c>
      <c r="H2017" s="1">
        <v>7.789351851851852E-3</v>
      </c>
      <c r="I2017" t="s">
        <v>18</v>
      </c>
      <c r="J2017" s="2" t="str">
        <f>HYPERLINK("https://www.nba.com/stats/events?CFID=&amp;CFPARAMS=&amp;GameEventID=284&amp;GameID=0021300451&amp;Season=2013-14&amp;flag=1&amp;title=Leonard%208'%20Jump%20Shot%20(2%20PTS)%20(Duncan%202%20AST)", "Leonard 8' Jump Shot (2 PTS) (Duncan 2 AST)")</f>
        <v>Leonard 8' Jump Shot (2 PTS) (Duncan 2 AST)</v>
      </c>
      <c r="K2017" s="2" t="str">
        <f>HYPERLINK("https://www.nba.com/game/...-vs-...-0021300451/play-by-play?watchFullGame=true", "SAS vs SAC - Q3 11:13.00")</f>
        <v>SAS vs SAC - Q3 11:13.00</v>
      </c>
      <c r="L2017">
        <v>8</v>
      </c>
      <c r="M2017">
        <v>0</v>
      </c>
      <c r="N2017">
        <v>78</v>
      </c>
      <c r="O2017">
        <v>0</v>
      </c>
      <c r="P2017">
        <v>78</v>
      </c>
    </row>
    <row r="2018" spans="1:16" x14ac:dyDescent="0.25">
      <c r="A2018">
        <v>21400875</v>
      </c>
      <c r="B2018">
        <v>2014</v>
      </c>
      <c r="C2018" t="s">
        <v>32</v>
      </c>
      <c r="D2018" t="s">
        <v>19</v>
      </c>
      <c r="E2018">
        <v>7</v>
      </c>
      <c r="F2018">
        <v>16</v>
      </c>
      <c r="G2018">
        <v>1</v>
      </c>
      <c r="H2018" s="1">
        <v>3.4375E-3</v>
      </c>
      <c r="I2018" t="s">
        <v>18</v>
      </c>
      <c r="J2018" s="2" t="str">
        <f>HYPERLINK("https://www.nba.com/stats/events?CFID=&amp;CFPARAMS=&amp;GameEventID=70&amp;GameID=0021400875&amp;Season=2014-15&amp;flag=1&amp;title=Leonard%208'%20Jump%20Shot%20(4%20PTS)", "Leonard 8' Jump Shot (4 PTS)")</f>
        <v>Leonard 8' Jump Shot (4 PTS)</v>
      </c>
      <c r="K2018" s="2" t="str">
        <f>HYPERLINK("https://www.nba.com/game/...-vs-...-0021400875/play-by-play?watchFullGame=true", "SAS vs PHX - Q1 04:57.00")</f>
        <v>SAS vs PHX - Q1 04:57.00</v>
      </c>
      <c r="L2018">
        <v>8</v>
      </c>
      <c r="M2018">
        <v>0</v>
      </c>
      <c r="N2018">
        <v>80</v>
      </c>
      <c r="O2018">
        <v>0</v>
      </c>
      <c r="P2018">
        <v>80</v>
      </c>
    </row>
    <row r="2019" spans="1:16" x14ac:dyDescent="0.25">
      <c r="A2019">
        <v>21500860</v>
      </c>
      <c r="B2019">
        <v>2015</v>
      </c>
      <c r="C2019" t="s">
        <v>32</v>
      </c>
      <c r="D2019" t="s">
        <v>34</v>
      </c>
      <c r="E2019">
        <v>31</v>
      </c>
      <c r="F2019">
        <v>31</v>
      </c>
      <c r="G2019">
        <v>2</v>
      </c>
      <c r="H2019" s="1">
        <v>2.7314814814814814E-3</v>
      </c>
      <c r="I2019" t="s">
        <v>18</v>
      </c>
      <c r="J2019" s="2" t="str">
        <f>HYPERLINK("https://www.nba.com/stats/events?CFID=&amp;CFPARAMS=&amp;GameEventID=184&amp;GameID=0021500860&amp;Season=2015-16&amp;flag=1&amp;title=Leonard%208'%20Turnaround%20Fadeaway%20(13%20PTS)", "Leonard 8' Turnaround Fadeaway (13 PTS)")</f>
        <v>Leonard 8' Turnaround Fadeaway (13 PTS)</v>
      </c>
      <c r="K2019" s="2" t="str">
        <f>HYPERLINK("https://www.nba.com/game/...-vs-...-0021500860/play-by-play?watchFullGame=true", "SAS vs UTA - Q2 03:56.00")</f>
        <v>SAS vs UTA - Q2 03:56.00</v>
      </c>
      <c r="L2019">
        <v>8</v>
      </c>
      <c r="M2019">
        <v>0</v>
      </c>
      <c r="N2019">
        <v>80</v>
      </c>
      <c r="O2019">
        <v>0</v>
      </c>
      <c r="P2019">
        <v>80</v>
      </c>
    </row>
    <row r="2020" spans="1:16" x14ac:dyDescent="0.25">
      <c r="A2020">
        <v>21300589</v>
      </c>
      <c r="B2020">
        <v>2013</v>
      </c>
      <c r="C2020" t="s">
        <v>32</v>
      </c>
      <c r="D2020" t="s">
        <v>19</v>
      </c>
      <c r="E2020">
        <v>18</v>
      </c>
      <c r="F2020">
        <v>13</v>
      </c>
      <c r="G2020">
        <v>1</v>
      </c>
      <c r="H2020" s="1">
        <v>3.472222222222222E-3</v>
      </c>
      <c r="I2020" t="s">
        <v>18</v>
      </c>
      <c r="J2020" s="2" t="str">
        <f>HYPERLINK("https://www.nba.com/stats/events?CFID=&amp;CFPARAMS=&amp;GameEventID=52&amp;GameID=0021300589&amp;Season=2013-14&amp;flag=1&amp;title=Leonard%208'%20Jump%20Shot%20(5%20PTS)", "Leonard 8' Jump Shot (5 PTS)")</f>
        <v>Leonard 8' Jump Shot (5 PTS)</v>
      </c>
      <c r="K2020" s="2" t="str">
        <f>HYPERLINK("https://www.nba.com/game/...-vs-...-0021300589/play-by-play?watchFullGame=true", "SAS vs POR - Q1 05:00.00")</f>
        <v>SAS vs POR - Q1 05:00.00</v>
      </c>
      <c r="L2020">
        <v>8</v>
      </c>
      <c r="M2020">
        <v>0</v>
      </c>
      <c r="N2020">
        <v>83</v>
      </c>
      <c r="O2020">
        <v>0</v>
      </c>
      <c r="P2020">
        <v>83</v>
      </c>
    </row>
    <row r="2021" spans="1:16" x14ac:dyDescent="0.25">
      <c r="A2021">
        <v>41400167</v>
      </c>
      <c r="B2021" t="s">
        <v>28</v>
      </c>
      <c r="C2021" t="s">
        <v>32</v>
      </c>
      <c r="D2021" t="s">
        <v>24</v>
      </c>
      <c r="E2021">
        <v>76</v>
      </c>
      <c r="F2021">
        <v>74</v>
      </c>
      <c r="G2021">
        <v>3</v>
      </c>
      <c r="H2021" s="1">
        <v>1.2847222222222223E-3</v>
      </c>
      <c r="I2021" t="s">
        <v>18</v>
      </c>
      <c r="J2021" s="2" t="str">
        <f>HYPERLINK("https://www.nba.com/stats/events?CFID=&amp;CFPARAMS=&amp;GameEventID=370&amp;GameID=0041400167&amp;Season=2014-15&amp;flag=1&amp;title=Leonard%209'%20Turnaround%20Jump%20Shot%20(11%20PTS)", "Leonard 9' Turnaround Jump Shot (11 PTS)")</f>
        <v>Leonard 9' Turnaround Jump Shot (11 PTS)</v>
      </c>
      <c r="K2021" s="2" t="str">
        <f>HYPERLINK("https://www.nba.com/game/...-vs-...-0041400167/play-by-play?watchFullGame=true", "SAS vs LAC - Q3 01:51.00")</f>
        <v>SAS vs LAC - Q3 01:51.00</v>
      </c>
      <c r="L2021">
        <v>9</v>
      </c>
      <c r="M2021">
        <v>0</v>
      </c>
      <c r="N2021">
        <v>86</v>
      </c>
      <c r="O2021">
        <v>0</v>
      </c>
      <c r="P2021">
        <v>86</v>
      </c>
    </row>
    <row r="2022" spans="1:16" x14ac:dyDescent="0.25">
      <c r="A2022">
        <v>41300143</v>
      </c>
      <c r="B2022" t="s">
        <v>26</v>
      </c>
      <c r="C2022" t="s">
        <v>32</v>
      </c>
      <c r="D2022" t="s">
        <v>43</v>
      </c>
      <c r="E2022">
        <v>81</v>
      </c>
      <c r="F2022">
        <v>82</v>
      </c>
      <c r="G2022">
        <v>4</v>
      </c>
      <c r="H2022" s="1">
        <v>6.7476851851851856E-3</v>
      </c>
      <c r="I2022" t="s">
        <v>18</v>
      </c>
      <c r="J2022" s="2" t="str">
        <f>HYPERLINK("https://www.nba.com/stats/events?CFID=&amp;CFPARAMS=&amp;GameEventID=401&amp;GameID=0041300143&amp;Season=2013-14&amp;flag=1&amp;title=Leonard%209'%20Turnaround%20Hook%20Shot%20(11%20PTS)", "Leonard 9' Turnaround Hook Shot (11 PTS)")</f>
        <v>Leonard 9' Turnaround Hook Shot (11 PTS)</v>
      </c>
      <c r="K2022" s="2" t="str">
        <f>HYPERLINK("https://www.nba.com/game/...-vs-...-0041300143/play-by-play?watchFullGame=true", "SAS vs DAL - Q4 09:43.00")</f>
        <v>SAS vs DAL - Q4 09:43.00</v>
      </c>
      <c r="L2022">
        <v>9</v>
      </c>
      <c r="M2022">
        <v>0</v>
      </c>
      <c r="N2022">
        <v>93</v>
      </c>
      <c r="O2022">
        <v>0</v>
      </c>
      <c r="P2022">
        <v>93</v>
      </c>
    </row>
    <row r="2023" spans="1:16" x14ac:dyDescent="0.25">
      <c r="A2023">
        <v>21600801</v>
      </c>
      <c r="B2023">
        <v>2016</v>
      </c>
      <c r="C2023" t="s">
        <v>32</v>
      </c>
      <c r="D2023" t="s">
        <v>19</v>
      </c>
      <c r="E2023">
        <v>55</v>
      </c>
      <c r="F2023">
        <v>72</v>
      </c>
      <c r="G2023">
        <v>3</v>
      </c>
      <c r="H2023" s="1">
        <v>3.2523148148148147E-3</v>
      </c>
      <c r="I2023" t="s">
        <v>18</v>
      </c>
      <c r="J2023" s="2" t="str">
        <f>HYPERLINK("https://www.nba.com/stats/events?CFID=&amp;CFPARAMS=&amp;GameEventID=297&amp;GameID=0021600801&amp;Season=2016-17&amp;flag=1&amp;title=Leonard%2012'%20Jump%20Shot%20(23%20PTS)%20(Lee%202%20AST)", "Leonard 12' Jump Shot (23 PTS) (Lee 2 AST)")</f>
        <v>Leonard 12' Jump Shot (23 PTS) (Lee 2 AST)</v>
      </c>
      <c r="K2023" s="2" t="str">
        <f>HYPERLINK("https://www.nba.com/game/...-vs-...-0021600801/play-by-play?watchFullGame=true", "SAS vs DET - Q3 04:41.00")</f>
        <v>SAS vs DET - Q3 04:41.00</v>
      </c>
      <c r="L2023">
        <v>12</v>
      </c>
      <c r="M2023">
        <v>0</v>
      </c>
      <c r="N2023">
        <v>121</v>
      </c>
      <c r="O2023">
        <v>0</v>
      </c>
      <c r="P2023">
        <v>121</v>
      </c>
    </row>
    <row r="2024" spans="1:16" x14ac:dyDescent="0.25">
      <c r="A2024">
        <v>21600625</v>
      </c>
      <c r="B2024">
        <v>2016</v>
      </c>
      <c r="C2024" t="s">
        <v>32</v>
      </c>
      <c r="D2024" t="s">
        <v>29</v>
      </c>
      <c r="E2024">
        <v>54</v>
      </c>
      <c r="F2024">
        <v>59</v>
      </c>
      <c r="G2024">
        <v>2</v>
      </c>
      <c r="H2024" s="1">
        <v>2.3032407407407407E-3</v>
      </c>
      <c r="I2024" t="s">
        <v>18</v>
      </c>
      <c r="J2024" s="2" t="str">
        <f>HYPERLINK("https://www.nba.com/stats/events?CFID=&amp;CFPARAMS=&amp;GameEventID=251&amp;GameID=0021600625&amp;Season=2016-17&amp;flag=1&amp;title=Leonard%2016'%20Pullup%20Jump%20Shot%20(10%20PTS)", "Leonard 16' Pullup Jump Shot (10 PTS)")</f>
        <v>Leonard 16' Pullup Jump Shot (10 PTS)</v>
      </c>
      <c r="K2024" s="2" t="str">
        <f>HYPERLINK("https://www.nba.com/game/...-vs-...-0021600625/play-by-play?watchFullGame=true", "SAS vs MIN - Q2 03:19.00")</f>
        <v>SAS vs MIN - Q2 03:19.00</v>
      </c>
      <c r="L2024">
        <v>16</v>
      </c>
      <c r="M2024">
        <v>0</v>
      </c>
      <c r="N2024">
        <v>159</v>
      </c>
      <c r="O2024">
        <v>0</v>
      </c>
      <c r="P2024">
        <v>159</v>
      </c>
    </row>
    <row r="2025" spans="1:16" x14ac:dyDescent="0.25">
      <c r="A2025">
        <v>21400739</v>
      </c>
      <c r="B2025">
        <v>2014</v>
      </c>
      <c r="C2025" t="s">
        <v>32</v>
      </c>
      <c r="D2025" t="s">
        <v>31</v>
      </c>
      <c r="E2025">
        <v>5</v>
      </c>
      <c r="F2025">
        <v>3</v>
      </c>
      <c r="G2025">
        <v>1</v>
      </c>
      <c r="H2025" s="1">
        <v>7.2569444444444443E-3</v>
      </c>
      <c r="I2025" t="s">
        <v>18</v>
      </c>
      <c r="J2025" s="2" t="str">
        <f>HYPERLINK("https://www.nba.com/stats/events?CFID=&amp;CFPARAMS=&amp;GameEventID=12&amp;GameID=0021400739&amp;Season=2014-15&amp;flag=1&amp;title=Leonard%2017'%20Step%20Back%20Jump%20Shot%20(2%20PTS)%20(Parker%201%20AST)", "Leonard 17' Step Back Jump Shot (2 PTS) (Parker 1 AST)")</f>
        <v>Leonard 17' Step Back Jump Shot (2 PTS) (Parker 1 AST)</v>
      </c>
      <c r="K2025" s="2" t="str">
        <f>HYPERLINK("https://www.nba.com/game/...-vs-...-0021400739/play-by-play?watchFullGame=true", "SAS vs ORL - Q1 10:27.00")</f>
        <v>SAS vs ORL - Q1 10:27.00</v>
      </c>
      <c r="L2025">
        <v>17</v>
      </c>
      <c r="M2025">
        <v>0</v>
      </c>
      <c r="N2025">
        <v>167</v>
      </c>
      <c r="O2025">
        <v>0</v>
      </c>
      <c r="P2025">
        <v>167</v>
      </c>
    </row>
    <row r="2026" spans="1:16" x14ac:dyDescent="0.25">
      <c r="A2026">
        <v>41800215</v>
      </c>
      <c r="B2026" t="s">
        <v>20</v>
      </c>
      <c r="C2026" t="s">
        <v>32</v>
      </c>
      <c r="D2026" t="s">
        <v>29</v>
      </c>
      <c r="E2026">
        <v>66</v>
      </c>
      <c r="F2026">
        <v>48</v>
      </c>
      <c r="G2026">
        <v>3</v>
      </c>
      <c r="H2026" s="1">
        <v>6.9907407407407409E-3</v>
      </c>
      <c r="I2026" t="s">
        <v>21</v>
      </c>
      <c r="J2026" s="2" t="str">
        <f>HYPERLINK("https://www.nba.com/stats/events?CFID=&amp;CFPARAMS=&amp;GameEventID=379&amp;GameID=0041800215&amp;Season=2018-19&amp;flag=1&amp;title=Leonard%2023'%20Pullup%20Jump%20Shot%20(15%20PTS)%20(Siakam%203%20AST)", "Leonard 23' Pullup Jump Shot (15 PTS) (Siakam 3 AST)")</f>
        <v>Leonard 23' Pullup Jump Shot (15 PTS) (Siakam 3 AST)</v>
      </c>
      <c r="K2026" s="2" t="str">
        <f>HYPERLINK("https://www.nba.com/game/...-vs-...-0041800215/play-by-play?watchFullGame=true", "TOR vs PHI - Q3 10:04.00")</f>
        <v>TOR vs PHI - Q3 10:04.00</v>
      </c>
      <c r="L2026">
        <v>23</v>
      </c>
      <c r="M2026">
        <v>0</v>
      </c>
      <c r="N2026">
        <v>225</v>
      </c>
      <c r="O2026">
        <v>0</v>
      </c>
      <c r="P2026">
        <v>225</v>
      </c>
    </row>
    <row r="2027" spans="1:16" x14ac:dyDescent="0.25">
      <c r="A2027">
        <v>21500860</v>
      </c>
      <c r="B2027">
        <v>2015</v>
      </c>
      <c r="C2027" t="s">
        <v>16</v>
      </c>
      <c r="D2027" t="s">
        <v>19</v>
      </c>
      <c r="E2027">
        <v>68</v>
      </c>
      <c r="F2027">
        <v>81</v>
      </c>
      <c r="G2027">
        <v>4</v>
      </c>
      <c r="H2027" s="1">
        <v>4.6412037037037038E-3</v>
      </c>
      <c r="I2027" t="s">
        <v>18</v>
      </c>
      <c r="J2027" s="2" t="str">
        <f>HYPERLINK("https://www.nba.com/stats/events?CFID=&amp;CFPARAMS=&amp;GameEventID=381&amp;GameID=0021500860&amp;Season=2015-16&amp;flag=1&amp;title=Leonard%2024'%203PT%20Jump%20Shot%20(27%20PTS)%20(Aldridge%202%20AST)", "Leonard 24' 3PT Jump Shot (27 PTS) (Aldridge 2 AST)")</f>
        <v>Leonard 24' 3PT Jump Shot (27 PTS) (Aldridge 2 AST)</v>
      </c>
      <c r="K2027" s="2" t="str">
        <f>HYPERLINK("https://www.nba.com/game/...-vs-...-0021500860/play-by-play?watchFullGame=true", "SAS vs UTA - Q4 06:41.00")</f>
        <v>SAS vs UTA - Q4 06:41.00</v>
      </c>
      <c r="L2027">
        <v>24</v>
      </c>
      <c r="M2027">
        <v>0</v>
      </c>
      <c r="N2027">
        <v>242</v>
      </c>
      <c r="O2027">
        <v>0</v>
      </c>
      <c r="P2027">
        <v>242</v>
      </c>
    </row>
    <row r="2028" spans="1:16" x14ac:dyDescent="0.25">
      <c r="A2028">
        <v>21300932</v>
      </c>
      <c r="B2028">
        <v>2013</v>
      </c>
      <c r="C2028" t="s">
        <v>16</v>
      </c>
      <c r="D2028" t="s">
        <v>19</v>
      </c>
      <c r="E2028">
        <v>42</v>
      </c>
      <c r="F2028">
        <v>41</v>
      </c>
      <c r="G2028">
        <v>2</v>
      </c>
      <c r="H2028" s="1">
        <v>5.0115740740740737E-3</v>
      </c>
      <c r="I2028" t="s">
        <v>18</v>
      </c>
      <c r="J2028" s="2" t="str">
        <f>HYPERLINK("https://www.nba.com/stats/events?CFID=&amp;CFPARAMS=&amp;GameEventID=158&amp;GameID=0021300932&amp;Season=2013-14&amp;flag=1&amp;title=Leonard%2024'%203PT%20Jump%20Shot%20(8%20PTS)", "Leonard 24' 3PT Jump Shot (8 PTS)")</f>
        <v>Leonard 24' 3PT Jump Shot (8 PTS)</v>
      </c>
      <c r="K2028" s="2" t="str">
        <f>HYPERLINK("https://www.nba.com/game/...-vs-...-0021300932/play-by-play?watchFullGame=true", "SAS vs ORL - Q2 07:13.00")</f>
        <v>SAS vs ORL - Q2 07:13.00</v>
      </c>
      <c r="L2028">
        <v>24</v>
      </c>
      <c r="M2028">
        <v>0</v>
      </c>
      <c r="N2028">
        <v>244</v>
      </c>
      <c r="O2028">
        <v>0</v>
      </c>
      <c r="P2028">
        <v>244</v>
      </c>
    </row>
    <row r="2029" spans="1:16" x14ac:dyDescent="0.25">
      <c r="A2029">
        <v>21500960</v>
      </c>
      <c r="B2029">
        <v>2015</v>
      </c>
      <c r="C2029" t="s">
        <v>16</v>
      </c>
      <c r="D2029" t="s">
        <v>19</v>
      </c>
      <c r="E2029">
        <v>73</v>
      </c>
      <c r="F2029">
        <v>65</v>
      </c>
      <c r="G2029">
        <v>3</v>
      </c>
      <c r="H2029" s="1">
        <v>3.0208333333333333E-3</v>
      </c>
      <c r="I2029" t="s">
        <v>18</v>
      </c>
      <c r="J2029" s="2" t="str">
        <f>HYPERLINK("https://www.nba.com/stats/events?CFID=&amp;CFPARAMS=&amp;GameEventID=333&amp;GameID=0021500960&amp;Season=2015-16&amp;flag=1&amp;title=Leonard%2025'%203PT%20Jump%20Shot%20(19%20PTS)", "Leonard 25' 3PT Jump Shot (19 PTS)")</f>
        <v>Leonard 25' 3PT Jump Shot (19 PTS)</v>
      </c>
      <c r="K2029" s="2" t="str">
        <f>HYPERLINK("https://www.nba.com/game/...-vs-...-0021500960/play-by-play?watchFullGame=true", "SAS vs CHI - Q3 04:21.00")</f>
        <v>SAS vs CHI - Q3 04:21.00</v>
      </c>
      <c r="L2029">
        <v>25</v>
      </c>
      <c r="M2029">
        <v>0</v>
      </c>
      <c r="N2029">
        <v>254</v>
      </c>
      <c r="O2029">
        <v>0</v>
      </c>
      <c r="P2029">
        <v>254</v>
      </c>
    </row>
    <row r="2030" spans="1:16" x14ac:dyDescent="0.25">
      <c r="A2030">
        <v>21300932</v>
      </c>
      <c r="B2030">
        <v>2013</v>
      </c>
      <c r="C2030" t="s">
        <v>32</v>
      </c>
      <c r="D2030" t="s">
        <v>57</v>
      </c>
      <c r="E2030">
        <v>12</v>
      </c>
      <c r="F2030">
        <v>11</v>
      </c>
      <c r="G2030">
        <v>1</v>
      </c>
      <c r="H2030" s="1">
        <v>4.6874999999999998E-3</v>
      </c>
      <c r="I2030" t="s">
        <v>18</v>
      </c>
      <c r="J2030" s="2" t="str">
        <f>HYPERLINK("https://www.nba.com/stats/events?CFID=&amp;CFPARAMS=&amp;GameEventID=53&amp;GameID=0021300932&amp;Season=2013-14&amp;flag=1&amp;title=Leonard%201'%20Layup%20(2%20PTS)%20(Green%201%20AST)", "Leonard 1' Layup (2 PTS) (Green 1 AST)")</f>
        <v>Leonard 1' Layup (2 PTS) (Green 1 AST)</v>
      </c>
      <c r="K2030" s="2" t="str">
        <f>HYPERLINK("https://www.nba.com/game/...-vs-...-0021300932/play-by-play?watchFullGame=true", "SAS vs ORL - Q1 06:45.00")</f>
        <v>SAS vs ORL - Q1 06:45.00</v>
      </c>
      <c r="L2030">
        <v>1</v>
      </c>
      <c r="M2030">
        <v>1</v>
      </c>
      <c r="N2030">
        <v>-8</v>
      </c>
      <c r="O2030">
        <v>1</v>
      </c>
      <c r="P2030">
        <v>-8</v>
      </c>
    </row>
    <row r="2031" spans="1:16" x14ac:dyDescent="0.25">
      <c r="A2031">
        <v>21500172</v>
      </c>
      <c r="B2031">
        <v>2015</v>
      </c>
      <c r="C2031" t="s">
        <v>32</v>
      </c>
      <c r="D2031" t="s">
        <v>57</v>
      </c>
      <c r="E2031">
        <v>101</v>
      </c>
      <c r="F2031">
        <v>87</v>
      </c>
      <c r="G2031">
        <v>4</v>
      </c>
      <c r="H2031" s="1">
        <v>4.386574074074074E-3</v>
      </c>
      <c r="I2031" t="s">
        <v>18</v>
      </c>
      <c r="J2031" s="2" t="str">
        <f>HYPERLINK("https://www.nba.com/stats/events?CFID=&amp;CFPARAMS=&amp;GameEventID=447&amp;GameID=0021500172&amp;Season=2015-16&amp;flag=1&amp;title=Leonard%201'%20Layup%20(17%20PTS)%20(West%202%20AST)", "Leonard 1' Layup (17 PTS) (West 2 AST)")</f>
        <v>Leonard 1' Layup (17 PTS) (West 2 AST)</v>
      </c>
      <c r="K2031" s="2" t="str">
        <f>HYPERLINK("https://www.nba.com/game/...-vs-...-0021500172/play-by-play?watchFullGame=true", "SAS vs DEN - Q4 06:19.00")</f>
        <v>SAS vs DEN - Q4 06:19.00</v>
      </c>
      <c r="L2031">
        <v>1</v>
      </c>
      <c r="M2031">
        <v>1</v>
      </c>
      <c r="N2031">
        <v>-6</v>
      </c>
      <c r="O2031">
        <v>1</v>
      </c>
      <c r="P2031">
        <v>-6</v>
      </c>
    </row>
    <row r="2032" spans="1:16" x14ac:dyDescent="0.25">
      <c r="A2032">
        <v>41800212</v>
      </c>
      <c r="B2032" t="s">
        <v>20</v>
      </c>
      <c r="C2032" t="s">
        <v>32</v>
      </c>
      <c r="D2032" t="s">
        <v>63</v>
      </c>
      <c r="E2032">
        <v>24</v>
      </c>
      <c r="F2032">
        <v>36</v>
      </c>
      <c r="G2032">
        <v>2</v>
      </c>
      <c r="H2032" s="1">
        <v>4.9768518518518521E-3</v>
      </c>
      <c r="I2032" t="s">
        <v>21</v>
      </c>
      <c r="J2032" s="2" t="str">
        <f>HYPERLINK("https://www.nba.com/stats/events?CFID=&amp;CFPARAMS=&amp;GameEventID=220&amp;GameID=0041800212&amp;Season=2018-19&amp;flag=1&amp;title=Leonard%201'%20Running%20Dunk%20(11%20PTS)%20(Lowry%201%20AST)", "Leonard 1' Running Dunk (11 PTS) (Lowry 1 AST)")</f>
        <v>Leonard 1' Running Dunk (11 PTS) (Lowry 1 AST)</v>
      </c>
      <c r="K2032" s="2" t="str">
        <f>HYPERLINK("https://www.nba.com/game/...-vs-...-0041800212/play-by-play?watchFullGame=true", "TOR vs PHI - Q2 07:10.00")</f>
        <v>TOR vs PHI - Q2 07:10.00</v>
      </c>
      <c r="L2032">
        <v>1</v>
      </c>
      <c r="M2032">
        <v>1</v>
      </c>
      <c r="N2032">
        <v>-6</v>
      </c>
      <c r="O2032">
        <v>1</v>
      </c>
      <c r="P2032">
        <v>-6</v>
      </c>
    </row>
    <row r="2033" spans="1:16" x14ac:dyDescent="0.25">
      <c r="A2033">
        <v>21300898</v>
      </c>
      <c r="B2033">
        <v>2013</v>
      </c>
      <c r="C2033" t="s">
        <v>32</v>
      </c>
      <c r="D2033" t="s">
        <v>57</v>
      </c>
      <c r="E2033">
        <v>29</v>
      </c>
      <c r="F2033">
        <v>30</v>
      </c>
      <c r="G2033">
        <v>2</v>
      </c>
      <c r="H2033" s="1">
        <v>5.1504629629629626E-3</v>
      </c>
      <c r="I2033" t="s">
        <v>18</v>
      </c>
      <c r="J2033" s="2" t="str">
        <f>HYPERLINK("https://www.nba.com/stats/events?CFID=&amp;CFPARAMS=&amp;GameEventID=200&amp;GameID=0021300898&amp;Season=2013-14&amp;flag=1&amp;title=Leonard%201'%20Layup%20(5%20PTS)%20(Mills%202%20AST)", "Leonard 1' Layup (5 PTS) (Mills 2 AST)")</f>
        <v>Leonard 1' Layup (5 PTS) (Mills 2 AST)</v>
      </c>
      <c r="K2033" s="2" t="str">
        <f>HYPERLINK("https://www.nba.com/game/...-vs-...-0021300898/play-by-play?watchFullGame=true", "SAS vs CLE - Q2 07:25.00")</f>
        <v>SAS vs CLE - Q2 07:25.00</v>
      </c>
      <c r="L2033">
        <v>1</v>
      </c>
      <c r="M2033">
        <v>1</v>
      </c>
      <c r="N2033">
        <v>-5</v>
      </c>
      <c r="O2033">
        <v>1</v>
      </c>
      <c r="P2033">
        <v>-5</v>
      </c>
    </row>
    <row r="2034" spans="1:16" x14ac:dyDescent="0.25">
      <c r="A2034">
        <v>22300280</v>
      </c>
      <c r="B2034">
        <v>2023</v>
      </c>
      <c r="C2034" t="s">
        <v>32</v>
      </c>
      <c r="D2034" t="s">
        <v>47</v>
      </c>
      <c r="E2034">
        <v>99</v>
      </c>
      <c r="F2034">
        <v>102</v>
      </c>
      <c r="G2034">
        <v>4</v>
      </c>
      <c r="H2034" s="1">
        <v>3.4837962962962965E-3</v>
      </c>
      <c r="I2034" t="s">
        <v>23</v>
      </c>
      <c r="J2034" s="2" t="str">
        <f>HYPERLINK("https://www.nba.com/stats/events?CFID=&amp;CFPARAMS=&amp;GameEventID=576&amp;GameID=0022300280&amp;Season=2023-24&amp;flag=1&amp;title=Leonard%20alley-oop%20Layup%20(14%20PTS)%20(J.%20Harden%208%20AST)", "Alley-oop Layup (14 PTS) (J. Harden 8 AST)")</f>
        <v>Alley-oop Layup (14 PTS) (J. Harden 8 AST)</v>
      </c>
      <c r="K2034" s="2" t="str">
        <f>HYPERLINK("https://www.nba.com/game/...-vs-...-0022300280/play-by-play?watchFullGame=true", "LAC vs GSW - Q4 05:01.00")</f>
        <v>LAC vs GSW - Q4 05:01.00</v>
      </c>
      <c r="L2034">
        <v>0.38</v>
      </c>
      <c r="M2034">
        <v>94.79</v>
      </c>
      <c r="N2034">
        <v>50.25</v>
      </c>
      <c r="O2034">
        <v>1</v>
      </c>
      <c r="P2034">
        <v>-4</v>
      </c>
    </row>
    <row r="2035" spans="1:16" x14ac:dyDescent="0.25">
      <c r="A2035">
        <v>41200152</v>
      </c>
      <c r="B2035" t="s">
        <v>27</v>
      </c>
      <c r="C2035" t="s">
        <v>32</v>
      </c>
      <c r="D2035" t="s">
        <v>57</v>
      </c>
      <c r="E2035">
        <v>43</v>
      </c>
      <c r="F2035">
        <v>39</v>
      </c>
      <c r="G2035">
        <v>2</v>
      </c>
      <c r="H2035" s="1">
        <v>2.7083333333333334E-3</v>
      </c>
      <c r="I2035" t="s">
        <v>18</v>
      </c>
      <c r="J2035" s="2" t="str">
        <f>HYPERLINK("https://www.nba.com/stats/events?CFID=&amp;CFPARAMS=&amp;GameEventID=198&amp;GameID=0041200152&amp;Season=2012-13&amp;flag=1&amp;title=Leonard%20%20Layup%20(12%20PTS)", "Leonard  Layup (12 PTS)")</f>
        <v>Leonard  Layup (12 PTS)</v>
      </c>
      <c r="K2035" s="2" t="str">
        <f>HYPERLINK("https://www.nba.com/game/...-vs-...-0041200152/play-by-play?watchFullGame=true", "SAS vs LAL - Q2 03:54.00")</f>
        <v>SAS vs LAL - Q2 03:54.00</v>
      </c>
      <c r="L2035">
        <v>0</v>
      </c>
      <c r="M2035">
        <v>1</v>
      </c>
      <c r="N2035">
        <v>-2</v>
      </c>
      <c r="O2035">
        <v>1</v>
      </c>
      <c r="P2035">
        <v>-2</v>
      </c>
    </row>
    <row r="2036" spans="1:16" x14ac:dyDescent="0.25">
      <c r="A2036">
        <v>41200233</v>
      </c>
      <c r="B2036" t="s">
        <v>27</v>
      </c>
      <c r="C2036" t="s">
        <v>32</v>
      </c>
      <c r="D2036" t="s">
        <v>72</v>
      </c>
      <c r="E2036">
        <v>43</v>
      </c>
      <c r="F2036">
        <v>50</v>
      </c>
      <c r="G2036">
        <v>2</v>
      </c>
      <c r="H2036" s="1">
        <v>2.3148148148148147E-3</v>
      </c>
      <c r="I2036" t="s">
        <v>18</v>
      </c>
      <c r="J2036" s="2" t="str">
        <f>HYPERLINK("https://www.nba.com/stats/events?CFID=&amp;CFPARAMS=&amp;GameEventID=203&amp;GameID=0041200233&amp;Season=2012-13&amp;flag=1&amp;title=Leonard%20%20Tip%20Shot%20(4%20PTS)", "Leonard  Tip Shot (4 PTS)")</f>
        <v>Leonard  Tip Shot (4 PTS)</v>
      </c>
      <c r="K2036" s="2" t="str">
        <f>HYPERLINK("https://www.nba.com/game/...-vs-...-0041200233/play-by-play?watchFullGame=true", "SAS vs GSW - Q2 03:20.00")</f>
        <v>SAS vs GSW - Q2 03:20.00</v>
      </c>
      <c r="L2036">
        <v>0</v>
      </c>
      <c r="M2036">
        <v>1</v>
      </c>
      <c r="N2036">
        <v>-2</v>
      </c>
      <c r="O2036">
        <v>1</v>
      </c>
      <c r="P2036">
        <v>-2</v>
      </c>
    </row>
    <row r="2037" spans="1:16" x14ac:dyDescent="0.25">
      <c r="A2037">
        <v>41800112</v>
      </c>
      <c r="B2037" t="s">
        <v>20</v>
      </c>
      <c r="C2037" t="s">
        <v>32</v>
      </c>
      <c r="D2037" t="s">
        <v>67</v>
      </c>
      <c r="E2037">
        <v>83</v>
      </c>
      <c r="F2037">
        <v>62</v>
      </c>
      <c r="G2037">
        <v>3</v>
      </c>
      <c r="H2037" s="1">
        <v>1.6898148148148148E-3</v>
      </c>
      <c r="I2037" t="s">
        <v>21</v>
      </c>
      <c r="J2037" s="2" t="str">
        <f>HYPERLINK("https://www.nba.com/stats/events?CFID=&amp;CFPARAMS=&amp;GameEventID=448&amp;GameID=0041800112&amp;Season=2018-19&amp;flag=1&amp;title=Leonard%20Driving%20Dunk%20(31%20PTS)%20(Gasol%205%20AST)", "Leonard Driving Dunk (31 PTS) (Gasol 5 AST)")</f>
        <v>Leonard Driving Dunk (31 PTS) (Gasol 5 AST)</v>
      </c>
      <c r="K2037" s="2" t="str">
        <f>HYPERLINK("https://www.nba.com/game/...-vs-...-0041800112/play-by-play?watchFullGame=true", "TOR vs ORL - Q3 02:26.00")</f>
        <v>TOR vs ORL - Q3 02:26.00</v>
      </c>
      <c r="L2037">
        <v>0</v>
      </c>
      <c r="M2037">
        <v>1</v>
      </c>
      <c r="N2037">
        <v>-1</v>
      </c>
      <c r="O2037">
        <v>1</v>
      </c>
      <c r="P2037">
        <v>-1</v>
      </c>
    </row>
    <row r="2038" spans="1:16" x14ac:dyDescent="0.25">
      <c r="A2038">
        <v>21300068</v>
      </c>
      <c r="B2038">
        <v>2013</v>
      </c>
      <c r="C2038" t="s">
        <v>32</v>
      </c>
      <c r="D2038" t="s">
        <v>74</v>
      </c>
      <c r="E2038">
        <v>18</v>
      </c>
      <c r="F2038">
        <v>11</v>
      </c>
      <c r="G2038">
        <v>1</v>
      </c>
      <c r="H2038" s="1">
        <v>3.4953703703703705E-3</v>
      </c>
      <c r="I2038" t="s">
        <v>18</v>
      </c>
      <c r="J2038" s="2" t="str">
        <f>HYPERLINK("https://www.nba.com/stats/events?CFID=&amp;CFPARAMS=&amp;GameEventID=63&amp;GameID=0021300068&amp;Season=2013-14&amp;flag=1&amp;title=Leonard%20%20Slam%20Dunk%20(2%20PTS)%20(Ginobili%201%20AST)", "Leonard  Slam Dunk (2 PTS) (Ginobili 1 AST)")</f>
        <v>Leonard  Slam Dunk (2 PTS) (Ginobili 1 AST)</v>
      </c>
      <c r="K2038" s="2" t="str">
        <f>HYPERLINK("https://www.nba.com/game/...-vs-...-0021300068/play-by-play?watchFullGame=true", "SAS vs PHX - Q1 05:02.00")</f>
        <v>SAS vs PHX - Q1 05:02.00</v>
      </c>
      <c r="L2038">
        <v>0</v>
      </c>
      <c r="M2038">
        <v>1</v>
      </c>
      <c r="N2038">
        <v>0</v>
      </c>
      <c r="O2038">
        <v>1</v>
      </c>
      <c r="P2038">
        <v>0</v>
      </c>
    </row>
    <row r="2039" spans="1:16" x14ac:dyDescent="0.25">
      <c r="A2039">
        <v>21300898</v>
      </c>
      <c r="B2039">
        <v>2013</v>
      </c>
      <c r="C2039" t="s">
        <v>32</v>
      </c>
      <c r="D2039" t="s">
        <v>67</v>
      </c>
      <c r="E2039">
        <v>36</v>
      </c>
      <c r="F2039">
        <v>42</v>
      </c>
      <c r="G2039">
        <v>2</v>
      </c>
      <c r="H2039" s="1">
        <v>2.8009259259259259E-3</v>
      </c>
      <c r="I2039" t="s">
        <v>18</v>
      </c>
      <c r="J2039" s="2" t="str">
        <f>HYPERLINK("https://www.nba.com/stats/events?CFID=&amp;CFPARAMS=&amp;GameEventID=231&amp;GameID=0021300898&amp;Season=2013-14&amp;flag=1&amp;title=Leonard%20%20Driving%20Dunk%20(9%20PTS)%20(Mills%203%20AST)", "Leonard  Driving Dunk (9 PTS) (Mills 3 AST)")</f>
        <v>Leonard  Driving Dunk (9 PTS) (Mills 3 AST)</v>
      </c>
      <c r="K2039" s="2" t="str">
        <f>HYPERLINK("https://www.nba.com/game/...-vs-...-0021300898/play-by-play?watchFullGame=true", "SAS vs CLE - Q2 04:02.00")</f>
        <v>SAS vs CLE - Q2 04:02.00</v>
      </c>
      <c r="L2039">
        <v>0</v>
      </c>
      <c r="M2039">
        <v>1</v>
      </c>
      <c r="N2039">
        <v>0</v>
      </c>
      <c r="O2039">
        <v>1</v>
      </c>
      <c r="P2039">
        <v>0</v>
      </c>
    </row>
    <row r="2040" spans="1:16" x14ac:dyDescent="0.25">
      <c r="A2040">
        <v>21300349</v>
      </c>
      <c r="B2040">
        <v>2013</v>
      </c>
      <c r="C2040" t="s">
        <v>32</v>
      </c>
      <c r="D2040" t="s">
        <v>62</v>
      </c>
      <c r="E2040">
        <v>45</v>
      </c>
      <c r="F2040">
        <v>57</v>
      </c>
      <c r="G2040">
        <v>3</v>
      </c>
      <c r="H2040" s="1">
        <v>6.8634259259259256E-3</v>
      </c>
      <c r="I2040" t="s">
        <v>18</v>
      </c>
      <c r="J2040" s="2" t="str">
        <f>HYPERLINK("https://www.nba.com/stats/events?CFID=&amp;CFPARAMS=&amp;GameEventID=239&amp;GameID=0021300349&amp;Season=2013-14&amp;flag=1&amp;title=Leonard%20%20Dunk%20(8%20PTS)%20(Ayres%201%20AST)", "Leonard  Dunk (8 PTS) (Ayres 1 AST)")</f>
        <v>Leonard  Dunk (8 PTS) (Ayres 1 AST)</v>
      </c>
      <c r="K2040" s="2" t="str">
        <f>HYPERLINK("https://www.nba.com/game/...-vs-...-0021300349/play-by-play?watchFullGame=true", "SAS vs UTA - Q3 09:53.00")</f>
        <v>SAS vs UTA - Q3 09:53.00</v>
      </c>
      <c r="L2040">
        <v>0</v>
      </c>
      <c r="M2040">
        <v>1</v>
      </c>
      <c r="N2040">
        <v>0</v>
      </c>
      <c r="O2040">
        <v>1</v>
      </c>
      <c r="P2040">
        <v>0</v>
      </c>
    </row>
    <row r="2041" spans="1:16" x14ac:dyDescent="0.25">
      <c r="A2041">
        <v>21300321</v>
      </c>
      <c r="B2041">
        <v>2013</v>
      </c>
      <c r="C2041" t="s">
        <v>32</v>
      </c>
      <c r="D2041" t="s">
        <v>52</v>
      </c>
      <c r="E2041">
        <v>49</v>
      </c>
      <c r="F2041">
        <v>82</v>
      </c>
      <c r="G2041">
        <v>3</v>
      </c>
      <c r="H2041" s="1">
        <v>2.2569444444444442E-3</v>
      </c>
      <c r="I2041" t="s">
        <v>18</v>
      </c>
      <c r="J2041" s="2" t="str">
        <f>HYPERLINK("https://www.nba.com/stats/events?CFID=&amp;CFPARAMS=&amp;GameEventID=338&amp;GameID=0021300321&amp;Season=2013-14&amp;flag=1&amp;title=Leonard%20%20Alley%20Oop%20Layup%20(11%20PTS)%20(Diaw%201%20AST)", "Leonard  Alley Oop Layup (11 PTS) (Diaw 1 AST)")</f>
        <v>Leonard  Alley Oop Layup (11 PTS) (Diaw 1 AST)</v>
      </c>
      <c r="K2041" s="2" t="str">
        <f>HYPERLINK("https://www.nba.com/game/...-vs-...-0021300321/play-by-play?watchFullGame=true", "SAS vs MIL - Q3 03:15.00")</f>
        <v>SAS vs MIL - Q3 03:15.00</v>
      </c>
      <c r="L2041">
        <v>0</v>
      </c>
      <c r="M2041">
        <v>1</v>
      </c>
      <c r="N2041">
        <v>1</v>
      </c>
      <c r="O2041">
        <v>1</v>
      </c>
      <c r="P2041">
        <v>1</v>
      </c>
    </row>
    <row r="2042" spans="1:16" x14ac:dyDescent="0.25">
      <c r="A2042">
        <v>41200403</v>
      </c>
      <c r="B2042" t="s">
        <v>27</v>
      </c>
      <c r="C2042" t="s">
        <v>32</v>
      </c>
      <c r="D2042" t="s">
        <v>62</v>
      </c>
      <c r="E2042">
        <v>40</v>
      </c>
      <c r="F2042">
        <v>30</v>
      </c>
      <c r="G2042">
        <v>2</v>
      </c>
      <c r="H2042" s="1">
        <v>3.2060185185185186E-3</v>
      </c>
      <c r="I2042" t="s">
        <v>18</v>
      </c>
      <c r="J2042" s="2" t="str">
        <f>HYPERLINK("https://www.nba.com/stats/events?CFID=&amp;CFPARAMS=&amp;GameEventID=192&amp;GameID=0041200403&amp;Season=2012-13&amp;flag=1&amp;title=Leonard%20%20Dunk%20(7%20PTS)%20(Duncan%201%20AST)", "Leonard  Dunk (7 PTS) (Duncan 1 AST)")</f>
        <v>Leonard  Dunk (7 PTS) (Duncan 1 AST)</v>
      </c>
      <c r="K2042" s="2" t="str">
        <f>HYPERLINK("https://www.nba.com/game/...-vs-...-0041200403/play-by-play?watchFullGame=true", "SAS vs MIA - Q2 04:37.00")</f>
        <v>SAS vs MIA - Q2 04:37.00</v>
      </c>
      <c r="L2042">
        <v>0</v>
      </c>
      <c r="M2042">
        <v>1</v>
      </c>
      <c r="N2042">
        <v>1</v>
      </c>
      <c r="O2042">
        <v>1</v>
      </c>
      <c r="P2042">
        <v>1</v>
      </c>
    </row>
    <row r="2043" spans="1:16" x14ac:dyDescent="0.25">
      <c r="A2043">
        <v>21300296</v>
      </c>
      <c r="B2043">
        <v>2013</v>
      </c>
      <c r="C2043" t="s">
        <v>32</v>
      </c>
      <c r="D2043" t="s">
        <v>62</v>
      </c>
      <c r="E2043">
        <v>56</v>
      </c>
      <c r="F2043">
        <v>68</v>
      </c>
      <c r="G2043">
        <v>3</v>
      </c>
      <c r="H2043" s="1">
        <v>4.2361111111111115E-3</v>
      </c>
      <c r="I2043" t="s">
        <v>18</v>
      </c>
      <c r="J2043" s="2" t="str">
        <f>HYPERLINK("https://www.nba.com/stats/events?CFID=&amp;CFPARAMS=&amp;GameEventID=257&amp;GameID=0021300296&amp;Season=2013-14&amp;flag=1&amp;title=Leonard%20Dunk%20(11%20PTS)%20(Duncan%204%20AST)", "Leonard Dunk (11 PTS) (Duncan 4 AST)")</f>
        <v>Leonard Dunk (11 PTS) (Duncan 4 AST)</v>
      </c>
      <c r="K2043" s="2" t="str">
        <f>HYPERLINK("https://www.nba.com/game/...-vs-...-0021300296/play-by-play?watchFullGame=true", "SAS vs IND - Q3 06:06.00")</f>
        <v>SAS vs IND - Q3 06:06.00</v>
      </c>
      <c r="L2043">
        <v>0</v>
      </c>
      <c r="M2043">
        <v>1</v>
      </c>
      <c r="N2043">
        <v>1</v>
      </c>
      <c r="O2043">
        <v>1</v>
      </c>
      <c r="P2043">
        <v>1</v>
      </c>
    </row>
    <row r="2044" spans="1:16" x14ac:dyDescent="0.25">
      <c r="A2044">
        <v>21301174</v>
      </c>
      <c r="B2044">
        <v>2013</v>
      </c>
      <c r="C2044" t="s">
        <v>32</v>
      </c>
      <c r="D2044" t="s">
        <v>81</v>
      </c>
      <c r="E2044">
        <v>51</v>
      </c>
      <c r="F2044">
        <v>55</v>
      </c>
      <c r="G2044">
        <v>3</v>
      </c>
      <c r="H2044" s="1">
        <v>7.3148148148148148E-3</v>
      </c>
      <c r="I2044" t="s">
        <v>18</v>
      </c>
      <c r="J2044" s="2" t="str">
        <f>HYPERLINK("https://www.nba.com/stats/events?CFID=&amp;CFPARAMS=&amp;GameEventID=299&amp;GameID=0021301174&amp;Season=2013-14&amp;flag=1&amp;title=Leonard%20%20Running%20Slam%20Dunk%20(13%20PTS)", "Leonard  Running Slam Dunk (13 PTS)")</f>
        <v>Leonard  Running Slam Dunk (13 PTS)</v>
      </c>
      <c r="K2044" s="2" t="str">
        <f>HYPERLINK("https://www.nba.com/game/...-vs-...-0021301174/play-by-play?watchFullGame=true", "SAS vs DAL - Q3 10:32.00")</f>
        <v>SAS vs DAL - Q3 10:32.00</v>
      </c>
      <c r="L2044">
        <v>0</v>
      </c>
      <c r="M2044">
        <v>1</v>
      </c>
      <c r="N2044">
        <v>1</v>
      </c>
      <c r="O2044">
        <v>1</v>
      </c>
      <c r="P2044">
        <v>1</v>
      </c>
    </row>
    <row r="2045" spans="1:16" x14ac:dyDescent="0.25">
      <c r="A2045">
        <v>21300554</v>
      </c>
      <c r="B2045">
        <v>2013</v>
      </c>
      <c r="C2045" t="s">
        <v>32</v>
      </c>
      <c r="D2045" t="s">
        <v>62</v>
      </c>
      <c r="E2045">
        <v>58</v>
      </c>
      <c r="F2045">
        <v>51</v>
      </c>
      <c r="G2045">
        <v>3</v>
      </c>
      <c r="H2045" s="1">
        <v>6.5509259259259262E-3</v>
      </c>
      <c r="I2045" t="s">
        <v>18</v>
      </c>
      <c r="J2045" s="2" t="str">
        <f>HYPERLINK("https://www.nba.com/stats/events?CFID=&amp;CFPARAMS=&amp;GameEventID=259&amp;GameID=0021300554&amp;Season=2013-14&amp;flag=1&amp;title=Leonard%20%20Dunk%20(6%20PTS)%20(Duncan%205%20AST)", "Leonard  Dunk (6 PTS) (Duncan 5 AST)")</f>
        <v>Leonard  Dunk (6 PTS) (Duncan 5 AST)</v>
      </c>
      <c r="K2045" s="2" t="str">
        <f>HYPERLINK("https://www.nba.com/game/...-vs-...-0021300554/play-by-play?watchFullGame=true", "SAS vs MIN - Q3 09:26.00")</f>
        <v>SAS vs MIN - Q3 09:26.00</v>
      </c>
      <c r="L2045">
        <v>0</v>
      </c>
      <c r="M2045">
        <v>1</v>
      </c>
      <c r="N2045">
        <v>1</v>
      </c>
      <c r="O2045">
        <v>1</v>
      </c>
      <c r="P2045">
        <v>1</v>
      </c>
    </row>
    <row r="2046" spans="1:16" x14ac:dyDescent="0.25">
      <c r="A2046">
        <v>21500939</v>
      </c>
      <c r="B2046">
        <v>2015</v>
      </c>
      <c r="C2046" t="s">
        <v>32</v>
      </c>
      <c r="D2046" t="s">
        <v>49</v>
      </c>
      <c r="E2046">
        <v>20</v>
      </c>
      <c r="F2046">
        <v>10</v>
      </c>
      <c r="G2046">
        <v>1</v>
      </c>
      <c r="H2046" s="1">
        <v>1.0069444444444444E-3</v>
      </c>
      <c r="I2046" t="s">
        <v>18</v>
      </c>
      <c r="J2046" s="2" t="str">
        <f>HYPERLINK("https://www.nba.com/stats/events?CFID=&amp;CFPARAMS=&amp;GameEventID=98&amp;GameID=0021500939&amp;Season=2015-16&amp;flag=1&amp;title=Leonard%20Driving%20Layup%20(6%20PTS)", "Leonard Driving Layup (6 PTS)")</f>
        <v>Leonard Driving Layup (6 PTS)</v>
      </c>
      <c r="K2046" s="2" t="str">
        <f>HYPERLINK("https://www.nba.com/game/...-vs-...-0021500939/play-by-play?watchFullGame=true", "SAS vs IND - Q1 01:27.00")</f>
        <v>SAS vs IND - Q1 01:27.00</v>
      </c>
      <c r="L2046">
        <v>0</v>
      </c>
      <c r="M2046">
        <v>1</v>
      </c>
      <c r="N2046">
        <v>1</v>
      </c>
      <c r="O2046">
        <v>1</v>
      </c>
      <c r="P2046">
        <v>1</v>
      </c>
    </row>
    <row r="2047" spans="1:16" x14ac:dyDescent="0.25">
      <c r="A2047">
        <v>22000605</v>
      </c>
      <c r="B2047">
        <v>2020</v>
      </c>
      <c r="C2047" t="s">
        <v>32</v>
      </c>
      <c r="D2047" t="s">
        <v>48</v>
      </c>
      <c r="E2047">
        <v>87</v>
      </c>
      <c r="F2047">
        <v>96</v>
      </c>
      <c r="G2047">
        <v>4</v>
      </c>
      <c r="H2047" s="1">
        <v>5.0694444444444441E-3</v>
      </c>
      <c r="I2047" t="s">
        <v>23</v>
      </c>
      <c r="J2047" s="2" t="str">
        <f>HYPERLINK("https://www.nba.com/stats/events?CFID=&amp;CFPARAMS=&amp;GameEventID=462&amp;GameID=0022000605&amp;Season=2020-21&amp;flag=1&amp;title=Leonard%20driving%20DUNK%20(15%20PTS)", "Driving DUNK (15 PTS)")</f>
        <v>Driving DUNK (15 PTS)</v>
      </c>
      <c r="K2047" s="2" t="str">
        <f>HYPERLINK("https://www.nba.com/game/...-vs-...-0022000605/play-by-play?watchFullGame=true", "LAC vs DAL - Q4 07:18.00")</f>
        <v>LAC vs DAL - Q4 07:18.00</v>
      </c>
      <c r="L2047">
        <v>0.17</v>
      </c>
      <c r="M2047">
        <v>5.73</v>
      </c>
      <c r="N2047">
        <v>49.82</v>
      </c>
      <c r="O2047">
        <v>1</v>
      </c>
      <c r="P2047">
        <v>1</v>
      </c>
    </row>
    <row r="2048" spans="1:16" x14ac:dyDescent="0.25">
      <c r="A2048">
        <v>41400163</v>
      </c>
      <c r="B2048" t="s">
        <v>28</v>
      </c>
      <c r="C2048" t="s">
        <v>32</v>
      </c>
      <c r="D2048" t="s">
        <v>57</v>
      </c>
      <c r="E2048">
        <v>48</v>
      </c>
      <c r="F2048">
        <v>38</v>
      </c>
      <c r="G2048">
        <v>3</v>
      </c>
      <c r="H2048" s="1">
        <v>7.743055555555556E-3</v>
      </c>
      <c r="I2048" t="s">
        <v>18</v>
      </c>
      <c r="J2048" s="2" t="str">
        <f>HYPERLINK("https://www.nba.com/stats/events?CFID=&amp;CFPARAMS=&amp;GameEventID=250&amp;GameID=0041400163&amp;Season=2014-15&amp;flag=1&amp;title=Leonard%20%20Layup%20(18%20PTS)", "Leonard  Layup (18 PTS)")</f>
        <v>Leonard  Layup (18 PTS)</v>
      </c>
      <c r="K2048" s="2" t="str">
        <f>HYPERLINK("https://www.nba.com/game/...-vs-...-0041400163/play-by-play?watchFullGame=true", "SAS vs LAC - Q3 11:09.00")</f>
        <v>SAS vs LAC - Q3 11:09.00</v>
      </c>
      <c r="L2048">
        <v>0</v>
      </c>
      <c r="M2048">
        <v>1</v>
      </c>
      <c r="N2048">
        <v>1</v>
      </c>
      <c r="O2048">
        <v>1</v>
      </c>
      <c r="P2048">
        <v>1</v>
      </c>
    </row>
    <row r="2049" spans="1:16" x14ac:dyDescent="0.25">
      <c r="A2049">
        <v>41200231</v>
      </c>
      <c r="B2049" t="s">
        <v>27</v>
      </c>
      <c r="C2049" t="s">
        <v>32</v>
      </c>
      <c r="D2049" t="s">
        <v>57</v>
      </c>
      <c r="E2049">
        <v>96</v>
      </c>
      <c r="F2049">
        <v>104</v>
      </c>
      <c r="G2049">
        <v>4</v>
      </c>
      <c r="H2049" s="1">
        <v>1.8749999999999999E-3</v>
      </c>
      <c r="I2049" t="s">
        <v>18</v>
      </c>
      <c r="J2049" s="2" t="str">
        <f>HYPERLINK("https://www.nba.com/stats/events?CFID=&amp;CFPARAMS=&amp;GameEventID=491&amp;GameID=0041200231&amp;Season=2012-13&amp;flag=1&amp;title=Leonard%20%20Layup%20(13%20PTS)%20(Parker%207%20AST)", "Leonard  Layup (13 PTS) (Parker 7 AST)")</f>
        <v>Leonard  Layup (13 PTS) (Parker 7 AST)</v>
      </c>
      <c r="K2049" s="2" t="str">
        <f>HYPERLINK("https://www.nba.com/game/...-vs-...-0041200231/play-by-play?watchFullGame=true", "SAS vs GSW - Q4 02:42.00")</f>
        <v>SAS vs GSW - Q4 02:42.00</v>
      </c>
      <c r="L2049">
        <v>0</v>
      </c>
      <c r="M2049">
        <v>1</v>
      </c>
      <c r="N2049">
        <v>1</v>
      </c>
      <c r="O2049">
        <v>1</v>
      </c>
      <c r="P2049">
        <v>1</v>
      </c>
    </row>
    <row r="2050" spans="1:16" x14ac:dyDescent="0.25">
      <c r="A2050">
        <v>21500767</v>
      </c>
      <c r="B2050">
        <v>2015</v>
      </c>
      <c r="C2050" t="s">
        <v>32</v>
      </c>
      <c r="D2050" t="s">
        <v>61</v>
      </c>
      <c r="E2050">
        <v>52</v>
      </c>
      <c r="F2050">
        <v>51</v>
      </c>
      <c r="G2050">
        <v>2</v>
      </c>
      <c r="H2050" s="1">
        <v>4.1203703703703704E-4</v>
      </c>
      <c r="I2050" t="s">
        <v>18</v>
      </c>
      <c r="J2050" s="2" t="str">
        <f>HYPERLINK("https://www.nba.com/stats/events?CFID=&amp;CFPARAMS=&amp;GameEventID=264&amp;GameID=0021500767&amp;Season=2015-16&amp;flag=1&amp;title=Leonard%20%20Driving%20Finger%20Roll%20Layup%20(11%20PTS)", "Leonard  Driving Finger Roll Layup (11 PTS)")</f>
        <v>Leonard  Driving Finger Roll Layup (11 PTS)</v>
      </c>
      <c r="K2050" s="2" t="str">
        <f>HYPERLINK("https://www.nba.com/game/...-vs-...-0021500767/play-by-play?watchFullGame=true", "SAS vs LAL - Q2 00:35.60")</f>
        <v>SAS vs LAL - Q2 00:35.60</v>
      </c>
      <c r="L2050">
        <v>0</v>
      </c>
      <c r="M2050">
        <v>1</v>
      </c>
      <c r="N2050">
        <v>1</v>
      </c>
      <c r="O2050">
        <v>1</v>
      </c>
      <c r="P2050">
        <v>1</v>
      </c>
    </row>
    <row r="2051" spans="1:16" x14ac:dyDescent="0.25">
      <c r="A2051">
        <v>21300057</v>
      </c>
      <c r="B2051">
        <v>2013</v>
      </c>
      <c r="C2051" t="s">
        <v>32</v>
      </c>
      <c r="D2051" t="s">
        <v>67</v>
      </c>
      <c r="E2051">
        <v>41</v>
      </c>
      <c r="F2051">
        <v>34</v>
      </c>
      <c r="G2051">
        <v>2</v>
      </c>
      <c r="H2051" s="1">
        <v>3.7037037037037038E-3</v>
      </c>
      <c r="I2051" t="s">
        <v>18</v>
      </c>
      <c r="J2051" s="2" t="str">
        <f>HYPERLINK("https://www.nba.com/stats/events?CFID=&amp;CFPARAMS=&amp;GameEventID=205&amp;GameID=0021300057&amp;Season=2013-14&amp;flag=1&amp;title=Leonard%20Driving%20Dunk%20(2%20PTS)%20(Parker%203%20AST)", "Leonard Driving Dunk (2 PTS) (Parker 3 AST)")</f>
        <v>Leonard Driving Dunk (2 PTS) (Parker 3 AST)</v>
      </c>
      <c r="K2051" s="2" t="str">
        <f>HYPERLINK("https://www.nba.com/game/...-vs-...-0021300057/play-by-play?watchFullGame=true", "SAS vs DEN - Q2 05:20.00")</f>
        <v>SAS vs DEN - Q2 05:20.00</v>
      </c>
      <c r="L2051">
        <v>0</v>
      </c>
      <c r="M2051">
        <v>1</v>
      </c>
      <c r="N2051">
        <v>1</v>
      </c>
      <c r="O2051">
        <v>1</v>
      </c>
      <c r="P2051">
        <v>1</v>
      </c>
    </row>
    <row r="2052" spans="1:16" x14ac:dyDescent="0.25">
      <c r="A2052">
        <v>21301092</v>
      </c>
      <c r="B2052">
        <v>2013</v>
      </c>
      <c r="C2052" t="s">
        <v>32</v>
      </c>
      <c r="D2052" t="s">
        <v>62</v>
      </c>
      <c r="E2052">
        <v>55</v>
      </c>
      <c r="F2052">
        <v>37</v>
      </c>
      <c r="G2052">
        <v>3</v>
      </c>
      <c r="H2052" s="1">
        <v>7.6388888888888886E-3</v>
      </c>
      <c r="I2052" t="s">
        <v>18</v>
      </c>
      <c r="J2052" s="2" t="str">
        <f>HYPERLINK("https://www.nba.com/stats/events?CFID=&amp;CFPARAMS=&amp;GameEventID=222&amp;GameID=0021301092&amp;Season=2013-14&amp;flag=1&amp;title=Leonard%20%20Dunk%20(14%20PTS)%20(Duncan%205%20AST)", "Leonard  Dunk (14 PTS) (Duncan 5 AST)")</f>
        <v>Leonard  Dunk (14 PTS) (Duncan 5 AST)</v>
      </c>
      <c r="K2052" s="2" t="str">
        <f>HYPERLINK("https://www.nba.com/game/...-vs-...-0021301092/play-by-play?watchFullGame=true", "SAS vs NOP - Q3 11:00.00")</f>
        <v>SAS vs NOP - Q3 11:00.00</v>
      </c>
      <c r="L2052">
        <v>0</v>
      </c>
      <c r="M2052">
        <v>1</v>
      </c>
      <c r="N2052">
        <v>1</v>
      </c>
      <c r="O2052">
        <v>1</v>
      </c>
      <c r="P2052">
        <v>1</v>
      </c>
    </row>
    <row r="2053" spans="1:16" x14ac:dyDescent="0.25">
      <c r="A2053">
        <v>21500275</v>
      </c>
      <c r="B2053">
        <v>2015</v>
      </c>
      <c r="C2053" t="s">
        <v>32</v>
      </c>
      <c r="D2053" t="s">
        <v>57</v>
      </c>
      <c r="E2053">
        <v>10</v>
      </c>
      <c r="F2053">
        <v>7</v>
      </c>
      <c r="G2053">
        <v>1</v>
      </c>
      <c r="H2053" s="1">
        <v>6.2962962962962964E-3</v>
      </c>
      <c r="I2053" t="s">
        <v>18</v>
      </c>
      <c r="J2053" s="2" t="str">
        <f>HYPERLINK("https://www.nba.com/stats/events?CFID=&amp;CFPARAMS=&amp;GameEventID=28&amp;GameID=0021500275&amp;Season=2015-16&amp;flag=1&amp;title=Leonard%20%20Layup%20(2%20PTS)%20(Duncan%201%20AST)", "Leonard  Layup (2 PTS) (Duncan 1 AST)")</f>
        <v>Leonard  Layup (2 PTS) (Duncan 1 AST)</v>
      </c>
      <c r="K2053" s="2" t="str">
        <f>HYPERLINK("https://www.nba.com/game/...-vs-...-0021500275/play-by-play?watchFullGame=true", "SAS vs MIL - Q1 09:04.00")</f>
        <v>SAS vs MIL - Q1 09:04.00</v>
      </c>
      <c r="L2053">
        <v>0</v>
      </c>
      <c r="M2053">
        <v>1</v>
      </c>
      <c r="N2053">
        <v>2</v>
      </c>
      <c r="O2053">
        <v>1</v>
      </c>
      <c r="P2053">
        <v>2</v>
      </c>
    </row>
    <row r="2054" spans="1:16" x14ac:dyDescent="0.25">
      <c r="A2054">
        <v>21600114</v>
      </c>
      <c r="B2054">
        <v>2016</v>
      </c>
      <c r="C2054" t="s">
        <v>32</v>
      </c>
      <c r="D2054" t="s">
        <v>49</v>
      </c>
      <c r="E2054">
        <v>68</v>
      </c>
      <c r="F2054">
        <v>72</v>
      </c>
      <c r="G2054">
        <v>3</v>
      </c>
      <c r="H2054" s="1">
        <v>5.2430555555555555E-3</v>
      </c>
      <c r="I2054" t="s">
        <v>18</v>
      </c>
      <c r="J2054" s="2" t="str">
        <f>HYPERLINK("https://www.nba.com/stats/events?CFID=&amp;CFPARAMS=&amp;GameEventID=344&amp;GameID=0021600114&amp;Season=2016-17&amp;flag=1&amp;title=Leonard%20%20Driving%20Layup%20(21%20PTS)%20(Mills%208%20AST)", "Leonard  Driving Layup (21 PTS) (Mills 8 AST)")</f>
        <v>Leonard  Driving Layup (21 PTS) (Mills 8 AST)</v>
      </c>
      <c r="K2054" s="2" t="str">
        <f>HYPERLINK("https://www.nba.com/game/...-vs-...-0021600114/play-by-play?watchFullGame=true", "SAS vs HOU - Q3 07:33.00")</f>
        <v>SAS vs HOU - Q3 07:33.00</v>
      </c>
      <c r="L2054">
        <v>0</v>
      </c>
      <c r="M2054">
        <v>1</v>
      </c>
      <c r="N2054">
        <v>2</v>
      </c>
      <c r="O2054">
        <v>1</v>
      </c>
      <c r="P2054">
        <v>2</v>
      </c>
    </row>
    <row r="2055" spans="1:16" x14ac:dyDescent="0.25">
      <c r="A2055">
        <v>41200313</v>
      </c>
      <c r="B2055" t="s">
        <v>27</v>
      </c>
      <c r="C2055" t="s">
        <v>32</v>
      </c>
      <c r="D2055" t="s">
        <v>62</v>
      </c>
      <c r="E2055">
        <v>29</v>
      </c>
      <c r="F2055">
        <v>15</v>
      </c>
      <c r="G2055">
        <v>2</v>
      </c>
      <c r="H2055" s="1">
        <v>8.0787037037037043E-3</v>
      </c>
      <c r="I2055" t="s">
        <v>18</v>
      </c>
      <c r="J2055" s="2" t="str">
        <f>HYPERLINK("https://www.nba.com/stats/events?CFID=&amp;CFPARAMS=&amp;GameEventID=126&amp;GameID=0041200313&amp;Season=2012-13&amp;flag=1&amp;title=Leonard%20%20Dunk%20(2%20PTS)", "Leonard  Dunk (2 PTS)")</f>
        <v>Leonard  Dunk (2 PTS)</v>
      </c>
      <c r="K2055" s="2" t="str">
        <f>HYPERLINK("https://www.nba.com/game/...-vs-...-0041200313/play-by-play?watchFullGame=true", "SAS vs MEM - Q2 11:38.00")</f>
        <v>SAS vs MEM - Q2 11:38.00</v>
      </c>
      <c r="L2055">
        <v>0</v>
      </c>
      <c r="M2055">
        <v>1</v>
      </c>
      <c r="N2055">
        <v>3</v>
      </c>
      <c r="O2055">
        <v>1</v>
      </c>
      <c r="P2055">
        <v>3</v>
      </c>
    </row>
    <row r="2056" spans="1:16" x14ac:dyDescent="0.25">
      <c r="A2056">
        <v>22300716</v>
      </c>
      <c r="B2056">
        <v>2023</v>
      </c>
      <c r="C2056" t="s">
        <v>32</v>
      </c>
      <c r="D2056" t="s">
        <v>47</v>
      </c>
      <c r="E2056">
        <v>128</v>
      </c>
      <c r="F2056">
        <v>133</v>
      </c>
      <c r="G2056">
        <v>4</v>
      </c>
      <c r="H2056" s="1">
        <v>1.6550925925925926E-3</v>
      </c>
      <c r="I2056" t="s">
        <v>23</v>
      </c>
      <c r="J2056" s="2" t="str">
        <f>HYPERLINK("https://www.nba.com/stats/events?CFID=&amp;CFPARAMS=&amp;GameEventID=610&amp;GameID=0022300716&amp;Season=2023-24&amp;flag=1&amp;title=Leonard%20cutting%20Layup%20(30%20PTS)%20(R.%20Westbrook%203%20AST)", "Cutting Layup (30 PTS) (R. Westbrook 3 AST)")</f>
        <v>Cutting Layup (30 PTS) (R. Westbrook 3 AST)</v>
      </c>
      <c r="K2056" s="2" t="str">
        <f>HYPERLINK("https://www.nba.com/game/...-vs-...-0022300716/play-by-play?watchFullGame=true", "LAC vs ATL - Q4 02:23.00")</f>
        <v>LAC vs ATL - Q4 02:23.00</v>
      </c>
      <c r="L2056">
        <v>0.28999999999999998</v>
      </c>
      <c r="M2056">
        <v>5.86</v>
      </c>
      <c r="N2056">
        <v>49.75</v>
      </c>
      <c r="O2056">
        <v>1</v>
      </c>
      <c r="P2056">
        <v>3</v>
      </c>
    </row>
    <row r="2057" spans="1:16" x14ac:dyDescent="0.25">
      <c r="A2057">
        <v>22200766</v>
      </c>
      <c r="B2057">
        <v>2022</v>
      </c>
      <c r="C2057" t="s">
        <v>32</v>
      </c>
      <c r="D2057" t="s">
        <v>48</v>
      </c>
      <c r="E2057">
        <v>18</v>
      </c>
      <c r="F2057">
        <v>9</v>
      </c>
      <c r="G2057">
        <v>1</v>
      </c>
      <c r="H2057" s="1">
        <v>4.0277777777777777E-3</v>
      </c>
      <c r="I2057" t="s">
        <v>23</v>
      </c>
      <c r="J2057" s="2" t="str">
        <f>HYPERLINK("https://www.nba.com/stats/events?CFID=&amp;CFPARAMS=&amp;GameEventID=64&amp;GameID=0022200766&amp;Season=2022-23&amp;flag=1&amp;title=Leonard%20DUNK%20(5%20PTS)%20(L.%20Kennard%201%20AST)", "DUNK (5 PTS) (L. Kennard 1 AST)")</f>
        <v>DUNK (5 PTS) (L. Kennard 1 AST)</v>
      </c>
      <c r="K2057" s="2" t="str">
        <f>HYPERLINK("https://www.nba.com/game/...-vs-...-0022200766/play-by-play?watchFullGame=true", "LAC vs CHI - Q1 05:48.00")</f>
        <v>LAC vs CHI - Q1 05:48.00</v>
      </c>
      <c r="L2057">
        <v>0.28999999999999998</v>
      </c>
      <c r="M2057">
        <v>5.86</v>
      </c>
      <c r="N2057">
        <v>49.75</v>
      </c>
      <c r="O2057">
        <v>1</v>
      </c>
      <c r="P2057">
        <v>3</v>
      </c>
    </row>
    <row r="2058" spans="1:16" x14ac:dyDescent="0.25">
      <c r="A2058">
        <v>21300039</v>
      </c>
      <c r="B2058">
        <v>2013</v>
      </c>
      <c r="C2058" t="s">
        <v>32</v>
      </c>
      <c r="D2058" t="s">
        <v>62</v>
      </c>
      <c r="E2058">
        <v>60</v>
      </c>
      <c r="F2058">
        <v>52</v>
      </c>
      <c r="G2058">
        <v>3</v>
      </c>
      <c r="H2058" s="1">
        <v>4.9652777777777777E-3</v>
      </c>
      <c r="I2058" t="s">
        <v>18</v>
      </c>
      <c r="J2058" s="2" t="str">
        <f>HYPERLINK("https://www.nba.com/stats/events?CFID=&amp;CFPARAMS=&amp;GameEventID=279&amp;GameID=0021300039&amp;Season=2013-14&amp;flag=1&amp;title=Leonard%20%20Dunk%20(9%20PTS)%20(Parker%207%20AST)", "Leonard  Dunk (9 PTS) (Parker 7 AST)")</f>
        <v>Leonard  Dunk (9 PTS) (Parker 7 AST)</v>
      </c>
      <c r="K2058" s="2" t="str">
        <f>HYPERLINK("https://www.nba.com/game/...-vs-...-0021300039/play-by-play?watchFullGame=true", "SAS vs POR - Q3 07:09.00")</f>
        <v>SAS vs POR - Q3 07:09.00</v>
      </c>
      <c r="L2058">
        <v>0</v>
      </c>
      <c r="M2058">
        <v>1</v>
      </c>
      <c r="N2058">
        <v>3</v>
      </c>
      <c r="O2058">
        <v>1</v>
      </c>
      <c r="P2058">
        <v>3</v>
      </c>
    </row>
    <row r="2059" spans="1:16" x14ac:dyDescent="0.25">
      <c r="A2059">
        <v>22000188</v>
      </c>
      <c r="B2059">
        <v>2020</v>
      </c>
      <c r="C2059" t="s">
        <v>32</v>
      </c>
      <c r="D2059" t="s">
        <v>48</v>
      </c>
      <c r="E2059">
        <v>69</v>
      </c>
      <c r="F2059">
        <v>95</v>
      </c>
      <c r="G2059">
        <v>3</v>
      </c>
      <c r="H2059" s="1">
        <v>2.8009259259259259E-3</v>
      </c>
      <c r="I2059" t="s">
        <v>23</v>
      </c>
      <c r="J2059" s="2" t="str">
        <f>HYPERLINK("https://www.nba.com/stats/events?CFID=&amp;CFPARAMS=&amp;GameEventID=427&amp;GameID=0022000188&amp;Season=2020-21&amp;flag=1&amp;title=Leonard%20running%20DUNK%20(25%20PTS)", "Running DUNK (25 PTS)")</f>
        <v>Running DUNK (25 PTS)</v>
      </c>
      <c r="K2059" s="2" t="str">
        <f>HYPERLINK("https://www.nba.com/game/...-vs-...-0022000188/play-by-play?watchFullGame=true", "LAC vs SAC - Q3 04:02.00")</f>
        <v>LAC vs SAC - Q3 04:02.00</v>
      </c>
      <c r="L2059">
        <v>0.52</v>
      </c>
      <c r="M2059">
        <v>6.13</v>
      </c>
      <c r="N2059">
        <v>49.82</v>
      </c>
      <c r="O2059">
        <v>1</v>
      </c>
      <c r="P2059">
        <v>5</v>
      </c>
    </row>
    <row r="2060" spans="1:16" x14ac:dyDescent="0.25">
      <c r="A2060">
        <v>22300372</v>
      </c>
      <c r="B2060">
        <v>2023</v>
      </c>
      <c r="C2060" t="s">
        <v>32</v>
      </c>
      <c r="D2060" t="s">
        <v>47</v>
      </c>
      <c r="E2060">
        <v>71</v>
      </c>
      <c r="F2060">
        <v>77</v>
      </c>
      <c r="G2060">
        <v>3</v>
      </c>
      <c r="H2060" s="1">
        <v>3.6805555555555554E-3</v>
      </c>
      <c r="I2060" t="s">
        <v>23</v>
      </c>
      <c r="J2060" s="2" t="str">
        <f>HYPERLINK("https://www.nba.com/stats/events?CFID=&amp;CFPARAMS=&amp;GameEventID=393&amp;GameID=0022300372&amp;Season=2023-24&amp;flag=1&amp;title=Leonard%20driving%20reverse%20Layup%20(16%20PTS)%20(J.%20Harden%209%20AST)", "Driving reverse Layup (16 PTS) (J. Harden 9 AST)")</f>
        <v>Driving reverse Layup (16 PTS) (J. Harden 9 AST)</v>
      </c>
      <c r="K2060" s="2" t="str">
        <f>HYPERLINK("https://www.nba.com/game/...-vs-...-0022300372/play-by-play?watchFullGame=true", "LAC vs DAL - Q3 05:18.00")</f>
        <v>LAC vs DAL - Q3 05:18.00</v>
      </c>
      <c r="L2060">
        <v>0.64</v>
      </c>
      <c r="M2060">
        <v>6.26</v>
      </c>
      <c r="N2060">
        <v>49.75</v>
      </c>
      <c r="O2060">
        <v>1</v>
      </c>
      <c r="P2060">
        <v>6</v>
      </c>
    </row>
    <row r="2061" spans="1:16" x14ac:dyDescent="0.25">
      <c r="A2061">
        <v>22300553</v>
      </c>
      <c r="B2061">
        <v>2023</v>
      </c>
      <c r="C2061" t="s">
        <v>32</v>
      </c>
      <c r="D2061" t="s">
        <v>48</v>
      </c>
      <c r="E2061">
        <v>21</v>
      </c>
      <c r="F2061">
        <v>12</v>
      </c>
      <c r="G2061">
        <v>1</v>
      </c>
      <c r="H2061" s="1">
        <v>2.2685185185185187E-3</v>
      </c>
      <c r="I2061" t="s">
        <v>23</v>
      </c>
      <c r="J2061" s="2" t="str">
        <f>HYPERLINK("https://www.nba.com/stats/events?CFID=&amp;CFPARAMS=&amp;GameEventID=98&amp;GameID=0022300553&amp;Season=2023-24&amp;flag=1&amp;title=Leonard%20running%20DUNK%20(8%20PTS)%20(R.%20Westbrook%202%20AST)", "Running DUNK (8 PTS) (R. Westbrook 2 AST)")</f>
        <v>Running DUNK (8 PTS) (R. Westbrook 2 AST)</v>
      </c>
      <c r="K2061" s="2" t="str">
        <f>HYPERLINK("https://www.nba.com/game/...-vs-...-0022300553/play-by-play?watchFullGame=true", "LAC vs MIN - Q1 03:16.00")</f>
        <v>LAC vs MIN - Q1 03:16.00</v>
      </c>
      <c r="L2061">
        <v>0.64</v>
      </c>
      <c r="M2061">
        <v>6.26</v>
      </c>
      <c r="N2061">
        <v>49.75</v>
      </c>
      <c r="O2061">
        <v>1</v>
      </c>
      <c r="P2061">
        <v>6</v>
      </c>
    </row>
    <row r="2062" spans="1:16" x14ac:dyDescent="0.25">
      <c r="A2062">
        <v>21300229</v>
      </c>
      <c r="B2062">
        <v>2013</v>
      </c>
      <c r="C2062" t="s">
        <v>32</v>
      </c>
      <c r="D2062" t="s">
        <v>57</v>
      </c>
      <c r="E2062">
        <v>13</v>
      </c>
      <c r="F2062">
        <v>12</v>
      </c>
      <c r="G2062">
        <v>1</v>
      </c>
      <c r="H2062" s="1">
        <v>5.208333333333333E-3</v>
      </c>
      <c r="I2062" t="s">
        <v>18</v>
      </c>
      <c r="J2062" s="2" t="str">
        <f>HYPERLINK("https://www.nba.com/stats/events?CFID=&amp;CFPARAMS=&amp;GameEventID=31&amp;GameID=0021300229&amp;Season=2013-14&amp;flag=1&amp;title=Leonard%201'%20Layup%20(4%20PTS)%20(Green%201%20AST)", "Leonard 1' Layup (4 PTS) (Green 1 AST)")</f>
        <v>Leonard 1' Layup (4 PTS) (Green 1 AST)</v>
      </c>
      <c r="K2062" s="2" t="str">
        <f>HYPERLINK("https://www.nba.com/game/...-vs-...-0021300229/play-by-play?watchFullGame=true", "SAS vs ORL - Q1 07:30.00")</f>
        <v>SAS vs ORL - Q1 07:30.00</v>
      </c>
      <c r="L2062">
        <v>1</v>
      </c>
      <c r="M2062">
        <v>1</v>
      </c>
      <c r="N2062">
        <v>7</v>
      </c>
      <c r="O2062">
        <v>1</v>
      </c>
      <c r="P2062">
        <v>7</v>
      </c>
    </row>
    <row r="2063" spans="1:16" x14ac:dyDescent="0.25">
      <c r="A2063">
        <v>21500546</v>
      </c>
      <c r="B2063">
        <v>2015</v>
      </c>
      <c r="C2063" t="s">
        <v>32</v>
      </c>
      <c r="D2063" t="s">
        <v>71</v>
      </c>
      <c r="E2063">
        <v>8</v>
      </c>
      <c r="F2063">
        <v>9</v>
      </c>
      <c r="G2063">
        <v>1</v>
      </c>
      <c r="H2063" s="1">
        <v>5.0231481481481481E-3</v>
      </c>
      <c r="I2063" t="s">
        <v>18</v>
      </c>
      <c r="J2063" s="2" t="str">
        <f>HYPERLINK("https://www.nba.com/stats/events?CFID=&amp;CFPARAMS=&amp;GameEventID=51&amp;GameID=0021500546&amp;Season=2015-16&amp;flag=1&amp;title=Leonard%201'%20Tip%20Layup%20Shot%20(4%20PTS)", "Leonard 1' Tip Layup Shot (4 PTS)")</f>
        <v>Leonard 1' Tip Layup Shot (4 PTS)</v>
      </c>
      <c r="K2063" s="2" t="str">
        <f>HYPERLINK("https://www.nba.com/game/...-vs-...-0021500546/play-by-play?watchFullGame=true", "SAS vs NYK - Q1 07:14.00")</f>
        <v>SAS vs NYK - Q1 07:14.00</v>
      </c>
      <c r="L2063">
        <v>1</v>
      </c>
      <c r="M2063">
        <v>1</v>
      </c>
      <c r="N2063">
        <v>7</v>
      </c>
      <c r="O2063">
        <v>1</v>
      </c>
      <c r="P2063">
        <v>7</v>
      </c>
    </row>
    <row r="2064" spans="1:16" x14ac:dyDescent="0.25">
      <c r="A2064">
        <v>41500231</v>
      </c>
      <c r="B2064" t="s">
        <v>25</v>
      </c>
      <c r="C2064" t="s">
        <v>32</v>
      </c>
      <c r="D2064" t="s">
        <v>56</v>
      </c>
      <c r="E2064">
        <v>19</v>
      </c>
      <c r="F2064">
        <v>6</v>
      </c>
      <c r="G2064">
        <v>1</v>
      </c>
      <c r="H2064" s="1">
        <v>4.9768518518518521E-3</v>
      </c>
      <c r="I2064" t="s">
        <v>18</v>
      </c>
      <c r="J2064" s="2" t="str">
        <f>HYPERLINK("https://www.nba.com/stats/events?CFID=&amp;CFPARAMS=&amp;GameEventID=38&amp;GameID=0041500231&amp;Season=2015-16&amp;flag=1&amp;title=Leonard%201'%20Running%20Layup%20(8%20PTS)", "Leonard 1' Running Layup (8 PTS)")</f>
        <v>Leonard 1' Running Layup (8 PTS)</v>
      </c>
      <c r="K2064" s="2" t="str">
        <f>HYPERLINK("https://www.nba.com/game/...-vs-...-0041500231/play-by-play?watchFullGame=true", "SAS vs OKC - Q1 07:10.00")</f>
        <v>SAS vs OKC - Q1 07:10.00</v>
      </c>
      <c r="L2064">
        <v>1</v>
      </c>
      <c r="M2064">
        <v>1</v>
      </c>
      <c r="N2064">
        <v>7</v>
      </c>
      <c r="O2064">
        <v>1</v>
      </c>
      <c r="P2064">
        <v>7</v>
      </c>
    </row>
    <row r="2065" spans="1:16" x14ac:dyDescent="0.25">
      <c r="A2065">
        <v>21400266</v>
      </c>
      <c r="B2065">
        <v>2014</v>
      </c>
      <c r="C2065" t="s">
        <v>32</v>
      </c>
      <c r="D2065" t="s">
        <v>72</v>
      </c>
      <c r="E2065">
        <v>82</v>
      </c>
      <c r="F2065">
        <v>77</v>
      </c>
      <c r="G2065">
        <v>4</v>
      </c>
      <c r="H2065" s="1">
        <v>2.0486111111111113E-3</v>
      </c>
      <c r="I2065" t="s">
        <v>18</v>
      </c>
      <c r="J2065" s="2" t="str">
        <f>HYPERLINK("https://www.nba.com/stats/events?CFID=&amp;CFPARAMS=&amp;GameEventID=436&amp;GameID=0021400266&amp;Season=2014-15&amp;flag=1&amp;title=Leonard%201'%20Tip%20Shot%20(10%20PTS)", "Leonard 1' Tip Shot (10 PTS)")</f>
        <v>Leonard 1' Tip Shot (10 PTS)</v>
      </c>
      <c r="K2065" s="2" t="str">
        <f>HYPERLINK("https://www.nba.com/game/...-vs-...-0021400266/play-by-play?watchFullGame=true", "SAS vs BKN - Q4 02:57.00")</f>
        <v>SAS vs BKN - Q4 02:57.00</v>
      </c>
      <c r="L2065">
        <v>1</v>
      </c>
      <c r="M2065">
        <v>1</v>
      </c>
      <c r="N2065">
        <v>9</v>
      </c>
      <c r="O2065">
        <v>1</v>
      </c>
      <c r="P2065">
        <v>9</v>
      </c>
    </row>
    <row r="2066" spans="1:16" x14ac:dyDescent="0.25">
      <c r="A2066">
        <v>22000720</v>
      </c>
      <c r="B2066">
        <v>2020</v>
      </c>
      <c r="C2066" t="s">
        <v>32</v>
      </c>
      <c r="D2066" t="s">
        <v>48</v>
      </c>
      <c r="E2066">
        <v>48</v>
      </c>
      <c r="F2066">
        <v>37</v>
      </c>
      <c r="G2066">
        <v>2</v>
      </c>
      <c r="H2066" s="1">
        <v>7.7546296296296293E-4</v>
      </c>
      <c r="I2066" t="s">
        <v>23</v>
      </c>
      <c r="J2066" s="2" t="str">
        <f>HYPERLINK("https://www.nba.com/stats/events?CFID=&amp;CFPARAMS=&amp;GameEventID=264&amp;GameID=0022000720&amp;Season=2020-21&amp;flag=1&amp;title=Leonard%20driving%20DUNK%20(13%20PTS)", "Driving DUNK (13 PTS)")</f>
        <v>Driving DUNK (13 PTS)</v>
      </c>
      <c r="K2066" s="2" t="str">
        <f>HYPERLINK("https://www.nba.com/game/...-vs-...-0022000720/play-by-play?watchFullGame=true", "LAC vs ORL - Q2 01:07.00")</f>
        <v>LAC vs ORL - Q2 01:07.00</v>
      </c>
      <c r="L2066">
        <v>1.1299999999999999</v>
      </c>
      <c r="M2066">
        <v>6.78</v>
      </c>
      <c r="N2066">
        <v>49.82</v>
      </c>
      <c r="O2066">
        <v>1</v>
      </c>
      <c r="P2066">
        <v>11</v>
      </c>
    </row>
    <row r="2067" spans="1:16" x14ac:dyDescent="0.25">
      <c r="A2067">
        <v>22300770</v>
      </c>
      <c r="B2067">
        <v>2023</v>
      </c>
      <c r="C2067" t="s">
        <v>32</v>
      </c>
      <c r="D2067" t="s">
        <v>48</v>
      </c>
      <c r="E2067">
        <v>24</v>
      </c>
      <c r="F2067">
        <v>28</v>
      </c>
      <c r="G2067">
        <v>1</v>
      </c>
      <c r="H2067" s="1">
        <v>9.9537037037037031E-5</v>
      </c>
      <c r="I2067" t="s">
        <v>23</v>
      </c>
      <c r="J2067" s="2" t="str">
        <f>HYPERLINK("https://www.nba.com/stats/events?CFID=&amp;CFPARAMS=&amp;GameEventID=157&amp;GameID=0022300770&amp;Season=2023-24&amp;flag=1&amp;title=Leonard%20running%20DUNK%20(11%20PTS)%20(M.%20Plumlee%201%20AST)", "Running DUNK (11 PTS) (M. Plumlee 1 AST)")</f>
        <v>Running DUNK (11 PTS) (M. Plumlee 1 AST)</v>
      </c>
      <c r="K2067" s="2" t="str">
        <f>HYPERLINK("https://www.nba.com/game/...-vs-...-0022300770/play-by-play?watchFullGame=true", "LAC vs MIN - Q1 00:08.60")</f>
        <v>LAC vs MIN - Q1 00:08.60</v>
      </c>
      <c r="L2067">
        <v>1.1100000000000001</v>
      </c>
      <c r="M2067">
        <v>6.75</v>
      </c>
      <c r="N2067">
        <v>49.75</v>
      </c>
      <c r="O2067">
        <v>1</v>
      </c>
      <c r="P2067">
        <v>11</v>
      </c>
    </row>
    <row r="2068" spans="1:16" x14ac:dyDescent="0.25">
      <c r="A2068">
        <v>22200871</v>
      </c>
      <c r="B2068">
        <v>2022</v>
      </c>
      <c r="C2068" t="s">
        <v>32</v>
      </c>
      <c r="D2068" t="s">
        <v>47</v>
      </c>
      <c r="E2068">
        <v>73</v>
      </c>
      <c r="F2068">
        <v>73</v>
      </c>
      <c r="G2068">
        <v>3</v>
      </c>
      <c r="H2068" s="1">
        <v>6.4930555555555557E-3</v>
      </c>
      <c r="I2068" t="s">
        <v>23</v>
      </c>
      <c r="J2068" s="2" t="str">
        <f>HYPERLINK("https://www.nba.com/stats/events?CFID=&amp;CFPARAMS=&amp;GameEventID=362&amp;GameID=0022200871&amp;Season=2022-23&amp;flag=1&amp;title=Leonard%20driving%20Layup%20(21%20PTS)%20(P.%20George%205%20AST)", "Driving Layup (21 PTS) (P. George 5 AST)")</f>
        <v>Driving Layup (21 PTS) (P. George 5 AST)</v>
      </c>
      <c r="K2068" s="2" t="str">
        <f>HYPERLINK("https://www.nba.com/game/...-vs-...-0022200871/play-by-play?watchFullGame=true", "LAC vs GSW - Q3 09:21.00")</f>
        <v>LAC vs GSW - Q3 09:21.00</v>
      </c>
      <c r="L2068">
        <v>1.1100000000000001</v>
      </c>
      <c r="M2068">
        <v>6.75</v>
      </c>
      <c r="N2068">
        <v>49.75</v>
      </c>
      <c r="O2068">
        <v>1</v>
      </c>
      <c r="P2068">
        <v>11</v>
      </c>
    </row>
    <row r="2069" spans="1:16" x14ac:dyDescent="0.25">
      <c r="A2069">
        <v>22300568</v>
      </c>
      <c r="B2069">
        <v>2023</v>
      </c>
      <c r="C2069" t="s">
        <v>32</v>
      </c>
      <c r="D2069" t="s">
        <v>48</v>
      </c>
      <c r="E2069">
        <v>75</v>
      </c>
      <c r="F2069">
        <v>66</v>
      </c>
      <c r="G2069">
        <v>3</v>
      </c>
      <c r="H2069" s="1">
        <v>6.875E-3</v>
      </c>
      <c r="I2069" t="s">
        <v>23</v>
      </c>
      <c r="J2069" s="2" t="str">
        <f>HYPERLINK("https://www.nba.com/stats/events?CFID=&amp;CFPARAMS=&amp;GameEventID=337&amp;GameID=0022300568&amp;Season=2023-24&amp;flag=1&amp;title=Leonard%20driving%20DUNK%20(13%20PTS)%20(J.%20Harden%203%20AST)", "Driving DUNK (13 PTS) (J. Harden 3 AST)")</f>
        <v>Driving DUNK (13 PTS) (J. Harden 3 AST)</v>
      </c>
      <c r="K2069" s="2" t="str">
        <f>HYPERLINK("https://www.nba.com/game/...-vs-...-0022300568/play-by-play?watchFullGame=true", "LAC vs OKC - Q3 09:54.00")</f>
        <v>LAC vs OKC - Q3 09:54.00</v>
      </c>
      <c r="L2069">
        <v>1.1100000000000001</v>
      </c>
      <c r="M2069">
        <v>6.75</v>
      </c>
      <c r="N2069">
        <v>49.75</v>
      </c>
      <c r="O2069">
        <v>1</v>
      </c>
      <c r="P2069">
        <v>11</v>
      </c>
    </row>
    <row r="2070" spans="1:16" x14ac:dyDescent="0.25">
      <c r="A2070">
        <v>41200235</v>
      </c>
      <c r="B2070" t="s">
        <v>27</v>
      </c>
      <c r="C2070" t="s">
        <v>32</v>
      </c>
      <c r="D2070" t="s">
        <v>62</v>
      </c>
      <c r="E2070">
        <v>64</v>
      </c>
      <c r="F2070">
        <v>58</v>
      </c>
      <c r="G2070">
        <v>3</v>
      </c>
      <c r="H2070" s="1">
        <v>5.7870370370370367E-3</v>
      </c>
      <c r="I2070" t="s">
        <v>18</v>
      </c>
      <c r="J2070" s="2" t="str">
        <f>HYPERLINK("https://www.nba.com/stats/events?CFID=&amp;CFPARAMS=&amp;GameEventID=272&amp;GameID=0041200235&amp;Season=2012-13&amp;flag=1&amp;title=Leonard%201'%20Dunk%20(11%20PTS)%20(Green%203%20AST)", "Leonard 1' Dunk (11 PTS) (Green 3 AST)")</f>
        <v>Leonard 1' Dunk (11 PTS) (Green 3 AST)</v>
      </c>
      <c r="K2070" s="2" t="str">
        <f>HYPERLINK("https://www.nba.com/game/...-vs-...-0041200235/play-by-play?watchFullGame=true", "SAS vs GSW - Q3 08:20.00")</f>
        <v>SAS vs GSW - Q3 08:20.00</v>
      </c>
      <c r="L2070">
        <v>1</v>
      </c>
      <c r="M2070">
        <v>1</v>
      </c>
      <c r="N2070">
        <v>12</v>
      </c>
      <c r="O2070">
        <v>1</v>
      </c>
      <c r="P2070">
        <v>12</v>
      </c>
    </row>
    <row r="2071" spans="1:16" x14ac:dyDescent="0.25">
      <c r="A2071">
        <v>21300057</v>
      </c>
      <c r="B2071">
        <v>2013</v>
      </c>
      <c r="C2071" t="s">
        <v>32</v>
      </c>
      <c r="D2071" t="s">
        <v>62</v>
      </c>
      <c r="E2071">
        <v>74</v>
      </c>
      <c r="F2071">
        <v>68</v>
      </c>
      <c r="G2071">
        <v>3</v>
      </c>
      <c r="H2071" s="1">
        <v>2.8472222222222223E-3</v>
      </c>
      <c r="I2071" t="s">
        <v>18</v>
      </c>
      <c r="J2071" s="2" t="str">
        <f>HYPERLINK("https://www.nba.com/stats/events?CFID=&amp;CFPARAMS=&amp;GameEventID=347&amp;GameID=0021300057&amp;Season=2013-14&amp;flag=1&amp;title=Leonard%201'%20Dunk%20(10%20PTS)%20(Duncan%207%20AST)", "Leonard 1' Dunk (10 PTS) (Duncan 7 AST)")</f>
        <v>Leonard 1' Dunk (10 PTS) (Duncan 7 AST)</v>
      </c>
      <c r="K2071" s="2" t="str">
        <f>HYPERLINK("https://www.nba.com/game/...-vs-...-0021300057/play-by-play?watchFullGame=true", "SAS vs DEN - Q3 04:06.00")</f>
        <v>SAS vs DEN - Q3 04:06.00</v>
      </c>
      <c r="L2071">
        <v>1</v>
      </c>
      <c r="M2071">
        <v>1</v>
      </c>
      <c r="N2071">
        <v>14</v>
      </c>
      <c r="O2071">
        <v>1</v>
      </c>
      <c r="P2071">
        <v>14</v>
      </c>
    </row>
    <row r="2072" spans="1:16" x14ac:dyDescent="0.25">
      <c r="A2072">
        <v>22300372</v>
      </c>
      <c r="B2072">
        <v>2023</v>
      </c>
      <c r="C2072" t="s">
        <v>32</v>
      </c>
      <c r="D2072" t="s">
        <v>47</v>
      </c>
      <c r="E2072">
        <v>11</v>
      </c>
      <c r="F2072">
        <v>12</v>
      </c>
      <c r="G2072">
        <v>1</v>
      </c>
      <c r="H2072" s="1">
        <v>4.5833333333333334E-3</v>
      </c>
      <c r="I2072" t="s">
        <v>23</v>
      </c>
      <c r="J2072" s="2" t="str">
        <f>HYPERLINK("https://www.nba.com/stats/events?CFID=&amp;CFPARAMS=&amp;GameEventID=62&amp;GameID=0022300372&amp;Season=2023-24&amp;flag=1&amp;title=Leonard%20putback%20Layup%20(4%20PTS)", "Putback Layup (4 PTS)")</f>
        <v>Putback Layup (4 PTS)</v>
      </c>
      <c r="K2072" s="2" t="str">
        <f>HYPERLINK("https://www.nba.com/game/...-vs-...-0022300372/play-by-play?watchFullGame=true", "LAC vs DAL - Q1 06:36.00")</f>
        <v>LAC vs DAL - Q1 06:36.00</v>
      </c>
      <c r="L2072">
        <v>1.47</v>
      </c>
      <c r="M2072">
        <v>92.85</v>
      </c>
      <c r="N2072">
        <v>50.25</v>
      </c>
      <c r="O2072">
        <v>1</v>
      </c>
      <c r="P2072">
        <v>15</v>
      </c>
    </row>
    <row r="2073" spans="1:16" x14ac:dyDescent="0.25">
      <c r="A2073">
        <v>22300770</v>
      </c>
      <c r="B2073">
        <v>2023</v>
      </c>
      <c r="C2073" t="s">
        <v>32</v>
      </c>
      <c r="D2073" t="s">
        <v>47</v>
      </c>
      <c r="E2073">
        <v>64</v>
      </c>
      <c r="F2073">
        <v>62</v>
      </c>
      <c r="G2073">
        <v>3</v>
      </c>
      <c r="H2073" s="1">
        <v>4.8263888888888887E-3</v>
      </c>
      <c r="I2073" t="s">
        <v>23</v>
      </c>
      <c r="J2073" s="2" t="str">
        <f>HYPERLINK("https://www.nba.com/stats/events?CFID=&amp;CFPARAMS=&amp;GameEventID=368&amp;GameID=0022300770&amp;Season=2023-24&amp;flag=1&amp;title=Leonard%20Layup%20(16%20PTS)%20(R.%20Westbrook%203%20AST)", "Layup (16 PTS) (R. Westbrook 3 AST)")</f>
        <v>Layup (16 PTS) (R. Westbrook 3 AST)</v>
      </c>
      <c r="K2073" s="2" t="str">
        <f>HYPERLINK("https://www.nba.com/game/...-vs-...-0022300770/play-by-play?watchFullGame=true", "LAC vs MIN - Q3 06:57.00")</f>
        <v>LAC vs MIN - Q3 06:57.00</v>
      </c>
      <c r="L2073">
        <v>1.5</v>
      </c>
      <c r="M2073">
        <v>92.82</v>
      </c>
      <c r="N2073">
        <v>50.25</v>
      </c>
      <c r="O2073">
        <v>1</v>
      </c>
      <c r="P2073">
        <v>15</v>
      </c>
    </row>
    <row r="2074" spans="1:16" x14ac:dyDescent="0.25">
      <c r="A2074">
        <v>21400102</v>
      </c>
      <c r="B2074">
        <v>2014</v>
      </c>
      <c r="C2074" t="s">
        <v>32</v>
      </c>
      <c r="D2074" t="s">
        <v>62</v>
      </c>
      <c r="E2074">
        <v>28</v>
      </c>
      <c r="F2074">
        <v>22</v>
      </c>
      <c r="G2074">
        <v>2</v>
      </c>
      <c r="H2074" s="1">
        <v>5.4513888888888893E-3</v>
      </c>
      <c r="I2074" t="s">
        <v>18</v>
      </c>
      <c r="J2074" s="2" t="str">
        <f>HYPERLINK("https://www.nba.com/stats/events?CFID=&amp;CFPARAMS=&amp;GameEventID=147&amp;GameID=0021400102&amp;Season=2014-15&amp;flag=1&amp;title=Leonard%202'%20Dunk%20(8%20PTS)%20(Duncan%202%20AST)", "Leonard 2' Dunk (8 PTS) (Duncan 2 AST)")</f>
        <v>Leonard 2' Dunk (8 PTS) (Duncan 2 AST)</v>
      </c>
      <c r="K2074" s="2" t="str">
        <f>HYPERLINK("https://www.nba.com/game/...-vs-...-0021400102/play-by-play?watchFullGame=true", "SAS vs LAC - Q2 07:51.00")</f>
        <v>SAS vs LAC - Q2 07:51.00</v>
      </c>
      <c r="L2074">
        <v>2</v>
      </c>
      <c r="M2074">
        <v>1</v>
      </c>
      <c r="N2074">
        <v>17</v>
      </c>
      <c r="O2074">
        <v>1</v>
      </c>
      <c r="P2074">
        <v>17</v>
      </c>
    </row>
    <row r="2075" spans="1:16" x14ac:dyDescent="0.25">
      <c r="A2075">
        <v>22000172</v>
      </c>
      <c r="B2075">
        <v>2020</v>
      </c>
      <c r="C2075" t="s">
        <v>32</v>
      </c>
      <c r="D2075" t="s">
        <v>48</v>
      </c>
      <c r="E2075">
        <v>77</v>
      </c>
      <c r="F2075">
        <v>67</v>
      </c>
      <c r="G2075">
        <v>3</v>
      </c>
      <c r="H2075" s="1">
        <v>1.9675925925925924E-3</v>
      </c>
      <c r="I2075" t="s">
        <v>23</v>
      </c>
      <c r="J2075" s="2" t="str">
        <f>HYPERLINK("https://www.nba.com/stats/events?CFID=&amp;CFPARAMS=&amp;GameEventID=396&amp;GameID=0022000172&amp;Season=2020-21&amp;flag=1&amp;title=Leonard%20driving%20DUNK%20(14%20PTS)", "Driving DUNK (14 PTS)")</f>
        <v>Driving DUNK (14 PTS)</v>
      </c>
      <c r="K2075" s="2" t="str">
        <f>HYPERLINK("https://www.nba.com/game/...-vs-...-0022000172/play-by-play?watchFullGame=true", "LAC vs NOP - Q3 02:50.00")</f>
        <v>LAC vs NOP - Q3 02:50.00</v>
      </c>
      <c r="L2075">
        <v>1.74</v>
      </c>
      <c r="M2075">
        <v>92.56</v>
      </c>
      <c r="N2075">
        <v>50.18</v>
      </c>
      <c r="O2075">
        <v>1</v>
      </c>
      <c r="P2075">
        <v>17</v>
      </c>
    </row>
    <row r="2076" spans="1:16" x14ac:dyDescent="0.25">
      <c r="A2076">
        <v>41300311</v>
      </c>
      <c r="B2076" t="s">
        <v>26</v>
      </c>
      <c r="C2076" t="s">
        <v>32</v>
      </c>
      <c r="D2076" t="s">
        <v>49</v>
      </c>
      <c r="E2076">
        <v>95</v>
      </c>
      <c r="F2076">
        <v>82</v>
      </c>
      <c r="G2076">
        <v>4</v>
      </c>
      <c r="H2076" s="1">
        <v>6.9212962962962961E-3</v>
      </c>
      <c r="I2076" t="s">
        <v>18</v>
      </c>
      <c r="J2076" s="2" t="str">
        <f>HYPERLINK("https://www.nba.com/stats/events?CFID=&amp;CFPARAMS=&amp;GameEventID=392&amp;GameID=0041300311&amp;Season=2013-14&amp;flag=1&amp;title=Leonard%202'%20Driving%20Layup%20(13%20PTS)%20(Belinelli%201%20AST)", "Leonard 2' Driving Layup (13 PTS) (Belinelli 1 AST)")</f>
        <v>Leonard 2' Driving Layup (13 PTS) (Belinelli 1 AST)</v>
      </c>
      <c r="K2076" s="2" t="str">
        <f>HYPERLINK("https://www.nba.com/game/...-vs-...-0041300311/play-by-play?watchFullGame=true", "SAS vs OKC - Q4 09:58.00")</f>
        <v>SAS vs OKC - Q4 09:58.00</v>
      </c>
      <c r="L2076">
        <v>2</v>
      </c>
      <c r="M2076">
        <v>1</v>
      </c>
      <c r="N2076">
        <v>17</v>
      </c>
      <c r="O2076">
        <v>1</v>
      </c>
      <c r="P2076">
        <v>17</v>
      </c>
    </row>
    <row r="2077" spans="1:16" x14ac:dyDescent="0.25">
      <c r="A2077">
        <v>21300057</v>
      </c>
      <c r="B2077">
        <v>2013</v>
      </c>
      <c r="C2077" t="s">
        <v>32</v>
      </c>
      <c r="D2077" t="s">
        <v>67</v>
      </c>
      <c r="E2077">
        <v>69</v>
      </c>
      <c r="F2077">
        <v>62</v>
      </c>
      <c r="G2077">
        <v>3</v>
      </c>
      <c r="H2077" s="1">
        <v>4.3055555555555555E-3</v>
      </c>
      <c r="I2077" t="s">
        <v>18</v>
      </c>
      <c r="J2077" s="2" t="str">
        <f>HYPERLINK("https://www.nba.com/stats/events?CFID=&amp;CFPARAMS=&amp;GameEventID=319&amp;GameID=0021300057&amp;Season=2013-14&amp;flag=1&amp;title=Leonard%202'%20Driving%20Dunk%20(8%20PTS)%20(Ginobili%203%20AST)", "Leonard 2' Driving Dunk (8 PTS) (Ginobili 3 AST)")</f>
        <v>Leonard 2' Driving Dunk (8 PTS) (Ginobili 3 AST)</v>
      </c>
      <c r="K2077" s="2" t="str">
        <f>HYPERLINK("https://www.nba.com/game/...-vs-...-0021300057/play-by-play?watchFullGame=true", "SAS vs DEN - Q3 06:12.00")</f>
        <v>SAS vs DEN - Q3 06:12.00</v>
      </c>
      <c r="L2077">
        <v>2</v>
      </c>
      <c r="M2077">
        <v>1</v>
      </c>
      <c r="N2077">
        <v>19</v>
      </c>
      <c r="O2077">
        <v>1</v>
      </c>
      <c r="P2077">
        <v>19</v>
      </c>
    </row>
    <row r="2078" spans="1:16" x14ac:dyDescent="0.25">
      <c r="A2078">
        <v>41800305</v>
      </c>
      <c r="B2078" t="s">
        <v>20</v>
      </c>
      <c r="C2078" t="s">
        <v>32</v>
      </c>
      <c r="D2078" t="s">
        <v>49</v>
      </c>
      <c r="E2078">
        <v>20</v>
      </c>
      <c r="F2078">
        <v>11</v>
      </c>
      <c r="G2078">
        <v>1</v>
      </c>
      <c r="H2078" s="1">
        <v>3.4027777777777776E-3</v>
      </c>
      <c r="I2078" t="s">
        <v>21</v>
      </c>
      <c r="J2078" s="2" t="str">
        <f>HYPERLINK("https://www.nba.com/stats/events?CFID=&amp;CFPARAMS=&amp;GameEventID=98&amp;GameID=0041800305&amp;Season=2018-19&amp;flag=1&amp;title=Leonard%202'%20Driving%20Layup%20(8%20PTS)", "Leonard 2' Driving Layup (8 PTS)")</f>
        <v>Leonard 2' Driving Layup (8 PTS)</v>
      </c>
      <c r="K2078" s="2" t="str">
        <f>HYPERLINK("https://www.nba.com/game/...-vs-...-0041800305/play-by-play?watchFullGame=true", "TOR vs MIL - Q1 04:54.00")</f>
        <v>TOR vs MIL - Q1 04:54.00</v>
      </c>
      <c r="L2078">
        <v>2</v>
      </c>
      <c r="M2078">
        <v>1</v>
      </c>
      <c r="N2078">
        <v>20</v>
      </c>
      <c r="O2078">
        <v>1</v>
      </c>
      <c r="P2078">
        <v>20</v>
      </c>
    </row>
    <row r="2079" spans="1:16" x14ac:dyDescent="0.25">
      <c r="A2079">
        <v>21900212</v>
      </c>
      <c r="B2079">
        <v>2019</v>
      </c>
      <c r="C2079" t="s">
        <v>32</v>
      </c>
      <c r="D2079" t="s">
        <v>65</v>
      </c>
      <c r="E2079">
        <v>86</v>
      </c>
      <c r="F2079">
        <v>90</v>
      </c>
      <c r="G2079">
        <v>4</v>
      </c>
      <c r="H2079" s="1">
        <v>2.2685185185185187E-3</v>
      </c>
      <c r="I2079" t="s">
        <v>23</v>
      </c>
      <c r="J2079" s="2" t="str">
        <f>HYPERLINK("https://www.nba.com/stats/events?CFID=&amp;CFPARAMS=&amp;GameEventID=628&amp;GameID=0021900212&amp;Season=2019-20&amp;flag=1&amp;title=Leonard%20dunk%20(17%20PTS)%20(P.%20Beverley%206%20AST)", "Dunk (17 PTS) (P. Beverley 6 AST)")</f>
        <v>Dunk (17 PTS) (P. Beverley 6 AST)</v>
      </c>
      <c r="K2079" s="2" t="str">
        <f>HYPERLINK("https://www.nba.com/game/...-vs-...-0021900212/play-by-play?watchFullGame=true", "LAC vs BOS - Q4 03:16.00")</f>
        <v>LAC vs BOS - Q4 03:16.00</v>
      </c>
      <c r="L2079">
        <v>2.66</v>
      </c>
      <c r="M2079">
        <v>92.16</v>
      </c>
      <c r="N2079">
        <v>50.18</v>
      </c>
      <c r="O2079">
        <v>1</v>
      </c>
      <c r="P2079">
        <v>21</v>
      </c>
    </row>
    <row r="2080" spans="1:16" x14ac:dyDescent="0.25">
      <c r="A2080">
        <v>22300127</v>
      </c>
      <c r="B2080">
        <v>2023</v>
      </c>
      <c r="C2080" t="s">
        <v>32</v>
      </c>
      <c r="D2080" t="s">
        <v>47</v>
      </c>
      <c r="E2080">
        <v>59</v>
      </c>
      <c r="F2080">
        <v>72</v>
      </c>
      <c r="G2080">
        <v>3</v>
      </c>
      <c r="H2080" s="1">
        <v>6.2615740740740739E-3</v>
      </c>
      <c r="I2080" t="s">
        <v>23</v>
      </c>
      <c r="J2080" s="2" t="str">
        <f>HYPERLINK("https://www.nba.com/stats/events?CFID=&amp;CFPARAMS=&amp;GameEventID=354&amp;GameID=0022300127&amp;Season=2023-24&amp;flag=1&amp;title=Leonard%20driving%20Layup%20(24%20PTS)", "Driving Layup (24 PTS)")</f>
        <v>Driving Layup (24 PTS)</v>
      </c>
      <c r="K2080" s="2" t="str">
        <f>HYPERLINK("https://www.nba.com/game/...-vs-...-0022300127/play-by-play?watchFullGame=true", "LAC vs LAL - Q3 09:01.00")</f>
        <v>LAC vs LAL - Q3 09:01.00</v>
      </c>
      <c r="L2080">
        <v>3.2</v>
      </c>
      <c r="M2080">
        <v>8.98</v>
      </c>
      <c r="N2080">
        <v>49.75</v>
      </c>
      <c r="O2080">
        <v>1</v>
      </c>
      <c r="P2080">
        <v>32</v>
      </c>
    </row>
    <row r="2081" spans="1:16" x14ac:dyDescent="0.25">
      <c r="A2081">
        <v>21500040</v>
      </c>
      <c r="B2081">
        <v>2015</v>
      </c>
      <c r="C2081" t="s">
        <v>32</v>
      </c>
      <c r="D2081" t="s">
        <v>24</v>
      </c>
      <c r="E2081">
        <v>6</v>
      </c>
      <c r="F2081">
        <v>12</v>
      </c>
      <c r="G2081">
        <v>1</v>
      </c>
      <c r="H2081" s="1">
        <v>2.5925925925925925E-3</v>
      </c>
      <c r="I2081" t="s">
        <v>18</v>
      </c>
      <c r="J2081" s="2" t="str">
        <f>HYPERLINK("https://www.nba.com/stats/events?CFID=&amp;CFPARAMS=&amp;GameEventID=80&amp;GameID=0021500040&amp;Season=2015-16&amp;flag=1&amp;title=Leonard%205'%20Turnaround%20Jump%20Shot%20(6%20PTS)", "Leonard 5' Turnaround Jump Shot (6 PTS)")</f>
        <v>Leonard 5' Turnaround Jump Shot (6 PTS)</v>
      </c>
      <c r="K2081" s="2" t="str">
        <f>HYPERLINK("https://www.nba.com/game/...-vs-...-0021500040/play-by-play?watchFullGame=true", "SAS vs BOS - Q1 03:44.00")</f>
        <v>SAS vs BOS - Q1 03:44.00</v>
      </c>
      <c r="L2081">
        <v>5</v>
      </c>
      <c r="M2081">
        <v>1</v>
      </c>
      <c r="N2081">
        <v>46</v>
      </c>
      <c r="O2081">
        <v>1</v>
      </c>
      <c r="P2081">
        <v>46</v>
      </c>
    </row>
    <row r="2082" spans="1:16" x14ac:dyDescent="0.25">
      <c r="A2082">
        <v>21601099</v>
      </c>
      <c r="B2082">
        <v>2016</v>
      </c>
      <c r="C2082" t="s">
        <v>32</v>
      </c>
      <c r="D2082" t="s">
        <v>46</v>
      </c>
      <c r="E2082">
        <v>56</v>
      </c>
      <c r="F2082">
        <v>38</v>
      </c>
      <c r="G2082">
        <v>2</v>
      </c>
      <c r="H2082" s="1">
        <v>1.1805555555555556E-3</v>
      </c>
      <c r="I2082" t="s">
        <v>18</v>
      </c>
      <c r="J2082" s="2" t="str">
        <f>HYPERLINK("https://www.nba.com/stats/events?CFID=&amp;CFPARAMS=&amp;GameEventID=239&amp;GameID=0021601099&amp;Season=2016-17&amp;flag=1&amp;title=Leonard%205'%20Driving%20Floating%20Bank%20Jump%20Shot%20(12%20PTS)%20(Mills%205%20AST)", "Leonard 5' Driving Floating Bank Jump Shot (12 PTS) (Mills 5 AST)")</f>
        <v>Leonard 5' Driving Floating Bank Jump Shot (12 PTS) (Mills 5 AST)</v>
      </c>
      <c r="K2082" s="2" t="str">
        <f>HYPERLINK("https://www.nba.com/game/...-vs-...-0021601099/play-by-play?watchFullGame=true", "SAS vs CLE - Q2 01:42.00")</f>
        <v>SAS vs CLE - Q2 01:42.00</v>
      </c>
      <c r="L2082">
        <v>5</v>
      </c>
      <c r="M2082">
        <v>1</v>
      </c>
      <c r="N2082">
        <v>46</v>
      </c>
      <c r="O2082">
        <v>1</v>
      </c>
      <c r="P2082">
        <v>46</v>
      </c>
    </row>
    <row r="2083" spans="1:16" x14ac:dyDescent="0.25">
      <c r="A2083">
        <v>21500854</v>
      </c>
      <c r="B2083">
        <v>2015</v>
      </c>
      <c r="C2083" t="s">
        <v>32</v>
      </c>
      <c r="D2083" t="s">
        <v>40</v>
      </c>
      <c r="E2083">
        <v>34</v>
      </c>
      <c r="F2083">
        <v>42</v>
      </c>
      <c r="G2083">
        <v>2</v>
      </c>
      <c r="H2083" s="1">
        <v>3.7268518518518519E-3</v>
      </c>
      <c r="I2083" t="s">
        <v>18</v>
      </c>
      <c r="J2083" s="2" t="str">
        <f>HYPERLINK("https://www.nba.com/stats/events?CFID=&amp;CFPARAMS=&amp;GameEventID=198&amp;GameID=0021500854&amp;Season=2015-16&amp;flag=1&amp;title=Leonard%205'%20Hook%20Shot%20(7%20PTS)%20(Diaw%203%20AST)", "Leonard 5' Hook Shot (7 PTS) (Diaw 3 AST)")</f>
        <v>Leonard 5' Hook Shot (7 PTS) (Diaw 3 AST)</v>
      </c>
      <c r="K2083" s="2" t="str">
        <f>HYPERLINK("https://www.nba.com/game/...-vs-...-0021500854/play-by-play?watchFullGame=true", "SAS vs SAC - Q2 05:22.00")</f>
        <v>SAS vs SAC - Q2 05:22.00</v>
      </c>
      <c r="L2083">
        <v>5</v>
      </c>
      <c r="M2083">
        <v>1</v>
      </c>
      <c r="N2083">
        <v>47</v>
      </c>
      <c r="O2083">
        <v>1</v>
      </c>
      <c r="P2083">
        <v>47</v>
      </c>
    </row>
    <row r="2084" spans="1:16" x14ac:dyDescent="0.25">
      <c r="A2084">
        <v>21400191</v>
      </c>
      <c r="B2084">
        <v>2014</v>
      </c>
      <c r="C2084" t="s">
        <v>32</v>
      </c>
      <c r="D2084" t="s">
        <v>33</v>
      </c>
      <c r="E2084">
        <v>92</v>
      </c>
      <c r="F2084">
        <v>79</v>
      </c>
      <c r="G2084">
        <v>4</v>
      </c>
      <c r="H2084" s="1">
        <v>2.8240740740740739E-3</v>
      </c>
      <c r="I2084" t="s">
        <v>18</v>
      </c>
      <c r="J2084" s="2" t="str">
        <f>HYPERLINK("https://www.nba.com/stats/events?CFID=&amp;CFPARAMS=&amp;GameEventID=414&amp;GameID=0021400191&amp;Season=2014-15&amp;flag=1&amp;title=Leonard%207'%20Fadeaway%20Jumper%20(18%20PTS)", "Leonard 7' Fadeaway Jumper (18 PTS)")</f>
        <v>Leonard 7' Fadeaway Jumper (18 PTS)</v>
      </c>
      <c r="K2084" s="2" t="str">
        <f>HYPERLINK("https://www.nba.com/game/...-vs-...-0021400191/play-by-play?watchFullGame=true", "SAS vs BKN - Q4 04:04.00")</f>
        <v>SAS vs BKN - Q4 04:04.00</v>
      </c>
      <c r="L2084">
        <v>7</v>
      </c>
      <c r="M2084">
        <v>1</v>
      </c>
      <c r="N2084">
        <v>67</v>
      </c>
      <c r="O2084">
        <v>1</v>
      </c>
      <c r="P2084">
        <v>67</v>
      </c>
    </row>
    <row r="2085" spans="1:16" x14ac:dyDescent="0.25">
      <c r="A2085">
        <v>21401223</v>
      </c>
      <c r="B2085">
        <v>2014</v>
      </c>
      <c r="C2085" t="s">
        <v>32</v>
      </c>
      <c r="D2085" t="s">
        <v>24</v>
      </c>
      <c r="E2085">
        <v>69</v>
      </c>
      <c r="F2085">
        <v>55</v>
      </c>
      <c r="G2085">
        <v>3</v>
      </c>
      <c r="H2085" s="1">
        <v>5.9143518518518521E-3</v>
      </c>
      <c r="I2085" t="s">
        <v>18</v>
      </c>
      <c r="J2085" s="2" t="str">
        <f>HYPERLINK("https://www.nba.com/stats/events?CFID=&amp;CFPARAMS=&amp;GameEventID=245&amp;GameID=0021401223&amp;Season=2014-15&amp;flag=1&amp;title=Leonard%208'%20Turnaround%20Jump%20Shot%20(12%20PTS)", "Leonard 8' Turnaround Jump Shot (12 PTS)")</f>
        <v>Leonard 8' Turnaround Jump Shot (12 PTS)</v>
      </c>
      <c r="K2085" s="2" t="str">
        <f>HYPERLINK("https://www.nba.com/game/...-vs-...-0021401223/play-by-play?watchFullGame=true", "SAS vs NOP - Q3 08:31.00")</f>
        <v>SAS vs NOP - Q3 08:31.00</v>
      </c>
      <c r="L2085">
        <v>8</v>
      </c>
      <c r="M2085">
        <v>1</v>
      </c>
      <c r="N2085">
        <v>78</v>
      </c>
      <c r="O2085">
        <v>1</v>
      </c>
      <c r="P2085">
        <v>78</v>
      </c>
    </row>
    <row r="2086" spans="1:16" x14ac:dyDescent="0.25">
      <c r="A2086">
        <v>22200795</v>
      </c>
      <c r="B2086">
        <v>2022</v>
      </c>
      <c r="C2086" t="s">
        <v>32</v>
      </c>
      <c r="D2086" t="s">
        <v>19</v>
      </c>
      <c r="E2086">
        <v>73</v>
      </c>
      <c r="F2086">
        <v>81</v>
      </c>
      <c r="G2086">
        <v>3</v>
      </c>
      <c r="H2086" s="1">
        <v>3.7962962962962963E-3</v>
      </c>
      <c r="I2086" t="s">
        <v>23</v>
      </c>
      <c r="J2086" s="2" t="str">
        <f>HYPERLINK("https://www.nba.com/stats/events?CFID=&amp;CFPARAMS=&amp;GameEventID=369&amp;GameID=0022200795&amp;Season=2022-23&amp;flag=1&amp;title=Leonard%207'%20turnaround%20fadeaway%20Jump%20Shot%20(19%20PTS)", "7' turnaround fadeaway Jump Shot (19 PTS)")</f>
        <v>7' turnaround fadeaway Jump Shot (19 PTS)</v>
      </c>
      <c r="K2086" s="2" t="str">
        <f>HYPERLINK("https://www.nba.com/game/...-vs-...-0022200795/play-by-play?watchFullGame=true", "LAC vs NYK - Q3 05:28.00")</f>
        <v>LAC vs NYK - Q3 05:28.00</v>
      </c>
      <c r="L2086">
        <v>7.8</v>
      </c>
      <c r="M2086">
        <v>13.88</v>
      </c>
      <c r="N2086">
        <v>49.75</v>
      </c>
      <c r="O2086">
        <v>1</v>
      </c>
      <c r="P2086">
        <v>78</v>
      </c>
    </row>
    <row r="2087" spans="1:16" x14ac:dyDescent="0.25">
      <c r="A2087">
        <v>21600383</v>
      </c>
      <c r="B2087">
        <v>2016</v>
      </c>
      <c r="C2087" t="s">
        <v>32</v>
      </c>
      <c r="D2087" t="s">
        <v>33</v>
      </c>
      <c r="E2087">
        <v>24</v>
      </c>
      <c r="F2087">
        <v>19</v>
      </c>
      <c r="G2087">
        <v>1</v>
      </c>
      <c r="H2087" s="1">
        <v>2.2453703703703702E-3</v>
      </c>
      <c r="I2087" t="s">
        <v>18</v>
      </c>
      <c r="J2087" s="2" t="str">
        <f>HYPERLINK("https://www.nba.com/stats/events?CFID=&amp;CFPARAMS=&amp;GameEventID=81&amp;GameID=0021600383&amp;Season=2016-17&amp;flag=1&amp;title=Leonard%2010'%20Fadeaway%20Jumper%20(9%20PTS)", "Leonard 10' Fadeaway Jumper (9 PTS)")</f>
        <v>Leonard 10' Fadeaway Jumper (9 PTS)</v>
      </c>
      <c r="K2087" s="2" t="str">
        <f>HYPERLINK("https://www.nba.com/game/...-vs-...-0021600383/play-by-play?watchFullGame=true", "SAS vs BOS - Q1 03:14.00")</f>
        <v>SAS vs BOS - Q1 03:14.00</v>
      </c>
      <c r="L2087">
        <v>10</v>
      </c>
      <c r="M2087">
        <v>1</v>
      </c>
      <c r="N2087">
        <v>95</v>
      </c>
      <c r="O2087">
        <v>1</v>
      </c>
      <c r="P2087">
        <v>95</v>
      </c>
    </row>
    <row r="2088" spans="1:16" x14ac:dyDescent="0.25">
      <c r="A2088">
        <v>21500675</v>
      </c>
      <c r="B2088">
        <v>2015</v>
      </c>
      <c r="C2088" t="s">
        <v>32</v>
      </c>
      <c r="D2088" t="s">
        <v>33</v>
      </c>
      <c r="E2088">
        <v>76</v>
      </c>
      <c r="F2088">
        <v>58</v>
      </c>
      <c r="G2088">
        <v>3</v>
      </c>
      <c r="H2088" s="1">
        <v>5.0231481481481481E-3</v>
      </c>
      <c r="I2088" t="s">
        <v>18</v>
      </c>
      <c r="J2088" s="2" t="str">
        <f>HYPERLINK("https://www.nba.com/stats/events?CFID=&amp;CFPARAMS=&amp;GameEventID=304&amp;GameID=0021500675&amp;Season=2015-16&amp;flag=1&amp;title=Leonard%2011'%20Fadeaway%20Jumper%20(16%20PTS)", "Leonard 11' Fadeaway Jumper (16 PTS)")</f>
        <v>Leonard 11' Fadeaway Jumper (16 PTS)</v>
      </c>
      <c r="K2088" s="2" t="str">
        <f>HYPERLINK("https://www.nba.com/game/...-vs-...-0021500675/play-by-play?watchFullGame=true", "SAS vs GSW - Q3 07:14.00")</f>
        <v>SAS vs GSW - Q3 07:14.00</v>
      </c>
      <c r="L2088">
        <v>11</v>
      </c>
      <c r="M2088">
        <v>1</v>
      </c>
      <c r="N2088">
        <v>110</v>
      </c>
      <c r="O2088">
        <v>1</v>
      </c>
      <c r="P2088">
        <v>110</v>
      </c>
    </row>
    <row r="2089" spans="1:16" x14ac:dyDescent="0.25">
      <c r="A2089">
        <v>22301064</v>
      </c>
      <c r="B2089">
        <v>2023</v>
      </c>
      <c r="C2089" t="s">
        <v>32</v>
      </c>
      <c r="D2089" t="s">
        <v>44</v>
      </c>
      <c r="E2089">
        <v>48</v>
      </c>
      <c r="F2089">
        <v>52</v>
      </c>
      <c r="G2089">
        <v>2</v>
      </c>
      <c r="H2089" s="1">
        <v>1.0069444444444444E-3</v>
      </c>
      <c r="I2089" t="s">
        <v>23</v>
      </c>
      <c r="J2089" s="2" t="str">
        <f>HYPERLINK("https://www.nba.com/stats/events?CFID=&amp;CFPARAMS=&amp;GameEventID=301&amp;GameID=0022301064&amp;Season=2023-24&amp;flag=1&amp;title=Leonard%2011'%20driving%20Hook%20(10%20PTS)", "11' driving Hook (10 PTS)")</f>
        <v>11' driving Hook (10 PTS)</v>
      </c>
      <c r="K2089" s="2" t="str">
        <f>HYPERLINK("https://www.nba.com/game/...-vs-...-0022301064/play-by-play?watchFullGame=true", "LAC vs ORL - Q2 01:27.00")</f>
        <v>LAC vs ORL - Q2 01:27.00</v>
      </c>
      <c r="L2089">
        <v>11.13</v>
      </c>
      <c r="M2089">
        <v>17.43</v>
      </c>
      <c r="N2089">
        <v>49.75</v>
      </c>
      <c r="O2089">
        <v>1</v>
      </c>
      <c r="P2089">
        <v>111</v>
      </c>
    </row>
    <row r="2090" spans="1:16" x14ac:dyDescent="0.25">
      <c r="A2090">
        <v>21400108</v>
      </c>
      <c r="B2090">
        <v>2014</v>
      </c>
      <c r="C2090" t="s">
        <v>32</v>
      </c>
      <c r="D2090" t="s">
        <v>19</v>
      </c>
      <c r="E2090">
        <v>17</v>
      </c>
      <c r="F2090">
        <v>19</v>
      </c>
      <c r="G2090">
        <v>1</v>
      </c>
      <c r="H2090" s="1">
        <v>2.5462962962962965E-3</v>
      </c>
      <c r="I2090" t="s">
        <v>18</v>
      </c>
      <c r="J2090" s="2" t="str">
        <f>HYPERLINK("https://www.nba.com/stats/events?CFID=&amp;CFPARAMS=&amp;GameEventID=69&amp;GameID=0021400108&amp;Season=2014-15&amp;flag=1&amp;title=Leonard%2013'%20Jump%20Shot%20(6%20PTS)", "Leonard 13' Jump Shot (6 PTS)")</f>
        <v>Leonard 13' Jump Shot (6 PTS)</v>
      </c>
      <c r="K2090" s="2" t="str">
        <f>HYPERLINK("https://www.nba.com/game/...-vs-...-0021400108/play-by-play?watchFullGame=true", "SAS vs GSW - Q1 03:40.00")</f>
        <v>SAS vs GSW - Q1 03:40.00</v>
      </c>
      <c r="L2090">
        <v>13</v>
      </c>
      <c r="M2090">
        <v>1</v>
      </c>
      <c r="N2090">
        <v>127</v>
      </c>
      <c r="O2090">
        <v>1</v>
      </c>
      <c r="P2090">
        <v>127</v>
      </c>
    </row>
    <row r="2091" spans="1:16" x14ac:dyDescent="0.25">
      <c r="A2091">
        <v>21300382</v>
      </c>
      <c r="B2091">
        <v>2013</v>
      </c>
      <c r="C2091" t="s">
        <v>32</v>
      </c>
      <c r="D2091" t="s">
        <v>29</v>
      </c>
      <c r="E2091">
        <v>13</v>
      </c>
      <c r="F2091">
        <v>10</v>
      </c>
      <c r="G2091">
        <v>1</v>
      </c>
      <c r="H2091" s="1">
        <v>5.3009259259259259E-3</v>
      </c>
      <c r="I2091" t="s">
        <v>18</v>
      </c>
      <c r="J2091" s="2" t="str">
        <f>HYPERLINK("https://www.nba.com/stats/events?CFID=&amp;CFPARAMS=&amp;GameEventID=34&amp;GameID=0021300382&amp;Season=2013-14&amp;flag=1&amp;title=Leonard%2013'%20Pullup%20Jump%20Shot%20(2%20PTS)%20(Diaw%202%20AST)", "Leonard 13' Pullup Jump Shot (2 PTS) (Diaw 2 AST)")</f>
        <v>Leonard 13' Pullup Jump Shot (2 PTS) (Diaw 2 AST)</v>
      </c>
      <c r="K2091" s="2" t="str">
        <f>HYPERLINK("https://www.nba.com/game/...-vs-...-0021300382/play-by-play?watchFullGame=true", "SAS vs GSW - Q1 07:38.00")</f>
        <v>SAS vs GSW - Q1 07:38.00</v>
      </c>
      <c r="L2091">
        <v>13</v>
      </c>
      <c r="M2091">
        <v>1</v>
      </c>
      <c r="N2091">
        <v>132</v>
      </c>
      <c r="O2091">
        <v>1</v>
      </c>
      <c r="P2091">
        <v>132</v>
      </c>
    </row>
    <row r="2092" spans="1:16" x14ac:dyDescent="0.25">
      <c r="A2092">
        <v>41500236</v>
      </c>
      <c r="B2092" t="s">
        <v>25</v>
      </c>
      <c r="C2092" t="s">
        <v>16</v>
      </c>
      <c r="D2092" t="s">
        <v>19</v>
      </c>
      <c r="E2092">
        <v>94</v>
      </c>
      <c r="F2092">
        <v>73</v>
      </c>
      <c r="G2092">
        <v>4</v>
      </c>
      <c r="H2092" s="1">
        <v>6.1805555555555555E-3</v>
      </c>
      <c r="I2092" t="s">
        <v>18</v>
      </c>
      <c r="J2092" s="2" t="str">
        <f>HYPERLINK("https://www.nba.com/stats/events?CFID=&amp;CFPARAMS=&amp;GameEventID=421&amp;GameID=0041500236&amp;Season=2015-16&amp;flag=1&amp;title=Leonard%2024'%203PT%20Jump%20Shot%20(19%20PTS)%20(Ginobili%202%20AST)", "Leonard 24' 3PT Jump Shot (19 PTS) (Ginobili 2 AST)")</f>
        <v>Leonard 24' 3PT Jump Shot (19 PTS) (Ginobili 2 AST)</v>
      </c>
      <c r="K2092" s="2" t="str">
        <f>HYPERLINK("https://www.nba.com/game/...-vs-...-0041500236/play-by-play?watchFullGame=true", "SAS vs OKC - Q4 08:54.00")</f>
        <v>SAS vs OKC - Q4 08:54.00</v>
      </c>
      <c r="L2092">
        <v>24</v>
      </c>
      <c r="M2092">
        <v>1</v>
      </c>
      <c r="N2092">
        <v>242</v>
      </c>
      <c r="O2092">
        <v>1</v>
      </c>
      <c r="P2092">
        <v>242</v>
      </c>
    </row>
    <row r="2093" spans="1:16" x14ac:dyDescent="0.25">
      <c r="A2093">
        <v>41300405</v>
      </c>
      <c r="B2093" t="s">
        <v>26</v>
      </c>
      <c r="C2093" t="s">
        <v>16</v>
      </c>
      <c r="D2093" t="s">
        <v>19</v>
      </c>
      <c r="E2093">
        <v>37</v>
      </c>
      <c r="F2093">
        <v>35</v>
      </c>
      <c r="G2093">
        <v>2</v>
      </c>
      <c r="H2093" s="1">
        <v>3.3217592592592591E-3</v>
      </c>
      <c r="I2093" t="s">
        <v>18</v>
      </c>
      <c r="J2093" s="2" t="str">
        <f>HYPERLINK("https://www.nba.com/stats/events?CFID=&amp;CFPARAMS=&amp;GameEventID=201&amp;GameID=0041300405&amp;Season=2013-14&amp;flag=1&amp;title=Leonard%2025'%203PT%20Jump%20Shot%20(15%20PTS)", "Leonard 25' 3PT Jump Shot (15 PTS)")</f>
        <v>Leonard 25' 3PT Jump Shot (15 PTS)</v>
      </c>
      <c r="K2093" s="2" t="str">
        <f>HYPERLINK("https://www.nba.com/game/...-vs-...-0041300405/play-by-play?watchFullGame=true", "SAS vs MIA - Q2 04:47.00")</f>
        <v>SAS vs MIA - Q2 04:47.00</v>
      </c>
      <c r="L2093">
        <v>25</v>
      </c>
      <c r="M2093">
        <v>1</v>
      </c>
      <c r="N2093">
        <v>254</v>
      </c>
      <c r="O2093">
        <v>1</v>
      </c>
      <c r="P2093">
        <v>254</v>
      </c>
    </row>
    <row r="2094" spans="1:16" x14ac:dyDescent="0.25">
      <c r="A2094">
        <v>41600234</v>
      </c>
      <c r="B2094" t="s">
        <v>30</v>
      </c>
      <c r="C2094" t="s">
        <v>32</v>
      </c>
      <c r="D2094" t="s">
        <v>57</v>
      </c>
      <c r="E2094">
        <v>79</v>
      </c>
      <c r="F2094">
        <v>65</v>
      </c>
      <c r="G2094">
        <v>3</v>
      </c>
      <c r="H2094" s="1">
        <v>3.2754629629629631E-3</v>
      </c>
      <c r="I2094" t="s">
        <v>18</v>
      </c>
      <c r="J2094" s="2" t="str">
        <f>HYPERLINK("https://www.nba.com/stats/events?CFID=&amp;CFPARAMS=&amp;GameEventID=354&amp;GameID=0041600234&amp;Season=2016-17&amp;flag=1&amp;title=Leonard%201'%20Layup%20(16%20PTS)", "Leonard 1' Layup (16 PTS)")</f>
        <v>Leonard 1' Layup (16 PTS)</v>
      </c>
      <c r="K2094" s="2" t="str">
        <f>HYPERLINK("https://www.nba.com/game/...-vs-...-0041600234/play-by-play?watchFullGame=true", "SAS vs HOU - Q3 04:43.00")</f>
        <v>SAS vs HOU - Q3 04:43.00</v>
      </c>
      <c r="L2094">
        <v>1</v>
      </c>
      <c r="M2094">
        <v>2</v>
      </c>
      <c r="N2094">
        <v>-6</v>
      </c>
      <c r="O2094">
        <v>2</v>
      </c>
      <c r="P2094">
        <v>-6</v>
      </c>
    </row>
    <row r="2095" spans="1:16" x14ac:dyDescent="0.25">
      <c r="A2095">
        <v>21501063</v>
      </c>
      <c r="B2095">
        <v>2015</v>
      </c>
      <c r="C2095" t="s">
        <v>32</v>
      </c>
      <c r="D2095" t="s">
        <v>51</v>
      </c>
      <c r="E2095">
        <v>65</v>
      </c>
      <c r="F2095">
        <v>53</v>
      </c>
      <c r="G2095">
        <v>3</v>
      </c>
      <c r="H2095" s="1">
        <v>6.2731481481481484E-3</v>
      </c>
      <c r="I2095" t="s">
        <v>18</v>
      </c>
      <c r="J2095" s="2" t="str">
        <f>HYPERLINK("https://www.nba.com/stats/events?CFID=&amp;CFPARAMS=&amp;GameEventID=263&amp;GameID=0021501063&amp;Season=2015-16&amp;flag=1&amp;title=Leonard%201'%20Reverse%20Layup%20(26%20PTS)%20(Aldridge%201%20AST)", "Leonard 1' Reverse Layup (26 PTS) (Aldridge 1 AST)")</f>
        <v>Leonard 1' Reverse Layup (26 PTS) (Aldridge 1 AST)</v>
      </c>
      <c r="K2095" s="2" t="str">
        <f>HYPERLINK("https://www.nba.com/game/...-vs-...-0021501063/play-by-play?watchFullGame=true", "SAS vs MIA - Q3 09:02.00")</f>
        <v>SAS vs MIA - Q3 09:02.00</v>
      </c>
      <c r="L2095">
        <v>1</v>
      </c>
      <c r="M2095">
        <v>2</v>
      </c>
      <c r="N2095">
        <v>-5</v>
      </c>
      <c r="O2095">
        <v>2</v>
      </c>
      <c r="P2095">
        <v>-5</v>
      </c>
    </row>
    <row r="2096" spans="1:16" x14ac:dyDescent="0.25">
      <c r="A2096">
        <v>21900626</v>
      </c>
      <c r="B2096">
        <v>2019</v>
      </c>
      <c r="C2096" t="s">
        <v>32</v>
      </c>
      <c r="D2096" t="s">
        <v>65</v>
      </c>
      <c r="E2096">
        <v>96</v>
      </c>
      <c r="F2096">
        <v>86</v>
      </c>
      <c r="G2096">
        <v>3</v>
      </c>
      <c r="H2096" s="1">
        <v>3.9004629629629628E-3</v>
      </c>
      <c r="I2096" t="s">
        <v>23</v>
      </c>
      <c r="J2096" s="2" t="str">
        <f>HYPERLINK("https://www.nba.com/stats/events?CFID=&amp;CFPARAMS=&amp;GameEventID=465&amp;GameID=0021900626&amp;Season=2019-20&amp;flag=1&amp;title=Leonard%20dunk%20(31%20PTS)%20(I.%20Zubac%202%20AST)", "Dunk (31 PTS) (I. Zubac 2 AST)")</f>
        <v>Dunk (31 PTS) (I. Zubac 2 AST)</v>
      </c>
      <c r="K2096" s="2" t="str">
        <f>HYPERLINK("https://www.nba.com/game/...-vs-...-0021900626/play-by-play?watchFullGame=true", "LAC vs NOP - Q3 05:37.00")</f>
        <v>LAC vs NOP - Q3 05:37.00</v>
      </c>
      <c r="L2096">
        <v>0.23</v>
      </c>
      <c r="M2096">
        <v>94.83</v>
      </c>
      <c r="N2096">
        <v>50.31</v>
      </c>
      <c r="O2096">
        <v>2</v>
      </c>
      <c r="P2096">
        <v>-4</v>
      </c>
    </row>
    <row r="2097" spans="1:16" x14ac:dyDescent="0.25">
      <c r="A2097">
        <v>22000328</v>
      </c>
      <c r="B2097">
        <v>2020</v>
      </c>
      <c r="C2097" t="s">
        <v>32</v>
      </c>
      <c r="D2097" t="s">
        <v>47</v>
      </c>
      <c r="E2097">
        <v>49</v>
      </c>
      <c r="F2097">
        <v>61</v>
      </c>
      <c r="G2097">
        <v>3</v>
      </c>
      <c r="H2097" s="1">
        <v>6.5509259259259262E-3</v>
      </c>
      <c r="I2097" t="s">
        <v>23</v>
      </c>
      <c r="J2097" s="2" t="str">
        <f>HYPERLINK("https://www.nba.com/stats/events?CFID=&amp;CFPARAMS=&amp;GameEventID=314&amp;GameID=0022000328&amp;Season=2020-21&amp;flag=1&amp;title=Leonard%20driving%20Layup%20(18%20PTS)", "Driving Layup (18 PTS)")</f>
        <v>Driving Layup (18 PTS)</v>
      </c>
      <c r="K2097" s="2" t="str">
        <f>HYPERLINK("https://www.nba.com/game/...-vs-...-0022000328/play-by-play?watchFullGame=true", "LAC vs CLE - Q3 09:26.00")</f>
        <v>LAC vs CLE - Q3 09:26.00</v>
      </c>
      <c r="L2097">
        <v>0.28000000000000003</v>
      </c>
      <c r="M2097">
        <v>94.17</v>
      </c>
      <c r="N2097">
        <v>50.31</v>
      </c>
      <c r="O2097">
        <v>2</v>
      </c>
      <c r="P2097">
        <v>2</v>
      </c>
    </row>
    <row r="2098" spans="1:16" x14ac:dyDescent="0.25">
      <c r="A2098">
        <v>22000324</v>
      </c>
      <c r="B2098">
        <v>2020</v>
      </c>
      <c r="C2098" t="s">
        <v>32</v>
      </c>
      <c r="D2098" t="s">
        <v>48</v>
      </c>
      <c r="E2098">
        <v>97</v>
      </c>
      <c r="F2098">
        <v>99</v>
      </c>
      <c r="G2098">
        <v>4</v>
      </c>
      <c r="H2098" s="1">
        <v>5.1273148148148146E-3</v>
      </c>
      <c r="I2098" t="s">
        <v>23</v>
      </c>
      <c r="J2098" s="2" t="str">
        <f>HYPERLINK("https://www.nba.com/stats/events?CFID=&amp;CFPARAMS=&amp;GameEventID=505&amp;GameID=0022000324&amp;Season=2020-21&amp;flag=1&amp;title=Leonard%20running%20DUNK%20(27%20PTS)", "Running DUNK (27 PTS)")</f>
        <v>Running DUNK (27 PTS)</v>
      </c>
      <c r="K2098" s="2" t="str">
        <f>HYPERLINK("https://www.nba.com/game/...-vs-...-0022000324/play-by-play?watchFullGame=true", "LAC vs BKN - Q4 07:23.00")</f>
        <v>LAC vs BKN - Q4 07:23.00</v>
      </c>
      <c r="L2098">
        <v>0.28000000000000003</v>
      </c>
      <c r="M2098">
        <v>94.17</v>
      </c>
      <c r="N2098">
        <v>50.31</v>
      </c>
      <c r="O2098">
        <v>2</v>
      </c>
      <c r="P2098">
        <v>2</v>
      </c>
    </row>
    <row r="2099" spans="1:16" x14ac:dyDescent="0.25">
      <c r="A2099">
        <v>21900359</v>
      </c>
      <c r="B2099">
        <v>2019</v>
      </c>
      <c r="C2099" t="s">
        <v>32</v>
      </c>
      <c r="D2099" t="s">
        <v>22</v>
      </c>
      <c r="E2099">
        <v>82</v>
      </c>
      <c r="F2099">
        <v>102</v>
      </c>
      <c r="G2099">
        <v>4</v>
      </c>
      <c r="H2099" s="1">
        <v>3.7962962962962963E-3</v>
      </c>
      <c r="I2099" t="s">
        <v>23</v>
      </c>
      <c r="J2099" s="2" t="str">
        <f>HYPERLINK("https://www.nba.com/stats/events?CFID=&amp;CFPARAMS=&amp;GameEventID=651&amp;GameID=0021900359&amp;Season=2019-20&amp;flag=1&amp;title=Leonard%20jumpshot%20(20%20PTS)%20(L.%20Williams%208%20AST)", "Jumpshot (20 PTS) (L. Williams 8 AST)")</f>
        <v>Jumpshot (20 PTS) (L. Williams 8 AST)</v>
      </c>
      <c r="K2099" s="2" t="str">
        <f>HYPERLINK("https://www.nba.com/game/...-vs-...-0021900359/play-by-play?watchFullGame=true", "LAC vs TOR - Q4 05:28.00")</f>
        <v>LAC vs TOR - Q4 05:28.00</v>
      </c>
      <c r="L2099">
        <v>0.8</v>
      </c>
      <c r="M2099">
        <v>94.17</v>
      </c>
      <c r="N2099">
        <v>50.31</v>
      </c>
      <c r="O2099">
        <v>2</v>
      </c>
      <c r="P2099">
        <v>2</v>
      </c>
    </row>
    <row r="2100" spans="1:16" x14ac:dyDescent="0.25">
      <c r="A2100">
        <v>22000509</v>
      </c>
      <c r="B2100">
        <v>2020</v>
      </c>
      <c r="C2100" t="s">
        <v>32</v>
      </c>
      <c r="D2100" t="s">
        <v>48</v>
      </c>
      <c r="E2100">
        <v>11</v>
      </c>
      <c r="F2100">
        <v>11</v>
      </c>
      <c r="G2100">
        <v>1</v>
      </c>
      <c r="H2100" s="1">
        <v>4.9305555555555552E-3</v>
      </c>
      <c r="I2100" t="s">
        <v>23</v>
      </c>
      <c r="J2100" s="2" t="str">
        <f>HYPERLINK("https://www.nba.com/stats/events?CFID=&amp;CFPARAMS=&amp;GameEventID=55&amp;GameID=0022000509&amp;Season=2020-21&amp;flag=1&amp;title=Leonard%20cutting%20DUNK%20(2%20PTS)%20(Ibaka%202%20AST)", "Cutting DUNK (2 PTS) (S. Ibaka 2 AST)")</f>
        <v>Cutting DUNK (2 PTS) (S. Ibaka 2 AST)</v>
      </c>
      <c r="K2100" s="2" t="str">
        <f>HYPERLINK("https://www.nba.com/game/...-vs-...-0022000509/play-by-play?watchFullGame=true", "LAC vs MEM - Q1 07:06.00")</f>
        <v>LAC vs MEM - Q1 07:06.00</v>
      </c>
      <c r="L2100">
        <v>0.28000000000000003</v>
      </c>
      <c r="M2100">
        <v>94.17</v>
      </c>
      <c r="N2100">
        <v>50.31</v>
      </c>
      <c r="O2100">
        <v>2</v>
      </c>
      <c r="P2100">
        <v>2</v>
      </c>
    </row>
    <row r="2101" spans="1:16" x14ac:dyDescent="0.25">
      <c r="A2101">
        <v>21300514</v>
      </c>
      <c r="B2101">
        <v>2013</v>
      </c>
      <c r="C2101" t="s">
        <v>32</v>
      </c>
      <c r="D2101" t="s">
        <v>62</v>
      </c>
      <c r="E2101">
        <v>12</v>
      </c>
      <c r="F2101">
        <v>20</v>
      </c>
      <c r="G2101">
        <v>1</v>
      </c>
      <c r="H2101" s="1">
        <v>3.0208333333333333E-3</v>
      </c>
      <c r="I2101" t="s">
        <v>18</v>
      </c>
      <c r="J2101" s="2" t="str">
        <f>HYPERLINK("https://www.nba.com/stats/events?CFID=&amp;CFPARAMS=&amp;GameEventID=61&amp;GameID=0021300514&amp;Season=2013-14&amp;flag=1&amp;title=Leonard%20%20Dunk%20(7%20PTS)%20(Ayres%201%20AST)", "Leonard  Dunk (7 PTS) (Ayres 1 AST)")</f>
        <v>Leonard  Dunk (7 PTS) (Ayres 1 AST)</v>
      </c>
      <c r="K2101" s="2" t="str">
        <f>HYPERLINK("https://www.nba.com/game/...-vs-...-0021300514/play-by-play?watchFullGame=true", "SAS vs MEM - Q1 04:21.00")</f>
        <v>SAS vs MEM - Q1 04:21.00</v>
      </c>
      <c r="L2101">
        <v>0</v>
      </c>
      <c r="M2101">
        <v>2</v>
      </c>
      <c r="N2101">
        <v>3</v>
      </c>
      <c r="O2101">
        <v>2</v>
      </c>
      <c r="P2101">
        <v>3</v>
      </c>
    </row>
    <row r="2102" spans="1:16" x14ac:dyDescent="0.25">
      <c r="A2102">
        <v>21300914</v>
      </c>
      <c r="B2102">
        <v>2013</v>
      </c>
      <c r="C2102" t="s">
        <v>32</v>
      </c>
      <c r="D2102" t="s">
        <v>62</v>
      </c>
      <c r="E2102">
        <v>95</v>
      </c>
      <c r="F2102">
        <v>80</v>
      </c>
      <c r="G2102">
        <v>4</v>
      </c>
      <c r="H2102" s="1">
        <v>4.3750000000000004E-3</v>
      </c>
      <c r="I2102" t="s">
        <v>18</v>
      </c>
      <c r="J2102" s="2" t="str">
        <f>HYPERLINK("https://www.nba.com/stats/events?CFID=&amp;CFPARAMS=&amp;GameEventID=471&amp;GameID=0021300914&amp;Season=2013-14&amp;flag=1&amp;title=Leonard%20%20Dunk%20(11%20PTS)", "Leonard  Dunk (11 PTS)")</f>
        <v>Leonard  Dunk (11 PTS)</v>
      </c>
      <c r="K2102" s="2" t="str">
        <f>HYPERLINK("https://www.nba.com/game/...-vs-...-0021300914/play-by-play?watchFullGame=true", "SAS vs MIA - Q4 06:18.00")</f>
        <v>SAS vs MIA - Q4 06:18.00</v>
      </c>
      <c r="L2102">
        <v>0</v>
      </c>
      <c r="M2102">
        <v>2</v>
      </c>
      <c r="N2102">
        <v>3</v>
      </c>
      <c r="O2102">
        <v>2</v>
      </c>
      <c r="P2102">
        <v>3</v>
      </c>
    </row>
    <row r="2103" spans="1:16" x14ac:dyDescent="0.25">
      <c r="A2103">
        <v>21900035</v>
      </c>
      <c r="B2103">
        <v>2019</v>
      </c>
      <c r="C2103" t="s">
        <v>32</v>
      </c>
      <c r="D2103" t="s">
        <v>65</v>
      </c>
      <c r="E2103">
        <v>93</v>
      </c>
      <c r="F2103">
        <v>90</v>
      </c>
      <c r="G2103">
        <v>4</v>
      </c>
      <c r="H2103" s="1">
        <v>7.2453703703703708E-3</v>
      </c>
      <c r="I2103" t="s">
        <v>23</v>
      </c>
      <c r="J2103" s="2" t="str">
        <f>HYPERLINK("https://www.nba.com/stats/events?CFID=&amp;CFPARAMS=&amp;GameEventID=581&amp;GameID=0021900035&amp;Season=2019-20&amp;flag=1&amp;title=[LAC]%20Leonard%20dunk:%20Made%20(17%20PTS)", "[LAC] Leonard dunk: Made (17 PTS)")</f>
        <v>[LAC] Leonard dunk: Made (17 PTS)</v>
      </c>
      <c r="K2103" s="2" t="str">
        <f>HYPERLINK("https://www.nba.com/game/...-vs-...-0021900035/play-by-play?watchFullGame=true", "LAC vs PHX - Q4 10:26.00")</f>
        <v>LAC vs PHX - Q4 10:26.00</v>
      </c>
      <c r="L2103">
        <v>0.91</v>
      </c>
      <c r="M2103">
        <v>94.04</v>
      </c>
      <c r="N2103">
        <v>50.31</v>
      </c>
      <c r="O2103">
        <v>2</v>
      </c>
      <c r="P2103">
        <v>4</v>
      </c>
    </row>
    <row r="2104" spans="1:16" x14ac:dyDescent="0.25">
      <c r="A2104">
        <v>22301052</v>
      </c>
      <c r="B2104">
        <v>2023</v>
      </c>
      <c r="C2104" t="s">
        <v>32</v>
      </c>
      <c r="D2104" t="s">
        <v>47</v>
      </c>
      <c r="E2104">
        <v>64</v>
      </c>
      <c r="F2104">
        <v>62</v>
      </c>
      <c r="G2104">
        <v>3</v>
      </c>
      <c r="H2104" s="1">
        <v>3.6805555555555554E-3</v>
      </c>
      <c r="I2104" t="s">
        <v>23</v>
      </c>
      <c r="J2104" s="2" t="str">
        <f>HYPERLINK("https://www.nba.com/stats/events?CFID=&amp;CFPARAMS=&amp;GameEventID=407&amp;GameID=0022301052&amp;Season=2023-24&amp;flag=1&amp;title=Leonard%20running%20Layup%20(5%20PTS)%20(J.%20Harden%2010%20AST)", "Running Layup (5 PTS) (J. Harden 10 AST)")</f>
        <v>Running Layup (5 PTS) (J. Harden 10 AST)</v>
      </c>
      <c r="K2104" s="2" t="str">
        <f>HYPERLINK("https://www.nba.com/game/...-vs-...-0022301052/play-by-play?watchFullGame=true", "LAC vs PHI - Q3 05:18.00")</f>
        <v>LAC vs PHI - Q3 05:18.00</v>
      </c>
      <c r="L2104">
        <v>0.43</v>
      </c>
      <c r="M2104">
        <v>5.96</v>
      </c>
      <c r="N2104">
        <v>49.51</v>
      </c>
      <c r="O2104">
        <v>2</v>
      </c>
      <c r="P2104">
        <v>4</v>
      </c>
    </row>
    <row r="2105" spans="1:16" x14ac:dyDescent="0.25">
      <c r="A2105">
        <v>22000142</v>
      </c>
      <c r="B2105">
        <v>2020</v>
      </c>
      <c r="C2105" t="s">
        <v>32</v>
      </c>
      <c r="D2105" t="s">
        <v>48</v>
      </c>
      <c r="E2105">
        <v>56</v>
      </c>
      <c r="F2105">
        <v>61</v>
      </c>
      <c r="G2105">
        <v>3</v>
      </c>
      <c r="H2105" s="1">
        <v>7.8009259259259256E-3</v>
      </c>
      <c r="I2105" t="s">
        <v>23</v>
      </c>
      <c r="J2105" s="2" t="str">
        <f>HYPERLINK("https://www.nba.com/stats/events?CFID=&amp;CFPARAMS=&amp;GameEventID=340&amp;GameID=0022000142&amp;Season=2020-21&amp;flag=1&amp;title=Leonard%20running%20DUNK%20(14%20PTS)", "Running DUNK (14 PTS)")</f>
        <v>Running DUNK (14 PTS)</v>
      </c>
      <c r="K2105" s="2" t="str">
        <f>HYPERLINK("https://www.nba.com/game/...-vs-...-0022000142/play-by-play?watchFullGame=true", "LAC vs CHI - Q3 11:14.00")</f>
        <v>LAC vs CHI - Q3 11:14.00</v>
      </c>
      <c r="L2105">
        <v>0.38</v>
      </c>
      <c r="M2105">
        <v>94.04</v>
      </c>
      <c r="N2105">
        <v>50.31</v>
      </c>
      <c r="O2105">
        <v>2</v>
      </c>
      <c r="P2105">
        <v>4</v>
      </c>
    </row>
    <row r="2106" spans="1:16" x14ac:dyDescent="0.25">
      <c r="A2106">
        <v>21301084</v>
      </c>
      <c r="B2106">
        <v>2013</v>
      </c>
      <c r="C2106" t="s">
        <v>32</v>
      </c>
      <c r="D2106" t="s">
        <v>62</v>
      </c>
      <c r="E2106">
        <v>16</v>
      </c>
      <c r="F2106">
        <v>14</v>
      </c>
      <c r="G2106">
        <v>1</v>
      </c>
      <c r="H2106" s="1">
        <v>3.4837962962962965E-3</v>
      </c>
      <c r="I2106" t="s">
        <v>18</v>
      </c>
      <c r="J2106" s="2" t="str">
        <f>HYPERLINK("https://www.nba.com/stats/events?CFID=&amp;CFPARAMS=&amp;GameEventID=61&amp;GameID=0021301084&amp;Season=2013-14&amp;flag=1&amp;title=Leonard%201'%20Dunk%20(2%20PTS)", "Leonard 1' Dunk (2 PTS)")</f>
        <v>Leonard 1' Dunk (2 PTS)</v>
      </c>
      <c r="K2106" s="2" t="str">
        <f>HYPERLINK("https://www.nba.com/game/...-vs-...-0021301084/play-by-play?watchFullGame=true", "SAS vs DEN - Q1 05:01.00")</f>
        <v>SAS vs DEN - Q1 05:01.00</v>
      </c>
      <c r="L2106">
        <v>1</v>
      </c>
      <c r="M2106">
        <v>2</v>
      </c>
      <c r="N2106">
        <v>7</v>
      </c>
      <c r="O2106">
        <v>2</v>
      </c>
      <c r="P2106">
        <v>7</v>
      </c>
    </row>
    <row r="2107" spans="1:16" x14ac:dyDescent="0.25">
      <c r="A2107">
        <v>21500726</v>
      </c>
      <c r="B2107">
        <v>2015</v>
      </c>
      <c r="C2107" t="s">
        <v>32</v>
      </c>
      <c r="D2107" t="s">
        <v>57</v>
      </c>
      <c r="E2107">
        <v>60</v>
      </c>
      <c r="F2107">
        <v>58</v>
      </c>
      <c r="G2107">
        <v>3</v>
      </c>
      <c r="H2107" s="1">
        <v>5.6018518518518518E-3</v>
      </c>
      <c r="I2107" t="s">
        <v>18</v>
      </c>
      <c r="J2107" s="2" t="str">
        <f>HYPERLINK("https://www.nba.com/stats/events?CFID=&amp;CFPARAMS=&amp;GameEventID=281&amp;GameID=0021500726&amp;Season=2015-16&amp;flag=1&amp;title=Leonard%201'%20Layup%20(10%20PTS)%20(Diaw%202%20AST)", "Leonard 1' Layup (10 PTS) (Diaw 2 AST)")</f>
        <v>Leonard 1' Layup (10 PTS) (Diaw 2 AST)</v>
      </c>
      <c r="K2107" s="2" t="str">
        <f>HYPERLINK("https://www.nba.com/game/...-vs-...-0021500726/play-by-play?watchFullGame=true", "SAS vs ORL - Q3 08:04.00")</f>
        <v>SAS vs ORL - Q3 08:04.00</v>
      </c>
      <c r="L2107">
        <v>1</v>
      </c>
      <c r="M2107">
        <v>2</v>
      </c>
      <c r="N2107">
        <v>7</v>
      </c>
      <c r="O2107">
        <v>2</v>
      </c>
      <c r="P2107">
        <v>7</v>
      </c>
    </row>
    <row r="2108" spans="1:16" x14ac:dyDescent="0.25">
      <c r="A2108">
        <v>21500928</v>
      </c>
      <c r="B2108">
        <v>2015</v>
      </c>
      <c r="C2108" t="s">
        <v>32</v>
      </c>
      <c r="D2108" t="s">
        <v>70</v>
      </c>
      <c r="E2108">
        <v>41</v>
      </c>
      <c r="F2108">
        <v>36</v>
      </c>
      <c r="G2108">
        <v>2</v>
      </c>
      <c r="H2108" s="1">
        <v>3.9583333333333337E-3</v>
      </c>
      <c r="I2108" t="s">
        <v>18</v>
      </c>
      <c r="J2108" s="2" t="str">
        <f>HYPERLINK("https://www.nba.com/stats/events?CFID=&amp;CFPARAMS=&amp;GameEventID=194&amp;GameID=0021500928&amp;Season=2015-16&amp;flag=1&amp;title=Leonard%201'%20Driving%20Hook%20Shot%20(5%20PTS)%20(Mills%202%20AST)", "Leonard 1' Driving Hook Shot (5 PTS) (Mills 2 AST)")</f>
        <v>Leonard 1' Driving Hook Shot (5 PTS) (Mills 2 AST)</v>
      </c>
      <c r="K2108" s="2" t="str">
        <f>HYPERLINK("https://www.nba.com/game/...-vs-...-0021500928/play-by-play?watchFullGame=true", "SAS vs SAC - Q2 05:42.00")</f>
        <v>SAS vs SAC - Q2 05:42.00</v>
      </c>
      <c r="L2108">
        <v>1</v>
      </c>
      <c r="M2108">
        <v>2</v>
      </c>
      <c r="N2108">
        <v>7</v>
      </c>
      <c r="O2108">
        <v>2</v>
      </c>
      <c r="P2108">
        <v>7</v>
      </c>
    </row>
    <row r="2109" spans="1:16" x14ac:dyDescent="0.25">
      <c r="A2109">
        <v>41800301</v>
      </c>
      <c r="B2109" t="s">
        <v>20</v>
      </c>
      <c r="C2109" t="s">
        <v>32</v>
      </c>
      <c r="D2109" t="s">
        <v>57</v>
      </c>
      <c r="E2109">
        <v>64</v>
      </c>
      <c r="F2109">
        <v>74</v>
      </c>
      <c r="G2109">
        <v>3</v>
      </c>
      <c r="H2109" s="1">
        <v>4.0509259259259257E-3</v>
      </c>
      <c r="I2109" t="s">
        <v>21</v>
      </c>
      <c r="J2109" s="2" t="str">
        <f>HYPERLINK("https://www.nba.com/stats/events?CFID=&amp;CFPARAMS=&amp;GameEventID=408&amp;GameID=0041800301&amp;Season=2018-19&amp;flag=1&amp;title=Leonard%201'%20Layup%20(23%20PTS)%20(Gasol%205%20AST)", "Leonard 1' Layup (23 PTS) (Gasol 5 AST)")</f>
        <v>Leonard 1' Layup (23 PTS) (Gasol 5 AST)</v>
      </c>
      <c r="K2109" s="2" t="str">
        <f>HYPERLINK("https://www.nba.com/game/...-vs-...-0041800301/play-by-play?watchFullGame=true", "TOR vs MIL - Q3 05:50.00")</f>
        <v>TOR vs MIL - Q3 05:50.00</v>
      </c>
      <c r="L2109">
        <v>1</v>
      </c>
      <c r="M2109">
        <v>2</v>
      </c>
      <c r="N2109">
        <v>7</v>
      </c>
      <c r="O2109">
        <v>2</v>
      </c>
      <c r="P2109">
        <v>7</v>
      </c>
    </row>
    <row r="2110" spans="1:16" x14ac:dyDescent="0.25">
      <c r="A2110">
        <v>22000224</v>
      </c>
      <c r="B2110">
        <v>2020</v>
      </c>
      <c r="C2110" t="s">
        <v>32</v>
      </c>
      <c r="D2110" t="s">
        <v>48</v>
      </c>
      <c r="E2110">
        <v>10</v>
      </c>
      <c r="F2110">
        <v>11</v>
      </c>
      <c r="G2110">
        <v>1</v>
      </c>
      <c r="H2110" s="1">
        <v>4.9074074074074072E-3</v>
      </c>
      <c r="I2110" t="s">
        <v>23</v>
      </c>
      <c r="J2110" s="2" t="str">
        <f>HYPERLINK("https://www.nba.com/stats/events?CFID=&amp;CFPARAMS=&amp;GameEventID=50&amp;GameID=0022000224&amp;Season=2020-21&amp;flag=1&amp;title=Leonard%20running%20DUNK%20(4%20PTS)", "Running DUNK (4 PTS)")</f>
        <v>Running DUNK (4 PTS)</v>
      </c>
      <c r="K2110" s="2" t="str">
        <f>HYPERLINK("https://www.nba.com/game/...-vs-...-0022000224/play-by-play?watchFullGame=true", "LAC vs SAC - Q1 07:04.00")</f>
        <v>LAC vs SAC - Q1 07:04.00</v>
      </c>
      <c r="L2110">
        <v>0.86</v>
      </c>
      <c r="M2110">
        <v>93.51</v>
      </c>
      <c r="N2110">
        <v>50.31</v>
      </c>
      <c r="O2110">
        <v>2</v>
      </c>
      <c r="P2110">
        <v>8</v>
      </c>
    </row>
    <row r="2111" spans="1:16" x14ac:dyDescent="0.25">
      <c r="A2111">
        <v>22200991</v>
      </c>
      <c r="B2111">
        <v>2022</v>
      </c>
      <c r="C2111" t="s">
        <v>32</v>
      </c>
      <c r="D2111" t="s">
        <v>48</v>
      </c>
      <c r="E2111">
        <v>62</v>
      </c>
      <c r="F2111">
        <v>57</v>
      </c>
      <c r="G2111">
        <v>3</v>
      </c>
      <c r="H2111" s="1">
        <v>5.5092592592592589E-3</v>
      </c>
      <c r="I2111" t="s">
        <v>23</v>
      </c>
      <c r="J2111" s="2" t="str">
        <f>HYPERLINK("https://www.nba.com/stats/events?CFID=&amp;CFPARAMS=&amp;GameEventID=343&amp;GameID=0022200991&amp;Season=2022-23&amp;flag=1&amp;title=Leonard%20driving%20DUNK%20(19%20PTS)", "Driving DUNK (19 PTS)")</f>
        <v>Driving DUNK (19 PTS)</v>
      </c>
      <c r="K2111" s="2" t="str">
        <f>HYPERLINK("https://www.nba.com/game/...-vs-...-0022200991/play-by-play?watchFullGame=true", "LAC vs TOR - Q3 07:56.00")</f>
        <v>LAC vs TOR - Q3 07:56.00</v>
      </c>
      <c r="L2111">
        <v>0.89</v>
      </c>
      <c r="M2111">
        <v>6.49</v>
      </c>
      <c r="N2111">
        <v>49.51</v>
      </c>
      <c r="O2111">
        <v>2</v>
      </c>
      <c r="P2111">
        <v>8</v>
      </c>
    </row>
    <row r="2112" spans="1:16" x14ac:dyDescent="0.25">
      <c r="A2112">
        <v>41200232</v>
      </c>
      <c r="B2112" t="s">
        <v>27</v>
      </c>
      <c r="C2112" t="s">
        <v>32</v>
      </c>
      <c r="D2112" t="s">
        <v>72</v>
      </c>
      <c r="E2112">
        <v>51</v>
      </c>
      <c r="F2112">
        <v>69</v>
      </c>
      <c r="G2112">
        <v>3</v>
      </c>
      <c r="H2112" s="1">
        <v>5.6249999999999998E-3</v>
      </c>
      <c r="I2112" t="s">
        <v>18</v>
      </c>
      <c r="J2112" s="2" t="str">
        <f>HYPERLINK("https://www.nba.com/stats/events?CFID=&amp;CFPARAMS=&amp;GameEventID=299&amp;GameID=0041200232&amp;Season=2012-13&amp;flag=1&amp;title=Leonard%201'%20Tip%20Shot%20(9%20PTS)", "Leonard 1' Tip Shot (9 PTS)")</f>
        <v>Leonard 1' Tip Shot (9 PTS)</v>
      </c>
      <c r="K2112" s="2" t="str">
        <f>HYPERLINK("https://www.nba.com/game/...-vs-...-0041200232/play-by-play?watchFullGame=true", "SAS vs GSW - Q3 08:06.00")</f>
        <v>SAS vs GSW - Q3 08:06.00</v>
      </c>
      <c r="L2112">
        <v>1</v>
      </c>
      <c r="M2112">
        <v>2</v>
      </c>
      <c r="N2112">
        <v>9</v>
      </c>
      <c r="O2112">
        <v>2</v>
      </c>
      <c r="P2112">
        <v>9</v>
      </c>
    </row>
    <row r="2113" spans="1:16" x14ac:dyDescent="0.25">
      <c r="A2113">
        <v>21400875</v>
      </c>
      <c r="B2113">
        <v>2014</v>
      </c>
      <c r="C2113" t="s">
        <v>32</v>
      </c>
      <c r="D2113" t="s">
        <v>49</v>
      </c>
      <c r="E2113">
        <v>24</v>
      </c>
      <c r="F2113">
        <v>44</v>
      </c>
      <c r="G2113">
        <v>2</v>
      </c>
      <c r="H2113" s="1">
        <v>1.8402777777777777E-3</v>
      </c>
      <c r="I2113" t="s">
        <v>18</v>
      </c>
      <c r="J2113" s="2" t="str">
        <f>HYPERLINK("https://www.nba.com/stats/events?CFID=&amp;CFPARAMS=&amp;GameEventID=254&amp;GameID=0021400875&amp;Season=2014-15&amp;flag=1&amp;title=Leonard%201'%20Driving%20Layup%20(9%20PTS)%20(Duncan%201%20AST)", "Leonard 1' Driving Layup (9 PTS) (Duncan 1 AST)")</f>
        <v>Leonard 1' Driving Layup (9 PTS) (Duncan 1 AST)</v>
      </c>
      <c r="K2113" s="2" t="str">
        <f>HYPERLINK("https://www.nba.com/game/...-vs-...-0021400875/play-by-play?watchFullGame=true", "SAS vs PHX - Q2 02:39.00")</f>
        <v>SAS vs PHX - Q2 02:39.00</v>
      </c>
      <c r="L2113">
        <v>1</v>
      </c>
      <c r="M2113">
        <v>2</v>
      </c>
      <c r="N2113">
        <v>9</v>
      </c>
      <c r="O2113">
        <v>2</v>
      </c>
      <c r="P2113">
        <v>9</v>
      </c>
    </row>
    <row r="2114" spans="1:16" x14ac:dyDescent="0.25">
      <c r="A2114">
        <v>22000756</v>
      </c>
      <c r="B2114">
        <v>2020</v>
      </c>
      <c r="C2114" t="s">
        <v>32</v>
      </c>
      <c r="D2114" t="s">
        <v>48</v>
      </c>
      <c r="E2114">
        <v>18</v>
      </c>
      <c r="F2114">
        <v>7</v>
      </c>
      <c r="G2114">
        <v>1</v>
      </c>
      <c r="H2114" s="1">
        <v>5.0462962962962961E-3</v>
      </c>
      <c r="I2114" t="s">
        <v>23</v>
      </c>
      <c r="J2114" s="2" t="str">
        <f>HYPERLINK("https://www.nba.com/stats/events?CFID=&amp;CFPARAMS=&amp;GameEventID=46&amp;GameID=0022000756&amp;Season=2020-21&amp;flag=1&amp;title=Leonard%20running%20DUNK%20(5%20PTS)", "Running DUNK (5 PTS)")</f>
        <v>Running DUNK (5 PTS)</v>
      </c>
      <c r="K2114" s="2" t="str">
        <f>HYPERLINK("https://www.nba.com/game/...-vs-...-0022000756/play-by-play?watchFullGame=true", "LAC vs LAL - Q1 07:16.00")</f>
        <v>LAC vs LAL - Q1 07:16.00</v>
      </c>
      <c r="L2114">
        <v>0.98</v>
      </c>
      <c r="M2114">
        <v>93.38</v>
      </c>
      <c r="N2114">
        <v>50.31</v>
      </c>
      <c r="O2114">
        <v>2</v>
      </c>
      <c r="P2114">
        <v>10</v>
      </c>
    </row>
    <row r="2115" spans="1:16" x14ac:dyDescent="0.25">
      <c r="A2115">
        <v>22200991</v>
      </c>
      <c r="B2115">
        <v>2022</v>
      </c>
      <c r="C2115" t="s">
        <v>32</v>
      </c>
      <c r="D2115" t="s">
        <v>48</v>
      </c>
      <c r="E2115">
        <v>100</v>
      </c>
      <c r="F2115">
        <v>85</v>
      </c>
      <c r="G2115">
        <v>4</v>
      </c>
      <c r="H2115" s="1">
        <v>3.6689814814814814E-3</v>
      </c>
      <c r="I2115" t="s">
        <v>23</v>
      </c>
      <c r="J2115" s="2" t="str">
        <f>HYPERLINK("https://www.nba.com/stats/events?CFID=&amp;CFPARAMS=&amp;GameEventID=535&amp;GameID=0022200991&amp;Season=2022-23&amp;flag=1&amp;title=Leonard%20driving%20DUNK%20(21%20PTS)", "Driving DUNK (21 PTS)")</f>
        <v>Driving DUNK (21 PTS)</v>
      </c>
      <c r="K2115" s="2" t="str">
        <f>HYPERLINK("https://www.nba.com/game/...-vs-...-0022200991/play-by-play?watchFullGame=true", "LAC vs TOR - Q4 05:17.00")</f>
        <v>LAC vs TOR - Q4 05:17.00</v>
      </c>
      <c r="L2115">
        <v>1</v>
      </c>
      <c r="M2115">
        <v>6.62</v>
      </c>
      <c r="N2115">
        <v>49.51</v>
      </c>
      <c r="O2115">
        <v>2</v>
      </c>
      <c r="P2115">
        <v>10</v>
      </c>
    </row>
    <row r="2116" spans="1:16" x14ac:dyDescent="0.25">
      <c r="A2116">
        <v>22400983</v>
      </c>
      <c r="B2116">
        <v>2024</v>
      </c>
      <c r="C2116" t="s">
        <v>32</v>
      </c>
      <c r="D2116" t="s">
        <v>48</v>
      </c>
      <c r="E2116">
        <v>80</v>
      </c>
      <c r="F2116">
        <v>59</v>
      </c>
      <c r="G2116">
        <v>3</v>
      </c>
      <c r="H2116" s="1">
        <v>3.1018518518518517E-3</v>
      </c>
      <c r="I2116" t="s">
        <v>23</v>
      </c>
      <c r="J2116" s="2" t="str">
        <f>HYPERLINK("https://www.nba.com/stats/events?CFID=&amp;CFPARAMS=&amp;GameEventID=422&amp;GameID=0022400983&amp;Season=2024-25&amp;flag=1&amp;title=Leonard%20running%20DUNK%20(15%20PTS)%20(J.%20Harden%2010%20AST)", "Running DUNK (15 PTS) (J. Harden 10 AST)")</f>
        <v>Running DUNK (15 PTS) (J. Harden 10 AST)</v>
      </c>
      <c r="K2116" s="2" t="str">
        <f>HYPERLINK("https://www.nba.com/game/...-vs-...-0022400983/play-by-play?watchFullGame=true", "LAC vs WAS - Q3 04:28.00")</f>
        <v>LAC vs WAS - Q3 04:28.00</v>
      </c>
      <c r="L2116">
        <v>1.1599999999999999</v>
      </c>
      <c r="M2116">
        <v>6.78</v>
      </c>
      <c r="N2116">
        <v>49.51</v>
      </c>
      <c r="O2116">
        <v>2</v>
      </c>
      <c r="P2116">
        <v>11</v>
      </c>
    </row>
    <row r="2117" spans="1:16" x14ac:dyDescent="0.25">
      <c r="A2117">
        <v>22200766</v>
      </c>
      <c r="B2117">
        <v>2022</v>
      </c>
      <c r="C2117" t="s">
        <v>32</v>
      </c>
      <c r="D2117" t="s">
        <v>48</v>
      </c>
      <c r="E2117">
        <v>96</v>
      </c>
      <c r="F2117">
        <v>101</v>
      </c>
      <c r="G2117">
        <v>4</v>
      </c>
      <c r="H2117" s="1">
        <v>3.1250000000000002E-3</v>
      </c>
      <c r="I2117" t="s">
        <v>23</v>
      </c>
      <c r="J2117" s="2" t="str">
        <f>HYPERLINK("https://www.nba.com/stats/events?CFID=&amp;CFPARAMS=&amp;GameEventID=578&amp;GameID=0022200766&amp;Season=2022-23&amp;flag=1&amp;title=Leonard%20cutting%20DUNK%20(28%20PTS)%20(P.%20George%207%20AST)", "Cutting DUNK (28 PTS) (P. George 7 AST)")</f>
        <v>Cutting DUNK (28 PTS) (P. George 7 AST)</v>
      </c>
      <c r="K2117" s="2" t="str">
        <f>HYPERLINK("https://www.nba.com/game/...-vs-...-0022200766/play-by-play?watchFullGame=true", "LAC vs CHI - Q4 04:30.00")</f>
        <v>LAC vs CHI - Q4 04:30.00</v>
      </c>
      <c r="L2117">
        <v>1.1299999999999999</v>
      </c>
      <c r="M2117">
        <v>93.25</v>
      </c>
      <c r="N2117">
        <v>50.49</v>
      </c>
      <c r="O2117">
        <v>2</v>
      </c>
      <c r="P2117">
        <v>11</v>
      </c>
    </row>
    <row r="2118" spans="1:16" x14ac:dyDescent="0.25">
      <c r="A2118">
        <v>21400139</v>
      </c>
      <c r="B2118">
        <v>2014</v>
      </c>
      <c r="C2118" t="s">
        <v>32</v>
      </c>
      <c r="D2118" t="s">
        <v>57</v>
      </c>
      <c r="E2118">
        <v>16</v>
      </c>
      <c r="F2118">
        <v>12</v>
      </c>
      <c r="G2118">
        <v>1</v>
      </c>
      <c r="H2118" s="1">
        <v>3.2523148148148147E-3</v>
      </c>
      <c r="I2118" t="s">
        <v>18</v>
      </c>
      <c r="J2118" s="2" t="str">
        <f>HYPERLINK("https://www.nba.com/stats/events?CFID=&amp;CFPARAMS=&amp;GameEventID=60&amp;GameID=0021400139&amp;Season=2014-15&amp;flag=1&amp;title=Leonard%201'%20Layup%20(4%20PTS)%20(Baynes%202%20AST)", "Leonard 1' Layup (4 PTS) (Baynes 2 AST)")</f>
        <v>Leonard 1' Layup (4 PTS) (Baynes 2 AST)</v>
      </c>
      <c r="K2118" s="2" t="str">
        <f>HYPERLINK("https://www.nba.com/game/...-vs-...-0021400139/play-by-play?watchFullGame=true", "SAS vs SAC - Q1 04:41.00")</f>
        <v>SAS vs SAC - Q1 04:41.00</v>
      </c>
      <c r="L2118">
        <v>1</v>
      </c>
      <c r="M2118">
        <v>2</v>
      </c>
      <c r="N2118">
        <v>11</v>
      </c>
      <c r="O2118">
        <v>2</v>
      </c>
      <c r="P2118">
        <v>11</v>
      </c>
    </row>
    <row r="2119" spans="1:16" x14ac:dyDescent="0.25">
      <c r="A2119">
        <v>21301054</v>
      </c>
      <c r="B2119">
        <v>2013</v>
      </c>
      <c r="C2119" t="s">
        <v>32</v>
      </c>
      <c r="D2119" t="s">
        <v>49</v>
      </c>
      <c r="E2119">
        <v>23</v>
      </c>
      <c r="F2119">
        <v>19</v>
      </c>
      <c r="G2119">
        <v>1</v>
      </c>
      <c r="H2119" s="1">
        <v>2.0023148148148148E-3</v>
      </c>
      <c r="I2119" t="s">
        <v>18</v>
      </c>
      <c r="J2119" s="2" t="str">
        <f>HYPERLINK("https://www.nba.com/stats/events?CFID=&amp;CFPARAMS=&amp;GameEventID=76&amp;GameID=0021301054&amp;Season=2013-14&amp;flag=1&amp;title=Leonard%201'%20Driving%20Layup%20(6%20PTS)", "Leonard 1' Driving Layup (6 PTS)")</f>
        <v>Leonard 1' Driving Layup (6 PTS)</v>
      </c>
      <c r="K2119" s="2" t="str">
        <f>HYPERLINK("https://www.nba.com/game/...-vs-...-0021301054/play-by-play?watchFullGame=true", "SAS vs PHI - Q1 02:53.00")</f>
        <v>SAS vs PHI - Q1 02:53.00</v>
      </c>
      <c r="L2119">
        <v>1</v>
      </c>
      <c r="M2119">
        <v>2</v>
      </c>
      <c r="N2119">
        <v>11</v>
      </c>
      <c r="O2119">
        <v>2</v>
      </c>
      <c r="P2119">
        <v>11</v>
      </c>
    </row>
    <row r="2120" spans="1:16" x14ac:dyDescent="0.25">
      <c r="A2120">
        <v>41500234</v>
      </c>
      <c r="B2120" t="s">
        <v>25</v>
      </c>
      <c r="C2120" t="s">
        <v>32</v>
      </c>
      <c r="D2120" t="s">
        <v>71</v>
      </c>
      <c r="E2120">
        <v>2</v>
      </c>
      <c r="F2120">
        <v>4</v>
      </c>
      <c r="G2120">
        <v>1</v>
      </c>
      <c r="H2120" s="1">
        <v>7.6736111111111111E-3</v>
      </c>
      <c r="I2120" t="s">
        <v>18</v>
      </c>
      <c r="J2120" s="2" t="str">
        <f>HYPERLINK("https://www.nba.com/stats/events?CFID=&amp;CFPARAMS=&amp;GameEventID=9&amp;GameID=0041500234&amp;Season=2015-16&amp;flag=1&amp;title=Leonard%201'%20Tip%20Layup%20Shot%20(4%20PTS)", "Leonard 1' Tip Layup Shot (4 PTS)")</f>
        <v>Leonard 1' Tip Layup Shot (4 PTS)</v>
      </c>
      <c r="K2120" s="2" t="str">
        <f>HYPERLINK("https://www.nba.com/game/...-vs-...-0041500234/play-by-play?watchFullGame=true", "SAS vs OKC - Q1 11:03.00")</f>
        <v>SAS vs OKC - Q1 11:03.00</v>
      </c>
      <c r="L2120">
        <v>1</v>
      </c>
      <c r="M2120">
        <v>2</v>
      </c>
      <c r="N2120">
        <v>13</v>
      </c>
      <c r="O2120">
        <v>2</v>
      </c>
      <c r="P2120">
        <v>13</v>
      </c>
    </row>
    <row r="2121" spans="1:16" x14ac:dyDescent="0.25">
      <c r="A2121">
        <v>21900523</v>
      </c>
      <c r="B2121">
        <v>2019</v>
      </c>
      <c r="C2121" t="s">
        <v>32</v>
      </c>
      <c r="D2121" t="s">
        <v>50</v>
      </c>
      <c r="E2121">
        <v>66</v>
      </c>
      <c r="F2121">
        <v>79</v>
      </c>
      <c r="G2121">
        <v>3</v>
      </c>
      <c r="H2121" s="1">
        <v>5.2777777777777779E-3</v>
      </c>
      <c r="I2121" t="s">
        <v>23</v>
      </c>
      <c r="J2121" s="2" t="str">
        <f>HYPERLINK("https://www.nba.com/stats/events?CFID=&amp;CFPARAMS=&amp;GameEventID=415&amp;GameID=0021900523&amp;Season=2019-20&amp;flag=1&amp;title=Leonard%20layup%20(22%20PTS)", "Layup (22 PTS)")</f>
        <v>Layup (22 PTS)</v>
      </c>
      <c r="K2121" s="2" t="str">
        <f>HYPERLINK("https://www.nba.com/game/...-vs-...-0021900523/play-by-play?watchFullGame=true", "LAC vs MEM - Q3 07:36.00")</f>
        <v>LAC vs MEM - Q3 07:36.00</v>
      </c>
      <c r="L2121">
        <v>1.93</v>
      </c>
      <c r="M2121">
        <v>92.95</v>
      </c>
      <c r="N2121">
        <v>50.42</v>
      </c>
      <c r="O2121">
        <v>2</v>
      </c>
      <c r="P2121">
        <v>14</v>
      </c>
    </row>
    <row r="2122" spans="1:16" x14ac:dyDescent="0.25">
      <c r="A2122">
        <v>22300873</v>
      </c>
      <c r="B2122">
        <v>2023</v>
      </c>
      <c r="C2122" t="s">
        <v>32</v>
      </c>
      <c r="D2122" t="s">
        <v>48</v>
      </c>
      <c r="E2122">
        <v>43</v>
      </c>
      <c r="F2122">
        <v>43</v>
      </c>
      <c r="G2122">
        <v>2</v>
      </c>
      <c r="H2122" s="1">
        <v>1.9791666666666668E-3</v>
      </c>
      <c r="I2122" t="s">
        <v>23</v>
      </c>
      <c r="J2122" s="2" t="str">
        <f>HYPERLINK("https://www.nba.com/stats/events?CFID=&amp;CFPARAMS=&amp;GameEventID=237&amp;GameID=0022300873&amp;Season=2023-24&amp;flag=1&amp;title=Leonard%20alley-oop%20DUNK%20(11%20PTS)%20(J.%20Harden%205%20AST)", "Alley-oop DUNK (11 PTS) (J. Harden 5 AST)")</f>
        <v>Alley-oop DUNK (11 PTS) (J. Harden 5 AST)</v>
      </c>
      <c r="K2122" s="2" t="str">
        <f>HYPERLINK("https://www.nba.com/game/...-vs-...-0022300873/play-by-play?watchFullGame=true", "LAC vs MIN - Q2 02:51.00")</f>
        <v>LAC vs MIN - Q2 02:51.00</v>
      </c>
      <c r="L2122">
        <v>1.39</v>
      </c>
      <c r="M2122">
        <v>7.05</v>
      </c>
      <c r="N2122">
        <v>49.51</v>
      </c>
      <c r="O2122">
        <v>2</v>
      </c>
      <c r="P2122">
        <v>14</v>
      </c>
    </row>
    <row r="2123" spans="1:16" x14ac:dyDescent="0.25">
      <c r="A2123">
        <v>22201156</v>
      </c>
      <c r="B2123">
        <v>2022</v>
      </c>
      <c r="C2123" t="s">
        <v>32</v>
      </c>
      <c r="D2123" t="s">
        <v>47</v>
      </c>
      <c r="E2123">
        <v>0</v>
      </c>
      <c r="F2123">
        <v>4</v>
      </c>
      <c r="G2123">
        <v>1</v>
      </c>
      <c r="H2123" s="1">
        <v>7.789351851851852E-3</v>
      </c>
      <c r="I2123" t="s">
        <v>23</v>
      </c>
      <c r="J2123" s="2" t="str">
        <f>HYPERLINK("https://www.nba.com/stats/events?CFID=&amp;CFPARAMS=&amp;GameEventID=11&amp;GameID=0022201156&amp;Season=2022-23&amp;flag=1&amp;title=Leonard%20alley-oop%20Layup%20(2%20PTS)%20(R.%20Westbrook%201%20AST)", "Alley-oop Layup (2 PTS) (R. Westbrook 1 AST)")</f>
        <v>Alley-oop Layup (2 PTS) (R. Westbrook 1 AST)</v>
      </c>
      <c r="K2123" s="2" t="str">
        <f>HYPERLINK("https://www.nba.com/game/...-vs-...-0022201156/play-by-play?watchFullGame=true", "LAC vs MEM - Q1 11:13.00")</f>
        <v>LAC vs MEM - Q1 11:13.00</v>
      </c>
      <c r="L2123">
        <v>1.39</v>
      </c>
      <c r="M2123">
        <v>7.05</v>
      </c>
      <c r="N2123">
        <v>49.51</v>
      </c>
      <c r="O2123">
        <v>2</v>
      </c>
      <c r="P2123">
        <v>14</v>
      </c>
    </row>
    <row r="2124" spans="1:16" x14ac:dyDescent="0.25">
      <c r="A2124">
        <v>22301052</v>
      </c>
      <c r="B2124">
        <v>2023</v>
      </c>
      <c r="C2124" t="s">
        <v>32</v>
      </c>
      <c r="D2124" t="s">
        <v>48</v>
      </c>
      <c r="E2124">
        <v>91</v>
      </c>
      <c r="F2124">
        <v>89</v>
      </c>
      <c r="G2124">
        <v>4</v>
      </c>
      <c r="H2124" s="1">
        <v>4.4791666666666669E-3</v>
      </c>
      <c r="I2124" t="s">
        <v>23</v>
      </c>
      <c r="J2124" s="2" t="str">
        <f>HYPERLINK("https://www.nba.com/stats/events?CFID=&amp;CFPARAMS=&amp;GameEventID=532&amp;GameID=0022301052&amp;Season=2023-24&amp;flag=1&amp;title=Leonard%20running%20DUNK%20(9%20PTS)%20(J.%20Harden%2011%20AST)", "Running DUNK (9 PTS) (J. Harden 11 AST)")</f>
        <v>Running DUNK (9 PTS) (J. Harden 11 AST)</v>
      </c>
      <c r="K2124" s="2" t="str">
        <f>HYPERLINK("https://www.nba.com/game/...-vs-...-0022301052/play-by-play?watchFullGame=true", "LAC vs PHI - Q4 06:27.00")</f>
        <v>LAC vs PHI - Q4 06:27.00</v>
      </c>
      <c r="L2124">
        <v>1.49</v>
      </c>
      <c r="M2124">
        <v>7.15</v>
      </c>
      <c r="N2124">
        <v>49.51</v>
      </c>
      <c r="O2124">
        <v>2</v>
      </c>
      <c r="P2124">
        <v>15</v>
      </c>
    </row>
    <row r="2125" spans="1:16" x14ac:dyDescent="0.25">
      <c r="A2125">
        <v>22000251</v>
      </c>
      <c r="B2125">
        <v>2020</v>
      </c>
      <c r="C2125" t="s">
        <v>32</v>
      </c>
      <c r="D2125" t="s">
        <v>48</v>
      </c>
      <c r="E2125">
        <v>77</v>
      </c>
      <c r="F2125">
        <v>67</v>
      </c>
      <c r="G2125">
        <v>3</v>
      </c>
      <c r="H2125" s="1">
        <v>2.3148148148148147E-3</v>
      </c>
      <c r="I2125" t="s">
        <v>23</v>
      </c>
      <c r="J2125" s="2" t="str">
        <f>HYPERLINK("https://www.nba.com/stats/events?CFID=&amp;CFPARAMS=&amp;GameEventID=401&amp;GameID=0022000251&amp;Season=2020-21&amp;flag=1&amp;title=Leonard%20driving%20DUNK%20(28%20PTS)", "Driving DUNK (28 PTS)")</f>
        <v>Driving DUNK (28 PTS)</v>
      </c>
      <c r="K2125" s="2" t="str">
        <f>HYPERLINK("https://www.nba.com/game/...-vs-...-0022000251/play-by-play?watchFullGame=true", "LAC vs OKC - Q3 03:20.00")</f>
        <v>LAC vs OKC - Q3 03:20.00</v>
      </c>
      <c r="L2125">
        <v>1.75</v>
      </c>
      <c r="M2125">
        <v>7.44</v>
      </c>
      <c r="N2125">
        <v>49.58</v>
      </c>
      <c r="O2125">
        <v>2</v>
      </c>
      <c r="P2125">
        <v>17</v>
      </c>
    </row>
    <row r="2126" spans="1:16" x14ac:dyDescent="0.25">
      <c r="A2126">
        <v>41300221</v>
      </c>
      <c r="B2126" t="s">
        <v>26</v>
      </c>
      <c r="C2126" t="s">
        <v>32</v>
      </c>
      <c r="D2126" t="s">
        <v>62</v>
      </c>
      <c r="E2126">
        <v>56</v>
      </c>
      <c r="F2126">
        <v>32</v>
      </c>
      <c r="G2126">
        <v>2</v>
      </c>
      <c r="H2126" s="1">
        <v>2.9513888888888888E-3</v>
      </c>
      <c r="I2126" t="s">
        <v>18</v>
      </c>
      <c r="J2126" s="2" t="str">
        <f>HYPERLINK("https://www.nba.com/stats/events?CFID=&amp;CFPARAMS=&amp;GameEventID=215&amp;GameID=0041300221&amp;Season=2013-14&amp;flag=1&amp;title=Leonard%202'%20Dunk%20(9%20PTS)%20(Parker%203%20AST)", "Leonard 2' Dunk (9 PTS) (Parker 3 AST)")</f>
        <v>Leonard 2' Dunk (9 PTS) (Parker 3 AST)</v>
      </c>
      <c r="K2126" s="2" t="str">
        <f>HYPERLINK("https://www.nba.com/game/...-vs-...-0041300221/play-by-play?watchFullGame=true", "SAS vs POR - Q2 04:15.00")</f>
        <v>SAS vs POR - Q2 04:15.00</v>
      </c>
      <c r="L2126">
        <v>2</v>
      </c>
      <c r="M2126">
        <v>2</v>
      </c>
      <c r="N2126">
        <v>17</v>
      </c>
      <c r="O2126">
        <v>2</v>
      </c>
      <c r="P2126">
        <v>17</v>
      </c>
    </row>
    <row r="2127" spans="1:16" x14ac:dyDescent="0.25">
      <c r="A2127">
        <v>22000788</v>
      </c>
      <c r="B2127">
        <v>2020</v>
      </c>
      <c r="C2127" t="s">
        <v>32</v>
      </c>
      <c r="D2127" t="s">
        <v>48</v>
      </c>
      <c r="E2127">
        <v>69</v>
      </c>
      <c r="F2127">
        <v>69</v>
      </c>
      <c r="G2127">
        <v>3</v>
      </c>
      <c r="H2127" s="1">
        <v>3.9699074074074072E-3</v>
      </c>
      <c r="I2127" t="s">
        <v>23</v>
      </c>
      <c r="J2127" s="2" t="str">
        <f>HYPERLINK("https://www.nba.com/stats/events?CFID=&amp;CFPARAMS=&amp;GameEventID=344&amp;GameID=0022000788&amp;Season=2020-21&amp;flag=1&amp;title=Leonard%20driving%20DUNK%20(12%20PTS)%20(R.%20Jackson%203%20AST)", "Driving DUNK (12 PTS) (R. Jackson 3 AST)")</f>
        <v>Driving DUNK (12 PTS) (R. Jackson 3 AST)</v>
      </c>
      <c r="K2127" s="2" t="str">
        <f>HYPERLINK("https://www.nba.com/game/...-vs-...-0022000788/play-by-play?watchFullGame=true", "LAC vs PHX - Q3 05:43.00")</f>
        <v>LAC vs PHX - Q3 05:43.00</v>
      </c>
      <c r="L2127">
        <v>1.72</v>
      </c>
      <c r="M2127">
        <v>92.59</v>
      </c>
      <c r="N2127">
        <v>50.31</v>
      </c>
      <c r="O2127">
        <v>2</v>
      </c>
      <c r="P2127">
        <v>17</v>
      </c>
    </row>
    <row r="2128" spans="1:16" x14ac:dyDescent="0.25">
      <c r="A2128">
        <v>22200701</v>
      </c>
      <c r="B2128">
        <v>2022</v>
      </c>
      <c r="C2128" t="s">
        <v>32</v>
      </c>
      <c r="D2128" t="s">
        <v>47</v>
      </c>
      <c r="E2128">
        <v>71</v>
      </c>
      <c r="F2128">
        <v>72</v>
      </c>
      <c r="G2128">
        <v>3</v>
      </c>
      <c r="H2128" s="1">
        <v>1.6550925925925926E-3</v>
      </c>
      <c r="I2128" t="s">
        <v>23</v>
      </c>
      <c r="J2128" s="2" t="str">
        <f>HYPERLINK("https://www.nba.com/stats/events?CFID=&amp;CFPARAMS=&amp;GameEventID=427&amp;GameID=0022200701&amp;Season=2022-23&amp;flag=1&amp;title=Leonard%20finger%20roll%20Layup%20(19%20PTS)", "Finger roll Layup (19 PTS)")</f>
        <v>Finger roll Layup (19 PTS)</v>
      </c>
      <c r="K2128" s="2" t="str">
        <f>HYPERLINK("https://www.nba.com/game/...-vs-...-0022200701/play-by-play?watchFullGame=true", "LAC vs DAL - Q3 02:23.00")</f>
        <v>LAC vs DAL - Q3 02:23.00</v>
      </c>
      <c r="L2128">
        <v>1.76</v>
      </c>
      <c r="M2128">
        <v>7.44</v>
      </c>
      <c r="N2128">
        <v>49.51</v>
      </c>
      <c r="O2128">
        <v>2</v>
      </c>
      <c r="P2128">
        <v>17</v>
      </c>
    </row>
    <row r="2129" spans="1:16" x14ac:dyDescent="0.25">
      <c r="A2129">
        <v>22300160</v>
      </c>
      <c r="B2129">
        <v>2023</v>
      </c>
      <c r="C2129" t="s">
        <v>32</v>
      </c>
      <c r="D2129" t="s">
        <v>47</v>
      </c>
      <c r="E2129">
        <v>35</v>
      </c>
      <c r="F2129">
        <v>38</v>
      </c>
      <c r="G2129">
        <v>2</v>
      </c>
      <c r="H2129" s="1">
        <v>3.5069444444444445E-3</v>
      </c>
      <c r="I2129" t="s">
        <v>23</v>
      </c>
      <c r="J2129" s="2" t="str">
        <f>HYPERLINK("https://www.nba.com/stats/events?CFID=&amp;CFPARAMS=&amp;GameEventID=262&amp;GameID=0022300160&amp;Season=2023-24&amp;flag=1&amp;title=Leonard%20cutting%20Layup%20(4%20PTS)%20(J.%20Harden%204%20AST)", "Cutting Layup (4 PTS) (J. Harden 4 AST)")</f>
        <v>Cutting Layup (4 PTS) (J. Harden 4 AST)</v>
      </c>
      <c r="K2129" s="2" t="str">
        <f>HYPERLINK("https://www.nba.com/game/...-vs-...-0022300160/play-by-play?watchFullGame=true", "LAC vs BKN - Q2 05:03.00")</f>
        <v>LAC vs BKN - Q2 05:03.00</v>
      </c>
      <c r="L2129">
        <v>1.86</v>
      </c>
      <c r="M2129">
        <v>92.46</v>
      </c>
      <c r="N2129">
        <v>50.49</v>
      </c>
      <c r="O2129">
        <v>2</v>
      </c>
      <c r="P2129">
        <v>18</v>
      </c>
    </row>
    <row r="2130" spans="1:16" x14ac:dyDescent="0.25">
      <c r="A2130">
        <v>21900589</v>
      </c>
      <c r="B2130">
        <v>2019</v>
      </c>
      <c r="C2130" t="s">
        <v>32</v>
      </c>
      <c r="D2130" t="s">
        <v>65</v>
      </c>
      <c r="E2130">
        <v>82</v>
      </c>
      <c r="F2130">
        <v>64</v>
      </c>
      <c r="G2130">
        <v>3</v>
      </c>
      <c r="H2130" s="1">
        <v>3.2986111111111111E-3</v>
      </c>
      <c r="I2130" t="s">
        <v>23</v>
      </c>
      <c r="J2130" s="2" t="str">
        <f>HYPERLINK("https://www.nba.com/stats/events?CFID=&amp;CFPARAMS=&amp;GameEventID=421&amp;GameID=0021900589&amp;Season=2019-20&amp;flag=1&amp;title=Leonard%20dunk%20(21%20PTS)", "Dunk (21 PTS)")</f>
        <v>Dunk (21 PTS)</v>
      </c>
      <c r="K2130" s="2" t="str">
        <f>HYPERLINK("https://www.nba.com/game/...-vs-...-0021900589/play-by-play?watchFullGame=true", "LAC vs DEN - Q3 04:45.00")</f>
        <v>LAC vs DEN - Q3 04:45.00</v>
      </c>
      <c r="L2130">
        <v>2.4</v>
      </c>
      <c r="M2130">
        <v>92.46</v>
      </c>
      <c r="N2130">
        <v>50.31</v>
      </c>
      <c r="O2130">
        <v>2</v>
      </c>
      <c r="P2130">
        <v>18</v>
      </c>
    </row>
    <row r="2131" spans="1:16" x14ac:dyDescent="0.25">
      <c r="A2131">
        <v>22000605</v>
      </c>
      <c r="B2131">
        <v>2020</v>
      </c>
      <c r="C2131" t="s">
        <v>32</v>
      </c>
      <c r="D2131" t="s">
        <v>48</v>
      </c>
      <c r="E2131">
        <v>3</v>
      </c>
      <c r="F2131">
        <v>6</v>
      </c>
      <c r="G2131">
        <v>1</v>
      </c>
      <c r="H2131" s="1">
        <v>6.9444444444444441E-3</v>
      </c>
      <c r="I2131" t="s">
        <v>23</v>
      </c>
      <c r="J2131" s="2" t="str">
        <f>HYPERLINK("https://www.nba.com/stats/events?CFID=&amp;CFPARAMS=&amp;GameEventID=17&amp;GameID=0022000605&amp;Season=2020-21&amp;flag=1&amp;title=Leonard%20running%20DUNK%20(2%20PTS)%20(P.%20George%201%20AST)", "Running DUNK (2 PTS) (P. George 1 AST)")</f>
        <v>Running DUNK (2 PTS) (P. George 1 AST)</v>
      </c>
      <c r="K2131" s="2" t="str">
        <f>HYPERLINK("https://www.nba.com/game/...-vs-...-0022000605/play-by-play?watchFullGame=true", "LAC vs DAL - Q1 10:00.00")</f>
        <v>LAC vs DAL - Q1 10:00.00</v>
      </c>
      <c r="L2131">
        <v>1.85</v>
      </c>
      <c r="M2131">
        <v>92.46</v>
      </c>
      <c r="N2131">
        <v>50.31</v>
      </c>
      <c r="O2131">
        <v>2</v>
      </c>
      <c r="P2131">
        <v>18</v>
      </c>
    </row>
    <row r="2132" spans="1:16" x14ac:dyDescent="0.25">
      <c r="A2132">
        <v>21500013</v>
      </c>
      <c r="B2132">
        <v>2015</v>
      </c>
      <c r="C2132" t="s">
        <v>32</v>
      </c>
      <c r="D2132" t="s">
        <v>57</v>
      </c>
      <c r="E2132">
        <v>66</v>
      </c>
      <c r="F2132">
        <v>72</v>
      </c>
      <c r="G2132">
        <v>3</v>
      </c>
      <c r="H2132" s="1">
        <v>2.6967592592592594E-3</v>
      </c>
      <c r="I2132" t="s">
        <v>18</v>
      </c>
      <c r="J2132" s="2" t="str">
        <f>HYPERLINK("https://www.nba.com/stats/events?CFID=&amp;CFPARAMS=&amp;GameEventID=347&amp;GameID=0021500013&amp;Season=2015-16&amp;flag=1&amp;title=Leonard%202'%20Layup%20(19%20PTS)%20(Ginobili%205%20AST)", "Leonard 2' Layup (19 PTS) (Ginobili 5 AST)")</f>
        <v>Leonard 2' Layup (19 PTS) (Ginobili 5 AST)</v>
      </c>
      <c r="K2132" s="2" t="str">
        <f>HYPERLINK("https://www.nba.com/game/...-vs-...-0021500013/play-by-play?watchFullGame=true", "SAS vs OKC - Q3 03:53.00")</f>
        <v>SAS vs OKC - Q3 03:53.00</v>
      </c>
      <c r="L2132">
        <v>2</v>
      </c>
      <c r="M2132">
        <v>2</v>
      </c>
      <c r="N2132">
        <v>18</v>
      </c>
      <c r="O2132">
        <v>2</v>
      </c>
      <c r="P2132">
        <v>18</v>
      </c>
    </row>
    <row r="2133" spans="1:16" x14ac:dyDescent="0.25">
      <c r="A2133">
        <v>21500945</v>
      </c>
      <c r="B2133">
        <v>2015</v>
      </c>
      <c r="C2133" t="s">
        <v>32</v>
      </c>
      <c r="D2133" t="s">
        <v>49</v>
      </c>
      <c r="E2133">
        <v>45</v>
      </c>
      <c r="F2133">
        <v>49</v>
      </c>
      <c r="G2133">
        <v>2</v>
      </c>
      <c r="H2133" s="1">
        <v>2.3148148148148147E-3</v>
      </c>
      <c r="I2133" t="s">
        <v>18</v>
      </c>
      <c r="J2133" s="2" t="str">
        <f>HYPERLINK("https://www.nba.com/stats/events?CFID=&amp;CFPARAMS=&amp;GameEventID=204&amp;GameID=0021500945&amp;Season=2015-16&amp;flag=1&amp;title=Leonard%202'%20Driving%20Layup%20(6%20PTS)%20(Aldridge%202%20AST)", "Leonard 2' Driving Layup (6 PTS) (Aldridge 2 AST)")</f>
        <v>Leonard 2' Driving Layup (6 PTS) (Aldridge 2 AST)</v>
      </c>
      <c r="K2133" s="2" t="str">
        <f>HYPERLINK("https://www.nba.com/game/...-vs-...-0021500945/play-by-play?watchFullGame=true", "SAS vs MIN - Q2 03:20.00")</f>
        <v>SAS vs MIN - Q2 03:20.00</v>
      </c>
      <c r="L2133">
        <v>2</v>
      </c>
      <c r="M2133">
        <v>2</v>
      </c>
      <c r="N2133">
        <v>21</v>
      </c>
      <c r="O2133">
        <v>2</v>
      </c>
      <c r="P2133">
        <v>21</v>
      </c>
    </row>
    <row r="2134" spans="1:16" x14ac:dyDescent="0.25">
      <c r="A2134">
        <v>21900523</v>
      </c>
      <c r="B2134">
        <v>2019</v>
      </c>
      <c r="C2134" t="s">
        <v>32</v>
      </c>
      <c r="D2134" t="s">
        <v>50</v>
      </c>
      <c r="E2134">
        <v>40</v>
      </c>
      <c r="F2134">
        <v>51</v>
      </c>
      <c r="G2134">
        <v>2</v>
      </c>
      <c r="H2134" s="1">
        <v>5.37037037037037E-3</v>
      </c>
      <c r="I2134" t="s">
        <v>23</v>
      </c>
      <c r="J2134" s="2" t="str">
        <f>HYPERLINK("https://www.nba.com/stats/events?CFID=&amp;CFPARAMS=&amp;GameEventID=233&amp;GameID=0021900523&amp;Season=2019-20&amp;flag=1&amp;title=Leonard%20layup%20(9%20PTS)%20(L.%20Williams%205%20AST)", "Layup (9 PTS) (L. Williams 5 AST)")</f>
        <v>Layup (9 PTS) (L. Williams 5 AST)</v>
      </c>
      <c r="K2134" s="2" t="str">
        <f>HYPERLINK("https://www.nba.com/game/...-vs-...-0021900523/play-by-play?watchFullGame=true", "LAC vs MEM - Q2 07:44.00")</f>
        <v>LAC vs MEM - Q2 07:44.00</v>
      </c>
      <c r="L2134">
        <v>2.63</v>
      </c>
      <c r="M2134">
        <v>7.8</v>
      </c>
      <c r="N2134">
        <v>49.69</v>
      </c>
      <c r="O2134">
        <v>2</v>
      </c>
      <c r="P2134">
        <v>21</v>
      </c>
    </row>
    <row r="2135" spans="1:16" x14ac:dyDescent="0.25">
      <c r="A2135">
        <v>21600150</v>
      </c>
      <c r="B2135">
        <v>2016</v>
      </c>
      <c r="C2135" t="s">
        <v>32</v>
      </c>
      <c r="D2135" t="s">
        <v>59</v>
      </c>
      <c r="E2135">
        <v>21</v>
      </c>
      <c r="F2135">
        <v>10</v>
      </c>
      <c r="G2135">
        <v>1</v>
      </c>
      <c r="H2135" s="1">
        <v>2.1643518518518518E-3</v>
      </c>
      <c r="I2135" t="s">
        <v>18</v>
      </c>
      <c r="J2135" s="2" t="str">
        <f>HYPERLINK("https://www.nba.com/stats/events?CFID=&amp;CFPARAMS=&amp;GameEventID=80&amp;GameID=0021600150&amp;Season=2016-17&amp;flag=1&amp;title=Leonard%202'%20Putback%20Layup%20(6%20PTS)", "Leonard 2' Putback Layup (6 PTS)")</f>
        <v>Leonard 2' Putback Layup (6 PTS)</v>
      </c>
      <c r="K2135" s="2" t="str">
        <f>HYPERLINK("https://www.nba.com/game/...-vs-...-0021600150/play-by-play?watchFullGame=true", "SAS vs MIA - Q1 03:07.00")</f>
        <v>SAS vs MIA - Q1 03:07.00</v>
      </c>
      <c r="L2135">
        <v>2</v>
      </c>
      <c r="M2135">
        <v>2</v>
      </c>
      <c r="N2135">
        <v>21</v>
      </c>
      <c r="O2135">
        <v>2</v>
      </c>
      <c r="P2135">
        <v>21</v>
      </c>
    </row>
    <row r="2136" spans="1:16" x14ac:dyDescent="0.25">
      <c r="A2136">
        <v>21301102</v>
      </c>
      <c r="B2136">
        <v>2013</v>
      </c>
      <c r="C2136" t="s">
        <v>32</v>
      </c>
      <c r="D2136" t="s">
        <v>74</v>
      </c>
      <c r="E2136">
        <v>69</v>
      </c>
      <c r="F2136">
        <v>85</v>
      </c>
      <c r="G2136">
        <v>4</v>
      </c>
      <c r="H2136" s="1">
        <v>4.1087962962962962E-3</v>
      </c>
      <c r="I2136" t="s">
        <v>18</v>
      </c>
      <c r="J2136" s="2" t="str">
        <f>HYPERLINK("https://www.nba.com/stats/events?CFID=&amp;CFPARAMS=&amp;GameEventID=423&amp;GameID=0021301102&amp;Season=2013-14&amp;flag=1&amp;title=Leonard%202'%20Slam%20Dunk%20(11%20PTS)%20(Diaw%204%20AST)", "Leonard 2' Slam Dunk (11 PTS) (Diaw 4 AST)")</f>
        <v>Leonard 2' Slam Dunk (11 PTS) (Diaw 4 AST)</v>
      </c>
      <c r="K2136" s="2" t="str">
        <f>HYPERLINK("https://www.nba.com/game/...-vs-...-0021301102/play-by-play?watchFullGame=true", "SAS vs IND - Q4 05:55.00")</f>
        <v>SAS vs IND - Q4 05:55.00</v>
      </c>
      <c r="L2136">
        <v>2</v>
      </c>
      <c r="M2136">
        <v>2</v>
      </c>
      <c r="N2136">
        <v>22</v>
      </c>
      <c r="O2136">
        <v>2</v>
      </c>
      <c r="P2136">
        <v>22</v>
      </c>
    </row>
    <row r="2137" spans="1:16" x14ac:dyDescent="0.25">
      <c r="A2137">
        <v>22300264</v>
      </c>
      <c r="B2137">
        <v>2023</v>
      </c>
      <c r="C2137" t="s">
        <v>32</v>
      </c>
      <c r="D2137" t="s">
        <v>48</v>
      </c>
      <c r="E2137">
        <v>42</v>
      </c>
      <c r="F2137">
        <v>51</v>
      </c>
      <c r="G2137">
        <v>2</v>
      </c>
      <c r="H2137" s="1">
        <v>4.386574074074074E-3</v>
      </c>
      <c r="I2137" t="s">
        <v>23</v>
      </c>
      <c r="J2137" s="2" t="str">
        <f>HYPERLINK("https://www.nba.com/stats/events?CFID=&amp;CFPARAMS=&amp;GameEventID=288&amp;GameID=0022300264&amp;Season=2023-24&amp;flag=1&amp;title=Leonard%20running%20DUNK%20(9%20PTS)%20(J.%20Harden%201%20AST)", "Running DUNK (9 PTS) (J. Harden 1 AST)")</f>
        <v>Running DUNK (9 PTS) (J. Harden 1 AST)</v>
      </c>
      <c r="K2137" s="2" t="str">
        <f>HYPERLINK("https://www.nba.com/game/...-vs-...-0022300264/play-by-play?watchFullGame=true", "LAC vs SAC - Q2 06:19.00")</f>
        <v>LAC vs SAC - Q2 06:19.00</v>
      </c>
      <c r="L2137">
        <v>2.37</v>
      </c>
      <c r="M2137">
        <v>8.1</v>
      </c>
      <c r="N2137">
        <v>49.51</v>
      </c>
      <c r="O2137">
        <v>2</v>
      </c>
      <c r="P2137">
        <v>24</v>
      </c>
    </row>
    <row r="2138" spans="1:16" x14ac:dyDescent="0.25">
      <c r="A2138">
        <v>22300708</v>
      </c>
      <c r="B2138">
        <v>2023</v>
      </c>
      <c r="C2138" t="s">
        <v>32</v>
      </c>
      <c r="D2138" t="s">
        <v>48</v>
      </c>
      <c r="E2138">
        <v>16</v>
      </c>
      <c r="F2138">
        <v>11</v>
      </c>
      <c r="G2138">
        <v>1</v>
      </c>
      <c r="H2138" s="1">
        <v>2.9629629629629628E-3</v>
      </c>
      <c r="I2138" t="s">
        <v>23</v>
      </c>
      <c r="J2138" s="2" t="str">
        <f>HYPERLINK("https://www.nba.com/stats/events?CFID=&amp;CFPARAMS=&amp;GameEventID=86&amp;GameID=0022300708&amp;Season=2023-24&amp;flag=1&amp;title=Leonard%20running%20DUNK%20(2%20PTS)%20(J.%20Harden%202%20AST)", "Running DUNK (2 PTS) (J. Harden 2 AST)")</f>
        <v>Running DUNK (2 PTS) (J. Harden 2 AST)</v>
      </c>
      <c r="K2138" s="2" t="str">
        <f>HYPERLINK("https://www.nba.com/game/...-vs-...-0022300708/play-by-play?watchFullGame=true", "LAC vs MIA - Q1 04:16.00")</f>
        <v>LAC vs MIA - Q1 04:16.00</v>
      </c>
      <c r="L2138">
        <v>2.62</v>
      </c>
      <c r="M2138">
        <v>8.36</v>
      </c>
      <c r="N2138">
        <v>49.51</v>
      </c>
      <c r="O2138">
        <v>2</v>
      </c>
      <c r="P2138">
        <v>26</v>
      </c>
    </row>
    <row r="2139" spans="1:16" x14ac:dyDescent="0.25">
      <c r="A2139">
        <v>21900576</v>
      </c>
      <c r="B2139">
        <v>2019</v>
      </c>
      <c r="C2139" t="s">
        <v>32</v>
      </c>
      <c r="D2139" t="s">
        <v>65</v>
      </c>
      <c r="E2139">
        <v>29</v>
      </c>
      <c r="F2139">
        <v>27</v>
      </c>
      <c r="G2139">
        <v>2</v>
      </c>
      <c r="H2139" s="1">
        <v>5.1273148148148146E-3</v>
      </c>
      <c r="I2139" t="s">
        <v>23</v>
      </c>
      <c r="J2139" s="2" t="str">
        <f>HYPERLINK("https://www.nba.com/stats/events?CFID=&amp;CFPARAMS=&amp;GameEventID=228&amp;GameID=0021900576&amp;Season=2019-20&amp;flag=1&amp;title=Leonard%20dunk%20(9%20PTS)%20(L.%20Williams%203%20AST)", "Dunk (9 PTS) (L. Williams 3 AST)")</f>
        <v>Dunk (9 PTS) (L. Williams 3 AST)</v>
      </c>
      <c r="K2139" s="2" t="str">
        <f>HYPERLINK("https://www.nba.com/game/...-vs-...-0021900576/play-by-play?watchFullGame=true", "LAC vs GSW - Q2 07:23.00")</f>
        <v>LAC vs GSW - Q2 07:23.00</v>
      </c>
      <c r="L2139">
        <v>3.29</v>
      </c>
      <c r="M2139">
        <v>91.51</v>
      </c>
      <c r="N2139">
        <v>50.42</v>
      </c>
      <c r="O2139">
        <v>2</v>
      </c>
      <c r="P2139">
        <v>27</v>
      </c>
    </row>
    <row r="2140" spans="1:16" x14ac:dyDescent="0.25">
      <c r="A2140">
        <v>21501201</v>
      </c>
      <c r="B2140">
        <v>2015</v>
      </c>
      <c r="C2140" t="s">
        <v>32</v>
      </c>
      <c r="D2140" t="s">
        <v>19</v>
      </c>
      <c r="E2140">
        <v>2</v>
      </c>
      <c r="F2140">
        <v>0</v>
      </c>
      <c r="G2140">
        <v>1</v>
      </c>
      <c r="H2140" s="1">
        <v>7.8240740740740736E-3</v>
      </c>
      <c r="I2140" t="s">
        <v>18</v>
      </c>
      <c r="J2140" s="2" t="str">
        <f>HYPERLINK("https://www.nba.com/stats/events?CFID=&amp;CFPARAMS=&amp;GameEventID=4&amp;GameID=0021501201&amp;Season=2015-16&amp;flag=1&amp;title=Leonard%203'%20Jump%20Shot%20(2%20PTS)%20(Parker%201%20AST)", "Leonard 3' Jump Shot (2 PTS) (Parker 1 AST)")</f>
        <v>Leonard 3' Jump Shot (2 PTS) (Parker 1 AST)</v>
      </c>
      <c r="K2140" s="2" t="str">
        <f>HYPERLINK("https://www.nba.com/game/...-vs-...-0021501201/play-by-play?watchFullGame=true", "SAS vs GSW - Q1 11:16.00")</f>
        <v>SAS vs GSW - Q1 11:16.00</v>
      </c>
      <c r="L2140">
        <v>3</v>
      </c>
      <c r="M2140">
        <v>2</v>
      </c>
      <c r="N2140">
        <v>31</v>
      </c>
      <c r="O2140">
        <v>2</v>
      </c>
      <c r="P2140">
        <v>31</v>
      </c>
    </row>
    <row r="2141" spans="1:16" x14ac:dyDescent="0.25">
      <c r="A2141">
        <v>21900516</v>
      </c>
      <c r="B2141">
        <v>2019</v>
      </c>
      <c r="C2141" t="s">
        <v>32</v>
      </c>
      <c r="D2141" t="s">
        <v>50</v>
      </c>
      <c r="E2141">
        <v>14</v>
      </c>
      <c r="F2141">
        <v>17</v>
      </c>
      <c r="G2141">
        <v>1</v>
      </c>
      <c r="H2141" s="1">
        <v>2.3379629629629631E-3</v>
      </c>
      <c r="I2141" t="s">
        <v>23</v>
      </c>
      <c r="J2141" s="2" t="str">
        <f>HYPERLINK("https://www.nba.com/stats/events?CFID=&amp;CFPARAMS=&amp;GameEventID=118&amp;GameID=0021900516&amp;Season=2019-20&amp;flag=1&amp;title=Leonard%20layup%20(2%20PTS)%20(J.%20Green%201%20AST)", "Layup (2 PTS) (J. Green 1 AST)")</f>
        <v>Layup (2 PTS) (J. Green 1 AST)</v>
      </c>
      <c r="K2141" s="2" t="str">
        <f>HYPERLINK("https://www.nba.com/game/...-vs-...-0021900516/play-by-play?watchFullGame=true", "LAC vs DET - Q1 03:22.00")</f>
        <v>LAC vs DET - Q1 03:22.00</v>
      </c>
      <c r="L2141">
        <v>3.91</v>
      </c>
      <c r="M2141">
        <v>90.85</v>
      </c>
      <c r="N2141">
        <v>50.42</v>
      </c>
      <c r="O2141">
        <v>2</v>
      </c>
      <c r="P2141">
        <v>34</v>
      </c>
    </row>
    <row r="2142" spans="1:16" x14ac:dyDescent="0.25">
      <c r="A2142">
        <v>21601227</v>
      </c>
      <c r="B2142">
        <v>2016</v>
      </c>
      <c r="C2142" t="s">
        <v>32</v>
      </c>
      <c r="D2142" t="s">
        <v>37</v>
      </c>
      <c r="E2142">
        <v>88</v>
      </c>
      <c r="F2142">
        <v>86</v>
      </c>
      <c r="G2142">
        <v>4</v>
      </c>
      <c r="H2142" s="1">
        <v>3.7384259259259259E-3</v>
      </c>
      <c r="I2142" t="s">
        <v>18</v>
      </c>
      <c r="J2142" s="2" t="str">
        <f>HYPERLINK("https://www.nba.com/stats/events?CFID=&amp;CFPARAMS=&amp;GameEventID=417&amp;GameID=0021601227&amp;Season=2016-17&amp;flag=1&amp;title=Leonard%205'%20Floating%20Jump%20Shot%20(14%20PTS)", "Leonard 5' Floating Jump Shot (14 PTS)")</f>
        <v>Leonard 5' Floating Jump Shot (14 PTS)</v>
      </c>
      <c r="K2142" s="2" t="str">
        <f>HYPERLINK("https://www.nba.com/game/...-vs-...-0021601227/play-by-play?watchFullGame=true", "SAS vs UTA - Q4 05:23.00")</f>
        <v>SAS vs UTA - Q4 05:23.00</v>
      </c>
      <c r="L2142">
        <v>5</v>
      </c>
      <c r="M2142">
        <v>2</v>
      </c>
      <c r="N2142">
        <v>46</v>
      </c>
      <c r="O2142">
        <v>2</v>
      </c>
      <c r="P2142">
        <v>46</v>
      </c>
    </row>
    <row r="2143" spans="1:16" x14ac:dyDescent="0.25">
      <c r="A2143">
        <v>21300888</v>
      </c>
      <c r="B2143">
        <v>2013</v>
      </c>
      <c r="C2143" t="s">
        <v>32</v>
      </c>
      <c r="D2143" t="s">
        <v>29</v>
      </c>
      <c r="E2143">
        <v>36</v>
      </c>
      <c r="F2143">
        <v>28</v>
      </c>
      <c r="G2143">
        <v>2</v>
      </c>
      <c r="H2143" s="1">
        <v>4.9768518518518521E-3</v>
      </c>
      <c r="I2143" t="s">
        <v>18</v>
      </c>
      <c r="J2143" s="2" t="str">
        <f>HYPERLINK("https://www.nba.com/stats/events?CFID=&amp;CFPARAMS=&amp;GameEventID=164&amp;GameID=0021300888&amp;Season=2013-14&amp;flag=1&amp;title=Leonard%205'%20Pullup%20Jump%20Shot%20(7%20PTS)", "Leonard 5' Pullup Jump Shot (7 PTS)")</f>
        <v>Leonard 5' Pullup Jump Shot (7 PTS)</v>
      </c>
      <c r="K2143" s="2" t="str">
        <f>HYPERLINK("https://www.nba.com/game/...-vs-...-0021300888/play-by-play?watchFullGame=true", "SAS vs DAL - Q2 07:10.00")</f>
        <v>SAS vs DAL - Q2 07:10.00</v>
      </c>
      <c r="L2143">
        <v>5</v>
      </c>
      <c r="M2143">
        <v>2</v>
      </c>
      <c r="N2143">
        <v>50</v>
      </c>
      <c r="O2143">
        <v>2</v>
      </c>
      <c r="P2143">
        <v>50</v>
      </c>
    </row>
    <row r="2144" spans="1:16" x14ac:dyDescent="0.25">
      <c r="A2144">
        <v>22300646</v>
      </c>
      <c r="B2144">
        <v>2023</v>
      </c>
      <c r="C2144" t="s">
        <v>32</v>
      </c>
      <c r="D2144" t="s">
        <v>44</v>
      </c>
      <c r="E2144">
        <v>46</v>
      </c>
      <c r="F2144">
        <v>62</v>
      </c>
      <c r="G2144">
        <v>3</v>
      </c>
      <c r="H2144" s="1">
        <v>6.1111111111111114E-3</v>
      </c>
      <c r="I2144" t="s">
        <v>23</v>
      </c>
      <c r="J2144" s="2" t="str">
        <f>HYPERLINK("https://www.nba.com/stats/events?CFID=&amp;CFPARAMS=&amp;GameEventID=359&amp;GameID=0022300646&amp;Season=2023-24&amp;flag=1&amp;title=Leonard%20driving%20Hook%20(14%20PTS)", "Driving Hook (14 PTS)")</f>
        <v>Driving Hook (14 PTS)</v>
      </c>
      <c r="K2144" s="2" t="str">
        <f>HYPERLINK("https://www.nba.com/game/...-vs-...-0022300646/play-by-play?watchFullGame=true", "LAC vs BOS - Q3 08:48.00")</f>
        <v>LAC vs BOS - Q3 08:48.00</v>
      </c>
      <c r="L2144">
        <v>5.46</v>
      </c>
      <c r="M2144">
        <v>11.38</v>
      </c>
      <c r="N2144">
        <v>49.51</v>
      </c>
      <c r="O2144">
        <v>2</v>
      </c>
      <c r="P2144">
        <v>55</v>
      </c>
    </row>
    <row r="2145" spans="1:16" x14ac:dyDescent="0.25">
      <c r="A2145">
        <v>21300032</v>
      </c>
      <c r="B2145">
        <v>2013</v>
      </c>
      <c r="C2145" t="s">
        <v>32</v>
      </c>
      <c r="D2145" t="s">
        <v>17</v>
      </c>
      <c r="E2145">
        <v>35</v>
      </c>
      <c r="F2145">
        <v>27</v>
      </c>
      <c r="G2145">
        <v>2</v>
      </c>
      <c r="H2145" s="1">
        <v>4.5833333333333334E-3</v>
      </c>
      <c r="I2145" t="s">
        <v>18</v>
      </c>
      <c r="J2145" s="2" t="str">
        <f>HYPERLINK("https://www.nba.com/stats/events?CFID=&amp;CFPARAMS=&amp;GameEventID=195&amp;GameID=0021300032&amp;Season=2013-14&amp;flag=1&amp;title=Leonard%206'%20Running%20Jump%20Shot%20(6%20PTS)", "Leonard 6' Running Jump Shot (6 PTS)")</f>
        <v>Leonard 6' Running Jump Shot (6 PTS)</v>
      </c>
      <c r="K2145" s="2" t="str">
        <f>HYPERLINK("https://www.nba.com/game/...-vs-...-0021300032/play-by-play?watchFullGame=true", "SAS vs LAL - Q2 06:36.00")</f>
        <v>SAS vs LAL - Q2 06:36.00</v>
      </c>
      <c r="L2145">
        <v>6</v>
      </c>
      <c r="M2145">
        <v>2</v>
      </c>
      <c r="N2145">
        <v>63</v>
      </c>
      <c r="O2145">
        <v>2</v>
      </c>
      <c r="P2145">
        <v>63</v>
      </c>
    </row>
    <row r="2146" spans="1:16" x14ac:dyDescent="0.25">
      <c r="A2146">
        <v>21900458</v>
      </c>
      <c r="B2146">
        <v>2019</v>
      </c>
      <c r="C2146" t="s">
        <v>32</v>
      </c>
      <c r="D2146" t="s">
        <v>22</v>
      </c>
      <c r="E2146">
        <v>101</v>
      </c>
      <c r="F2146">
        <v>96</v>
      </c>
      <c r="G2146">
        <v>4</v>
      </c>
      <c r="H2146" s="1">
        <v>4.43287037037037E-3</v>
      </c>
      <c r="I2146" t="s">
        <v>23</v>
      </c>
      <c r="J2146" s="2" t="str">
        <f>HYPERLINK("https://www.nba.com/stats/events?CFID=&amp;CFPARAMS=&amp;GameEventID=618&amp;GameID=0021900458&amp;Season=2019-20&amp;flag=1&amp;title=Leonard%207'%20jumpshot%20(28%20PTS)", "7' jumpshot (28 PTS)")</f>
        <v>7' jumpshot (28 PTS)</v>
      </c>
      <c r="K2146" s="2" t="str">
        <f>HYPERLINK("https://www.nba.com/game/...-vs-...-0021900458/play-by-play?watchFullGame=true", "LAC vs LAL - Q4 06:23.00")</f>
        <v>LAC vs LAL - Q4 06:23.00</v>
      </c>
      <c r="L2146">
        <v>6.86</v>
      </c>
      <c r="M2146">
        <v>87.7</v>
      </c>
      <c r="N2146">
        <v>50.42</v>
      </c>
      <c r="O2146">
        <v>2</v>
      </c>
      <c r="P2146">
        <v>63</v>
      </c>
    </row>
    <row r="2147" spans="1:16" x14ac:dyDescent="0.25">
      <c r="A2147">
        <v>22300827</v>
      </c>
      <c r="B2147">
        <v>2023</v>
      </c>
      <c r="C2147" t="s">
        <v>32</v>
      </c>
      <c r="D2147" t="s">
        <v>44</v>
      </c>
      <c r="E2147">
        <v>13</v>
      </c>
      <c r="F2147">
        <v>14</v>
      </c>
      <c r="G2147">
        <v>1</v>
      </c>
      <c r="H2147" s="1">
        <v>5.0000000000000001E-3</v>
      </c>
      <c r="I2147" t="s">
        <v>23</v>
      </c>
      <c r="J2147" s="2" t="str">
        <f>HYPERLINK("https://www.nba.com/stats/events?CFID=&amp;CFPARAMS=&amp;GameEventID=53&amp;GameID=0022300827&amp;Season=2023-24&amp;flag=1&amp;title=Leonard%206'%20Hook%20(2%20PTS)%20(T.%20Mann%201%20AST)", "6' Hook (2 PTS) (T. Mann 1 AST)")</f>
        <v>6' Hook (2 PTS) (T. Mann 1 AST)</v>
      </c>
      <c r="K2147" s="2" t="str">
        <f>HYPERLINK("https://www.nba.com/game/...-vs-...-0022300827/play-by-play?watchFullGame=true", "LAC vs SAC - Q1 07:12.00")</f>
        <v>LAC vs SAC - Q1 07:12.00</v>
      </c>
      <c r="L2147">
        <v>6.31</v>
      </c>
      <c r="M2147">
        <v>87.7</v>
      </c>
      <c r="N2147">
        <v>50.49</v>
      </c>
      <c r="O2147">
        <v>2</v>
      </c>
      <c r="P2147">
        <v>63</v>
      </c>
    </row>
    <row r="2148" spans="1:16" x14ac:dyDescent="0.25">
      <c r="A2148">
        <v>22000701</v>
      </c>
      <c r="B2148">
        <v>2020</v>
      </c>
      <c r="C2148" t="s">
        <v>32</v>
      </c>
      <c r="D2148" t="s">
        <v>19</v>
      </c>
      <c r="E2148">
        <v>2</v>
      </c>
      <c r="F2148">
        <v>0</v>
      </c>
      <c r="G2148">
        <v>1</v>
      </c>
      <c r="H2148" s="1">
        <v>7.8819444444444449E-3</v>
      </c>
      <c r="I2148" t="s">
        <v>23</v>
      </c>
      <c r="J2148" s="2" t="str">
        <f>HYPERLINK("https://www.nba.com/stats/events?CFID=&amp;CFPARAMS=&amp;GameEventID=9&amp;GameID=0022000701&amp;Season=2020-21&amp;flag=1&amp;title=Leonard%206'%20Jump%20Shot%20(2%20PTS)", "6' Jump Shot (2 PTS)")</f>
        <v>6' Jump Shot (2 PTS)</v>
      </c>
      <c r="K2148" s="2" t="str">
        <f>HYPERLINK("https://www.nba.com/game/...-vs-...-0022000701/play-by-play?watchFullGame=true", "LAC vs PHI - Q1 11:21.00")</f>
        <v>LAC vs PHI - Q1 11:21.00</v>
      </c>
      <c r="L2148">
        <v>6.41</v>
      </c>
      <c r="M2148">
        <v>12.4</v>
      </c>
      <c r="N2148">
        <v>49.69</v>
      </c>
      <c r="O2148">
        <v>2</v>
      </c>
      <c r="P2148">
        <v>64</v>
      </c>
    </row>
    <row r="2149" spans="1:16" x14ac:dyDescent="0.25">
      <c r="A2149">
        <v>22000625</v>
      </c>
      <c r="B2149">
        <v>2020</v>
      </c>
      <c r="C2149" t="s">
        <v>32</v>
      </c>
      <c r="D2149" t="s">
        <v>44</v>
      </c>
      <c r="E2149">
        <v>50</v>
      </c>
      <c r="F2149">
        <v>46</v>
      </c>
      <c r="G2149">
        <v>2</v>
      </c>
      <c r="H2149" s="1">
        <v>2.3032407407407407E-3</v>
      </c>
      <c r="I2149" t="s">
        <v>23</v>
      </c>
      <c r="J2149" s="2" t="str">
        <f>HYPERLINK("https://www.nba.com/stats/events?CFID=&amp;CFPARAMS=&amp;GameEventID=278&amp;GameID=0022000625&amp;Season=2020-21&amp;flag=1&amp;title=Leonard%207'%20turnaround%20Hook%20(10%20PTS)", "7' turnaround Hook (10 PTS)")</f>
        <v>7' turnaround Hook (10 PTS)</v>
      </c>
      <c r="K2149" s="2" t="str">
        <f>HYPERLINK("https://www.nba.com/game/...-vs-...-0022000625/play-by-play?watchFullGame=true", "LAC vs DAL - Q2 03:19.00")</f>
        <v>LAC vs DAL - Q2 03:19.00</v>
      </c>
      <c r="L2149">
        <v>7.64</v>
      </c>
      <c r="M2149">
        <v>86.28</v>
      </c>
      <c r="N2149">
        <v>50.31</v>
      </c>
      <c r="O2149">
        <v>2</v>
      </c>
      <c r="P2149">
        <v>76</v>
      </c>
    </row>
    <row r="2150" spans="1:16" x14ac:dyDescent="0.25">
      <c r="A2150">
        <v>22201162</v>
      </c>
      <c r="B2150">
        <v>2022</v>
      </c>
      <c r="C2150" t="s">
        <v>32</v>
      </c>
      <c r="D2150" t="s">
        <v>19</v>
      </c>
      <c r="E2150">
        <v>9</v>
      </c>
      <c r="F2150">
        <v>9</v>
      </c>
      <c r="G2150">
        <v>1</v>
      </c>
      <c r="H2150" s="1">
        <v>5.1967592592592595E-3</v>
      </c>
      <c r="I2150" t="s">
        <v>23</v>
      </c>
      <c r="J2150" s="2" t="str">
        <f>HYPERLINK("https://www.nba.com/stats/events?CFID=&amp;CFPARAMS=&amp;GameEventID=55&amp;GameID=0022201162&amp;Season=2022-23&amp;flag=1&amp;title=Leonard%208'%20driving%20floating%20Jump%20Shot%20(2%20PTS)%20(N.%20Batum%201%20AST)", "8' driving floating Jump Shot (2 PTS) (N. Batum 1 AST)")</f>
        <v>8' driving floating Jump Shot (2 PTS) (N. Batum 1 AST)</v>
      </c>
      <c r="K2150" s="2" t="str">
        <f>HYPERLINK("https://www.nba.com/game/...-vs-...-0022201162/play-by-play?watchFullGame=true", "LAC vs NOP - Q1 07:29.00")</f>
        <v>LAC vs NOP - Q1 07:29.00</v>
      </c>
      <c r="L2150">
        <v>8.01</v>
      </c>
      <c r="M2150">
        <v>85.89</v>
      </c>
      <c r="N2150">
        <v>50.49</v>
      </c>
      <c r="O2150">
        <v>2</v>
      </c>
      <c r="P2150">
        <v>80</v>
      </c>
    </row>
    <row r="2151" spans="1:16" x14ac:dyDescent="0.25">
      <c r="A2151">
        <v>22000736</v>
      </c>
      <c r="B2151">
        <v>2020</v>
      </c>
      <c r="C2151" t="s">
        <v>32</v>
      </c>
      <c r="D2151" t="s">
        <v>19</v>
      </c>
      <c r="E2151">
        <v>4</v>
      </c>
      <c r="F2151">
        <v>5</v>
      </c>
      <c r="G2151">
        <v>1</v>
      </c>
      <c r="H2151" s="1">
        <v>6.828703703703704E-3</v>
      </c>
      <c r="I2151" t="s">
        <v>23</v>
      </c>
      <c r="J2151" s="2" t="str">
        <f>HYPERLINK("https://www.nba.com/stats/events?CFID=&amp;CFPARAMS=&amp;GameEventID=25&amp;GameID=0022000736&amp;Season=2020-21&amp;flag=1&amp;title=Leonard%208'%20turnaround%20fadeaway%20Jump%20Shot%20(2%20PTS)", "8' turnaround fadeaway Jump Shot (2 PTS)")</f>
        <v>8' turnaround fadeaway Jump Shot (2 PTS)</v>
      </c>
      <c r="K2151" s="2" t="str">
        <f>HYPERLINK("https://www.nba.com/game/...-vs-...-0022000736/play-by-play?watchFullGame=true", "LAC vs DEN - Q1 09:50.00")</f>
        <v>LAC vs DEN - Q1 09:50.00</v>
      </c>
      <c r="L2151">
        <v>8.51</v>
      </c>
      <c r="M2151">
        <v>85.36</v>
      </c>
      <c r="N2151">
        <v>50.31</v>
      </c>
      <c r="O2151">
        <v>2</v>
      </c>
      <c r="P2151">
        <v>85</v>
      </c>
    </row>
    <row r="2152" spans="1:16" x14ac:dyDescent="0.25">
      <c r="A2152">
        <v>21500979</v>
      </c>
      <c r="B2152">
        <v>2015</v>
      </c>
      <c r="C2152" t="s">
        <v>32</v>
      </c>
      <c r="D2152" t="s">
        <v>19</v>
      </c>
      <c r="E2152">
        <v>76</v>
      </c>
      <c r="F2152">
        <v>74</v>
      </c>
      <c r="G2152">
        <v>4</v>
      </c>
      <c r="H2152" s="1">
        <v>5.5324074074074078E-3</v>
      </c>
      <c r="I2152" t="s">
        <v>18</v>
      </c>
      <c r="J2152" s="2" t="str">
        <f>HYPERLINK("https://www.nba.com/stats/events?CFID=&amp;CFPARAMS=&amp;GameEventID=442&amp;GameID=0021500979&amp;Season=2015-16&amp;flag=1&amp;title=Leonard%209'%20Jump%20Shot%20(19%20PTS)", "Leonard 9' Jump Shot (19 PTS)")</f>
        <v>Leonard 9' Jump Shot (19 PTS)</v>
      </c>
      <c r="K2152" s="2" t="str">
        <f>HYPERLINK("https://www.nba.com/game/...-vs-...-0021500979/play-by-play?watchFullGame=true", "SAS vs OKC - Q4 07:58.00")</f>
        <v>SAS vs OKC - Q4 07:58.00</v>
      </c>
      <c r="L2152">
        <v>9</v>
      </c>
      <c r="M2152">
        <v>2</v>
      </c>
      <c r="N2152">
        <v>85</v>
      </c>
      <c r="O2152">
        <v>2</v>
      </c>
      <c r="P2152">
        <v>85</v>
      </c>
    </row>
    <row r="2153" spans="1:16" x14ac:dyDescent="0.25">
      <c r="A2153">
        <v>22300350</v>
      </c>
      <c r="B2153">
        <v>2023</v>
      </c>
      <c r="C2153" t="s">
        <v>32</v>
      </c>
      <c r="D2153" t="s">
        <v>19</v>
      </c>
      <c r="E2153">
        <v>21</v>
      </c>
      <c r="F2153">
        <v>23</v>
      </c>
      <c r="G2153">
        <v>1</v>
      </c>
      <c r="H2153" s="1">
        <v>3.6689814814814814E-3</v>
      </c>
      <c r="I2153" t="s">
        <v>23</v>
      </c>
      <c r="J2153" s="2" t="str">
        <f>HYPERLINK("https://www.nba.com/stats/events?CFID=&amp;CFPARAMS=&amp;GameEventID=83&amp;GameID=0022300350&amp;Season=2023-24&amp;flag=1&amp;title=Leonard%209'%20pullup%20Jump%20Shot%20(8%20PTS)", "9' pullup Jump Shot (8 PTS)")</f>
        <v>9' pullup Jump Shot (8 PTS)</v>
      </c>
      <c r="K2153" s="2" t="str">
        <f>HYPERLINK("https://www.nba.com/game/...-vs-...-0022300350/play-by-play?watchFullGame=true", "LAC vs IND - Q1 05:17.00")</f>
        <v>LAC vs IND - Q1 05:17.00</v>
      </c>
      <c r="L2153">
        <v>9.5</v>
      </c>
      <c r="M2153">
        <v>84.31</v>
      </c>
      <c r="N2153">
        <v>50.49</v>
      </c>
      <c r="O2153">
        <v>2</v>
      </c>
      <c r="P2153">
        <v>95</v>
      </c>
    </row>
    <row r="2154" spans="1:16" x14ac:dyDescent="0.25">
      <c r="A2154">
        <v>22000116</v>
      </c>
      <c r="B2154">
        <v>2020</v>
      </c>
      <c r="C2154" t="s">
        <v>32</v>
      </c>
      <c r="D2154" t="s">
        <v>19</v>
      </c>
      <c r="E2154">
        <v>91</v>
      </c>
      <c r="F2154">
        <v>93</v>
      </c>
      <c r="G2154">
        <v>4</v>
      </c>
      <c r="H2154" s="1">
        <v>4.2013888888888891E-3</v>
      </c>
      <c r="I2154" t="s">
        <v>23</v>
      </c>
      <c r="J2154" s="2" t="str">
        <f>HYPERLINK("https://www.nba.com/stats/events?CFID=&amp;CFPARAMS=&amp;GameEventID=577&amp;GameID=0022000116&amp;Season=2020-21&amp;flag=1&amp;title=Leonard%209'%20driving%20floating%20Jump%20Shot%20(17%20PTS)", "9' driving floating Jump Shot (17 PTS)")</f>
        <v>9' driving floating Jump Shot (17 PTS)</v>
      </c>
      <c r="K2154" s="2" t="str">
        <f>HYPERLINK("https://www.nba.com/game/...-vs-...-0022000116/play-by-play?watchFullGame=true", "LAC vs GSW - Q4 06:03.00")</f>
        <v>LAC vs GSW - Q4 06:03.00</v>
      </c>
      <c r="L2154">
        <v>9.6199999999999992</v>
      </c>
      <c r="M2154">
        <v>84.18</v>
      </c>
      <c r="N2154">
        <v>50.31</v>
      </c>
      <c r="O2154">
        <v>2</v>
      </c>
      <c r="P2154">
        <v>96</v>
      </c>
    </row>
    <row r="2155" spans="1:16" x14ac:dyDescent="0.25">
      <c r="A2155">
        <v>21401168</v>
      </c>
      <c r="B2155">
        <v>2014</v>
      </c>
      <c r="C2155" t="s">
        <v>32</v>
      </c>
      <c r="D2155" t="s">
        <v>17</v>
      </c>
      <c r="E2155">
        <v>45</v>
      </c>
      <c r="F2155">
        <v>49</v>
      </c>
      <c r="G2155">
        <v>2</v>
      </c>
      <c r="H2155" s="1">
        <v>3.2175925925925926E-3</v>
      </c>
      <c r="I2155" t="s">
        <v>18</v>
      </c>
      <c r="J2155" s="2" t="str">
        <f>HYPERLINK("https://www.nba.com/stats/events?CFID=&amp;CFPARAMS=&amp;GameEventID=208&amp;GameID=0021401168&amp;Season=2014-15&amp;flag=1&amp;title=Leonard%2010'%20Running%20Jump%20Shot%20(6%20PTS)", "Leonard 10' Running Jump Shot (6 PTS)")</f>
        <v>Leonard 10' Running Jump Shot (6 PTS)</v>
      </c>
      <c r="K2155" s="2" t="str">
        <f>HYPERLINK("https://www.nba.com/game/...-vs-...-0021401168/play-by-play?watchFullGame=true", "SAS vs HOU - Q2 04:38.00")</f>
        <v>SAS vs HOU - Q2 04:38.00</v>
      </c>
      <c r="L2155">
        <v>10</v>
      </c>
      <c r="M2155">
        <v>2</v>
      </c>
      <c r="N2155">
        <v>96</v>
      </c>
      <c r="O2155">
        <v>2</v>
      </c>
      <c r="P2155">
        <v>96</v>
      </c>
    </row>
    <row r="2156" spans="1:16" x14ac:dyDescent="0.25">
      <c r="A2156">
        <v>21600639</v>
      </c>
      <c r="B2156">
        <v>2016</v>
      </c>
      <c r="C2156" t="s">
        <v>32</v>
      </c>
      <c r="D2156" t="s">
        <v>34</v>
      </c>
      <c r="E2156">
        <v>106</v>
      </c>
      <c r="F2156">
        <v>96</v>
      </c>
      <c r="G2156">
        <v>4</v>
      </c>
      <c r="H2156" s="1">
        <v>3.7152777777777778E-3</v>
      </c>
      <c r="I2156" t="s">
        <v>18</v>
      </c>
      <c r="J2156" s="2" t="str">
        <f>HYPERLINK("https://www.nba.com/stats/events?CFID=&amp;CFPARAMS=&amp;GameEventID=491&amp;GameID=0021600639&amp;Season=2016-17&amp;flag=1&amp;title=Leonard%2010'%20Turnaround%20Fadeaway%20(27%20PTS)", "Leonard 10' Turnaround Fadeaway (27 PTS)")</f>
        <v>Leonard 10' Turnaround Fadeaway (27 PTS)</v>
      </c>
      <c r="K2156" s="2" t="str">
        <f>HYPERLINK("https://www.nba.com/game/...-vs-...-0021600639/play-by-play?watchFullGame=true", "SAS vs DEN - Q4 05:21.00")</f>
        <v>SAS vs DEN - Q4 05:21.00</v>
      </c>
      <c r="L2156">
        <v>10</v>
      </c>
      <c r="M2156">
        <v>2</v>
      </c>
      <c r="N2156">
        <v>97</v>
      </c>
      <c r="O2156">
        <v>2</v>
      </c>
      <c r="P2156">
        <v>97</v>
      </c>
    </row>
    <row r="2157" spans="1:16" x14ac:dyDescent="0.25">
      <c r="A2157">
        <v>22000387</v>
      </c>
      <c r="B2157">
        <v>2020</v>
      </c>
      <c r="C2157" t="s">
        <v>32</v>
      </c>
      <c r="D2157" t="s">
        <v>19</v>
      </c>
      <c r="E2157">
        <v>48</v>
      </c>
      <c r="F2157">
        <v>41</v>
      </c>
      <c r="G2157">
        <v>2</v>
      </c>
      <c r="H2157" s="1">
        <v>2.5694444444444445E-3</v>
      </c>
      <c r="I2157" t="s">
        <v>23</v>
      </c>
      <c r="J2157" s="2" t="str">
        <f>HYPERLINK("https://www.nba.com/stats/events?CFID=&amp;CFPARAMS=&amp;GameEventID=277&amp;GameID=0022000387&amp;Season=2020-21&amp;flag=1&amp;title=Leonard%2010'%20turnaround%20fadeaway%20Jump%20Shot%20(14%20PTS)", "10' turnaround fadeaway Jump Shot (14 PTS)")</f>
        <v>10' turnaround fadeaway Jump Shot (14 PTS)</v>
      </c>
      <c r="K2157" s="2" t="str">
        <f>HYPERLINK("https://www.nba.com/game/...-vs-...-0022000387/play-by-play?watchFullGame=true", "LAC vs MIN - Q2 03:42.00")</f>
        <v>LAC vs MIN - Q2 03:42.00</v>
      </c>
      <c r="L2157">
        <v>10.61</v>
      </c>
      <c r="M2157">
        <v>83.13</v>
      </c>
      <c r="N2157">
        <v>50.31</v>
      </c>
      <c r="O2157">
        <v>2</v>
      </c>
      <c r="P2157">
        <v>106</v>
      </c>
    </row>
    <row r="2158" spans="1:16" x14ac:dyDescent="0.25">
      <c r="A2158">
        <v>22400571</v>
      </c>
      <c r="B2158">
        <v>2024</v>
      </c>
      <c r="C2158" t="s">
        <v>32</v>
      </c>
      <c r="D2158" t="s">
        <v>19</v>
      </c>
      <c r="E2158">
        <v>39</v>
      </c>
      <c r="F2158">
        <v>28</v>
      </c>
      <c r="G2158">
        <v>2</v>
      </c>
      <c r="H2158" s="1">
        <v>4.5833333333333334E-3</v>
      </c>
      <c r="I2158" t="s">
        <v>23</v>
      </c>
      <c r="J2158" s="2" t="str">
        <f>HYPERLINK("https://www.nba.com/stats/events?CFID=&amp;CFPARAMS=&amp;GameEventID=224&amp;GameID=0022400571&amp;Season=2024-25&amp;flag=1&amp;title=Leonard%2010'%20fadeaway%20Jump%20Shot%20(12%20PTS)", "10' fadeaway Jump Shot (12 PTS)")</f>
        <v>10' fadeaway Jump Shot (12 PTS)</v>
      </c>
      <c r="K2158" s="2" t="str">
        <f>HYPERLINK("https://www.nba.com/game/...-vs-...-0022400571/play-by-play?watchFullGame=true", "LAC vs BKN - Q2 06:36.00")</f>
        <v>LAC vs BKN - Q2 06:36.00</v>
      </c>
      <c r="L2158">
        <v>10.61</v>
      </c>
      <c r="M2158">
        <v>83.13</v>
      </c>
      <c r="N2158">
        <v>50.49</v>
      </c>
      <c r="O2158">
        <v>2</v>
      </c>
      <c r="P2158">
        <v>106</v>
      </c>
    </row>
    <row r="2159" spans="1:16" x14ac:dyDescent="0.25">
      <c r="A2159">
        <v>22300807</v>
      </c>
      <c r="B2159">
        <v>2023</v>
      </c>
      <c r="C2159" t="s">
        <v>32</v>
      </c>
      <c r="D2159" t="s">
        <v>19</v>
      </c>
      <c r="E2159">
        <v>14</v>
      </c>
      <c r="F2159">
        <v>16</v>
      </c>
      <c r="G2159">
        <v>1</v>
      </c>
      <c r="H2159" s="1">
        <v>5.1041666666666666E-3</v>
      </c>
      <c r="I2159" t="s">
        <v>23</v>
      </c>
      <c r="J2159" s="2" t="str">
        <f>HYPERLINK("https://www.nba.com/stats/events?CFID=&amp;CFPARAMS=&amp;GameEventID=51&amp;GameID=0022300807&amp;Season=2023-24&amp;flag=1&amp;title=Leonard%2011'%20pullup%20Jump%20Shot%20(4%20PTS)%20(T.%20Mann%201%20AST)", "11' pullup Jump Shot (4 PTS) (T. Mann 1 AST)")</f>
        <v>11' pullup Jump Shot (4 PTS) (T. Mann 1 AST)</v>
      </c>
      <c r="K2159" s="2" t="str">
        <f>HYPERLINK("https://www.nba.com/game/...-vs-...-0022300807/play-by-play?watchFullGame=true", "LAC vs MEM - Q1 07:21.00")</f>
        <v>LAC vs MEM - Q1 07:21.00</v>
      </c>
      <c r="L2159">
        <v>11.38</v>
      </c>
      <c r="M2159">
        <v>17.690000000000001</v>
      </c>
      <c r="N2159">
        <v>49.51</v>
      </c>
      <c r="O2159">
        <v>2</v>
      </c>
      <c r="P2159">
        <v>114</v>
      </c>
    </row>
    <row r="2160" spans="1:16" x14ac:dyDescent="0.25">
      <c r="A2160">
        <v>41800403</v>
      </c>
      <c r="B2160" t="s">
        <v>20</v>
      </c>
      <c r="C2160" t="s">
        <v>32</v>
      </c>
      <c r="D2160" t="s">
        <v>19</v>
      </c>
      <c r="E2160">
        <v>7</v>
      </c>
      <c r="F2160">
        <v>13</v>
      </c>
      <c r="G2160">
        <v>1</v>
      </c>
      <c r="H2160" s="1">
        <v>5.8101851851851856E-3</v>
      </c>
      <c r="I2160" t="s">
        <v>21</v>
      </c>
      <c r="J2160" s="2" t="str">
        <f>HYPERLINK("https://www.nba.com/stats/events?CFID=&amp;CFPARAMS=&amp;GameEventID=47&amp;GameID=0041800403&amp;Season=2018-19&amp;flag=1&amp;title=Leonard%2012'%20Jump%20Shot%20(2%20PTS)%20(Siakam%201%20AST)", "Leonard 12' Jump Shot (2 PTS) (Siakam 1 AST)")</f>
        <v>Leonard 12' Jump Shot (2 PTS) (Siakam 1 AST)</v>
      </c>
      <c r="K2160" s="2" t="str">
        <f>HYPERLINK("https://www.nba.com/game/...-vs-...-0041800403/play-by-play?watchFullGame=true", "TOR vs GSW - Q1 08:22.00")</f>
        <v>TOR vs GSW - Q1 08:22.00</v>
      </c>
      <c r="L2160">
        <v>12</v>
      </c>
      <c r="M2160">
        <v>2</v>
      </c>
      <c r="N2160">
        <v>118</v>
      </c>
      <c r="O2160">
        <v>2</v>
      </c>
      <c r="P2160">
        <v>118</v>
      </c>
    </row>
    <row r="2161" spans="1:16" x14ac:dyDescent="0.25">
      <c r="A2161">
        <v>21400836</v>
      </c>
      <c r="B2161">
        <v>2014</v>
      </c>
      <c r="C2161" t="s">
        <v>32</v>
      </c>
      <c r="D2161" t="s">
        <v>33</v>
      </c>
      <c r="E2161">
        <v>34</v>
      </c>
      <c r="F2161">
        <v>28</v>
      </c>
      <c r="G2161">
        <v>2</v>
      </c>
      <c r="H2161" s="1">
        <v>4.6527777777777774E-3</v>
      </c>
      <c r="I2161" t="s">
        <v>18</v>
      </c>
      <c r="J2161" s="2" t="str">
        <f>HYPERLINK("https://www.nba.com/stats/events?CFID=&amp;CFPARAMS=&amp;GameEventID=174&amp;GameID=0021400836&amp;Season=2014-15&amp;flag=1&amp;title=Leonard%2012'%20Fadeaway%20Jumper%20(5%20PTS)", "Leonard 12' Fadeaway Jumper (5 PTS)")</f>
        <v>Leonard 12' Fadeaway Jumper (5 PTS)</v>
      </c>
      <c r="K2161" s="2" t="str">
        <f>HYPERLINK("https://www.nba.com/game/...-vs-...-0021400836/play-by-play?watchFullGame=true", "SAS vs UTA - Q2 06:42.00")</f>
        <v>SAS vs UTA - Q2 06:42.00</v>
      </c>
      <c r="L2161">
        <v>12</v>
      </c>
      <c r="M2161">
        <v>2</v>
      </c>
      <c r="N2161">
        <v>121</v>
      </c>
      <c r="O2161">
        <v>2</v>
      </c>
      <c r="P2161">
        <v>121</v>
      </c>
    </row>
    <row r="2162" spans="1:16" x14ac:dyDescent="0.25">
      <c r="A2162">
        <v>21501140</v>
      </c>
      <c r="B2162">
        <v>2015</v>
      </c>
      <c r="C2162" t="s">
        <v>32</v>
      </c>
      <c r="D2162" t="s">
        <v>29</v>
      </c>
      <c r="E2162">
        <v>63</v>
      </c>
      <c r="F2162">
        <v>48</v>
      </c>
      <c r="G2162">
        <v>3</v>
      </c>
      <c r="H2162" s="1">
        <v>5.6712962962962967E-3</v>
      </c>
      <c r="I2162" t="s">
        <v>18</v>
      </c>
      <c r="J2162" s="2" t="str">
        <f>HYPERLINK("https://www.nba.com/stats/events?CFID=&amp;CFPARAMS=&amp;GameEventID=255&amp;GameID=0021501140&amp;Season=2015-16&amp;flag=1&amp;title=Leonard%2013'%20Pullup%20Jump%20Shot%20(17%20PTS)", "Leonard 13' Pullup Jump Shot (17 PTS)")</f>
        <v>Leonard 13' Pullup Jump Shot (17 PTS)</v>
      </c>
      <c r="K2162" s="2" t="str">
        <f>HYPERLINK("https://www.nba.com/game/...-vs-...-0021501140/play-by-play?watchFullGame=true", "SAS vs TOR - Q3 08:10.00")</f>
        <v>SAS vs TOR - Q3 08:10.00</v>
      </c>
      <c r="L2162">
        <v>13</v>
      </c>
      <c r="M2162">
        <v>2</v>
      </c>
      <c r="N2162">
        <v>129</v>
      </c>
      <c r="O2162">
        <v>2</v>
      </c>
      <c r="P2162">
        <v>129</v>
      </c>
    </row>
    <row r="2163" spans="1:16" x14ac:dyDescent="0.25">
      <c r="A2163">
        <v>41300316</v>
      </c>
      <c r="B2163" t="s">
        <v>26</v>
      </c>
      <c r="C2163" t="s">
        <v>32</v>
      </c>
      <c r="D2163" t="s">
        <v>29</v>
      </c>
      <c r="E2163">
        <v>58</v>
      </c>
      <c r="F2163">
        <v>60</v>
      </c>
      <c r="G2163">
        <v>3</v>
      </c>
      <c r="H2163" s="1">
        <v>3.9930555555555552E-3</v>
      </c>
      <c r="I2163" t="s">
        <v>18</v>
      </c>
      <c r="J2163" s="2" t="str">
        <f>HYPERLINK("https://www.nba.com/stats/events?CFID=&amp;CFPARAMS=&amp;GameEventID=299&amp;GameID=0041300316&amp;Season=2013-14&amp;flag=1&amp;title=Leonard%2014'%20Pullup%20Jump%20Shot%20(17%20PTS)", "Leonard 14' Pullup Jump Shot (17 PTS)")</f>
        <v>Leonard 14' Pullup Jump Shot (17 PTS)</v>
      </c>
      <c r="K2163" s="2" t="str">
        <f>HYPERLINK("https://www.nba.com/game/...-vs-...-0041300316/play-by-play?watchFullGame=true", "SAS vs OKC - Q3 05:45.00")</f>
        <v>SAS vs OKC - Q3 05:45.00</v>
      </c>
      <c r="L2163">
        <v>14</v>
      </c>
      <c r="M2163">
        <v>2</v>
      </c>
      <c r="N2163">
        <v>143</v>
      </c>
      <c r="O2163">
        <v>2</v>
      </c>
      <c r="P2163">
        <v>143</v>
      </c>
    </row>
    <row r="2164" spans="1:16" x14ac:dyDescent="0.25">
      <c r="A2164">
        <v>21500323</v>
      </c>
      <c r="B2164">
        <v>2015</v>
      </c>
      <c r="C2164" t="s">
        <v>32</v>
      </c>
      <c r="D2164" t="s">
        <v>29</v>
      </c>
      <c r="E2164">
        <v>85</v>
      </c>
      <c r="F2164">
        <v>78</v>
      </c>
      <c r="G2164">
        <v>4</v>
      </c>
      <c r="H2164" s="1">
        <v>4.2592592592592595E-3</v>
      </c>
      <c r="I2164" t="s">
        <v>18</v>
      </c>
      <c r="J2164" s="2" t="str">
        <f>HYPERLINK("https://www.nba.com/stats/events?CFID=&amp;CFPARAMS=&amp;GameEventID=442&amp;GameID=0021500323&amp;Season=2015-16&amp;flag=1&amp;title=Leonard%2015'%20Pullup%20Jump%20Shot%20(4%20PTS)", "Leonard 15' Pullup Jump Shot (4 PTS)")</f>
        <v>Leonard 15' Pullup Jump Shot (4 PTS)</v>
      </c>
      <c r="K2164" s="2" t="str">
        <f>HYPERLINK("https://www.nba.com/game/...-vs-...-0021500323/play-by-play?watchFullGame=true", "SAS vs TOR - Q4 06:08.00")</f>
        <v>SAS vs TOR - Q4 06:08.00</v>
      </c>
      <c r="L2164">
        <v>15</v>
      </c>
      <c r="M2164">
        <v>2</v>
      </c>
      <c r="N2164">
        <v>154</v>
      </c>
      <c r="O2164">
        <v>2</v>
      </c>
      <c r="P2164">
        <v>154</v>
      </c>
    </row>
    <row r="2165" spans="1:16" x14ac:dyDescent="0.25">
      <c r="A2165">
        <v>41800406</v>
      </c>
      <c r="B2165" t="s">
        <v>20</v>
      </c>
      <c r="C2165" t="s">
        <v>32</v>
      </c>
      <c r="D2165" t="s">
        <v>29</v>
      </c>
      <c r="E2165">
        <v>30</v>
      </c>
      <c r="F2165">
        <v>33</v>
      </c>
      <c r="G2165">
        <v>1</v>
      </c>
      <c r="H2165" s="1">
        <v>3.7037037037037035E-4</v>
      </c>
      <c r="I2165" t="s">
        <v>21</v>
      </c>
      <c r="J2165" s="2" t="str">
        <f>HYPERLINK("https://www.nba.com/stats/events?CFID=&amp;CFPARAMS=&amp;GameEventID=151&amp;GameID=0041800406&amp;Season=2018-19&amp;flag=1&amp;title=Leonard%2016'%20Pullup%20Jump%20Shot%20(4%20PTS)", "Leonard 16' Pullup Jump Shot (4 PTS)")</f>
        <v>Leonard 16' Pullup Jump Shot (4 PTS)</v>
      </c>
      <c r="K2165" s="2" t="str">
        <f>HYPERLINK("https://www.nba.com/game/...-vs-...-0041800406/play-by-play?watchFullGame=true", "TOR vs GSW - Q1 00:32.00")</f>
        <v>TOR vs GSW - Q1 00:32.00</v>
      </c>
      <c r="L2165">
        <v>16</v>
      </c>
      <c r="M2165">
        <v>2</v>
      </c>
      <c r="N2165">
        <v>162</v>
      </c>
      <c r="O2165">
        <v>2</v>
      </c>
      <c r="P2165">
        <v>162</v>
      </c>
    </row>
    <row r="2166" spans="1:16" x14ac:dyDescent="0.25">
      <c r="A2166">
        <v>22000116</v>
      </c>
      <c r="B2166">
        <v>2020</v>
      </c>
      <c r="C2166" t="s">
        <v>32</v>
      </c>
      <c r="D2166" t="s">
        <v>19</v>
      </c>
      <c r="E2166">
        <v>62</v>
      </c>
      <c r="F2166">
        <v>66</v>
      </c>
      <c r="G2166">
        <v>3</v>
      </c>
      <c r="H2166" s="1">
        <v>4.4444444444444444E-3</v>
      </c>
      <c r="I2166" t="s">
        <v>23</v>
      </c>
      <c r="J2166" s="2" t="str">
        <f>HYPERLINK("https://www.nba.com/stats/events?CFID=&amp;CFPARAMS=&amp;GameEventID=415&amp;GameID=0022000116&amp;Season=2020-21&amp;flag=1&amp;title=Leonard%2017'%20Jump%20Shot%20(11%20PTS)%20(P.%20Beverley%202%20AST)", "17' Jump Shot (11 PTS) (P. Beverley 2 AST)")</f>
        <v>17' Jump Shot (11 PTS) (P. Beverley 2 AST)</v>
      </c>
      <c r="K2166" s="2" t="str">
        <f>HYPERLINK("https://www.nba.com/game/...-vs-...-0022000116/play-by-play?watchFullGame=true", "LAC vs GSW - Q3 06:24.00")</f>
        <v>LAC vs GSW - Q3 06:24.00</v>
      </c>
      <c r="L2166">
        <v>17.52</v>
      </c>
      <c r="M2166">
        <v>75.77</v>
      </c>
      <c r="N2166">
        <v>50.31</v>
      </c>
      <c r="O2166">
        <v>2</v>
      </c>
      <c r="P2166">
        <v>175</v>
      </c>
    </row>
    <row r="2167" spans="1:16" x14ac:dyDescent="0.25">
      <c r="A2167">
        <v>41400164</v>
      </c>
      <c r="B2167" t="s">
        <v>28</v>
      </c>
      <c r="C2167" t="s">
        <v>32</v>
      </c>
      <c r="D2167" t="s">
        <v>29</v>
      </c>
      <c r="E2167">
        <v>62</v>
      </c>
      <c r="F2167">
        <v>63</v>
      </c>
      <c r="G2167">
        <v>3</v>
      </c>
      <c r="H2167" s="1">
        <v>4.0625000000000001E-3</v>
      </c>
      <c r="I2167" t="s">
        <v>18</v>
      </c>
      <c r="J2167" s="2" t="str">
        <f>HYPERLINK("https://www.nba.com/stats/events?CFID=&amp;CFPARAMS=&amp;GameEventID=312&amp;GameID=0041400164&amp;Season=2014-15&amp;flag=1&amp;title=Leonard%2018'%20Pullup%20Jump%20Shot%20(14%20PTS)", "Leonard 18' Pullup Jump Shot (14 PTS)")</f>
        <v>Leonard 18' Pullup Jump Shot (14 PTS)</v>
      </c>
      <c r="K2167" s="2" t="str">
        <f>HYPERLINK("https://www.nba.com/game/...-vs-...-0041400164/play-by-play?watchFullGame=true", "SAS vs LAC - Q3 05:51.00")</f>
        <v>SAS vs LAC - Q3 05:51.00</v>
      </c>
      <c r="L2167">
        <v>18</v>
      </c>
      <c r="M2167">
        <v>2</v>
      </c>
      <c r="N2167">
        <v>176</v>
      </c>
      <c r="O2167">
        <v>2</v>
      </c>
      <c r="P2167">
        <v>176</v>
      </c>
    </row>
    <row r="2168" spans="1:16" x14ac:dyDescent="0.25">
      <c r="A2168">
        <v>21500759</v>
      </c>
      <c r="B2168">
        <v>2015</v>
      </c>
      <c r="C2168" t="s">
        <v>32</v>
      </c>
      <c r="D2168" t="s">
        <v>29</v>
      </c>
      <c r="E2168">
        <v>10</v>
      </c>
      <c r="F2168">
        <v>17</v>
      </c>
      <c r="G2168">
        <v>1</v>
      </c>
      <c r="H2168" s="1">
        <v>2.5925925925925925E-3</v>
      </c>
      <c r="I2168" t="s">
        <v>18</v>
      </c>
      <c r="J2168" s="2" t="str">
        <f>HYPERLINK("https://www.nba.com/stats/events?CFID=&amp;CFPARAMS=&amp;GameEventID=76&amp;GameID=0021500759&amp;Season=2015-16&amp;flag=1&amp;title=Leonard%2019'%20Pullup%20Jump%20Shot%20(6%20PTS)", "Leonard 19' Pullup Jump Shot (6 PTS)")</f>
        <v>Leonard 19' Pullup Jump Shot (6 PTS)</v>
      </c>
      <c r="K2168" s="2" t="str">
        <f>HYPERLINK("https://www.nba.com/game/...-vs-...-0021500759/play-by-play?watchFullGame=true", "SAS vs DAL - Q1 03:44.00")</f>
        <v>SAS vs DAL - Q1 03:44.00</v>
      </c>
      <c r="L2168">
        <v>19</v>
      </c>
      <c r="M2168">
        <v>2</v>
      </c>
      <c r="N2168">
        <v>190</v>
      </c>
      <c r="O2168">
        <v>2</v>
      </c>
      <c r="P2168">
        <v>190</v>
      </c>
    </row>
    <row r="2169" spans="1:16" x14ac:dyDescent="0.25">
      <c r="A2169">
        <v>21900377</v>
      </c>
      <c r="B2169">
        <v>2019</v>
      </c>
      <c r="C2169" t="s">
        <v>32</v>
      </c>
      <c r="D2169" t="s">
        <v>22</v>
      </c>
      <c r="E2169">
        <v>11</v>
      </c>
      <c r="F2169">
        <v>23</v>
      </c>
      <c r="G2169">
        <v>1</v>
      </c>
      <c r="H2169" s="1">
        <v>3.449074074074074E-3</v>
      </c>
      <c r="I2169" t="s">
        <v>23</v>
      </c>
      <c r="J2169" s="2" t="str">
        <f>HYPERLINK("https://www.nba.com/stats/events?CFID=&amp;CFPARAMS=&amp;GameEventID=79&amp;GameID=0021900377&amp;Season=2019-20&amp;flag=1&amp;title=Leonard%2023'%20jumpshot%20(13%20PTS)", "23' jumpshot (13 PTS)")</f>
        <v>23' jumpshot (13 PTS)</v>
      </c>
      <c r="K2169" s="2" t="str">
        <f>HYPERLINK("https://www.nba.com/game/...-vs-...-0021900377/play-by-play?watchFullGame=true", "LAC vs MIN - Q1 04:58.00")</f>
        <v>LAC vs MIN - Q1 04:58.00</v>
      </c>
      <c r="L2169">
        <v>22.64</v>
      </c>
      <c r="M2169">
        <v>70.91</v>
      </c>
      <c r="N2169">
        <v>50.31</v>
      </c>
      <c r="O2169">
        <v>2</v>
      </c>
      <c r="P2169">
        <v>221</v>
      </c>
    </row>
    <row r="2170" spans="1:16" x14ac:dyDescent="0.25">
      <c r="A2170">
        <v>41200403</v>
      </c>
      <c r="B2170" t="s">
        <v>27</v>
      </c>
      <c r="C2170" t="s">
        <v>16</v>
      </c>
      <c r="D2170" t="s">
        <v>19</v>
      </c>
      <c r="E2170">
        <v>69</v>
      </c>
      <c r="F2170">
        <v>52</v>
      </c>
      <c r="G2170">
        <v>3</v>
      </c>
      <c r="H2170" s="1">
        <v>3.0671296296296297E-3</v>
      </c>
      <c r="I2170" t="s">
        <v>18</v>
      </c>
      <c r="J2170" s="2" t="str">
        <f>HYPERLINK("https://www.nba.com/stats/events?CFID=&amp;CFPARAMS=&amp;GameEventID=326&amp;GameID=0041200403&amp;Season=2012-13&amp;flag=1&amp;title=Leonard%2024'%203PT%20Jump%20Shot%20(10%20PTS)%20(Joseph%201%20AST)", "Leonard 24' 3PT Jump Shot (10 PTS) (Joseph 1 AST)")</f>
        <v>Leonard 24' 3PT Jump Shot (10 PTS) (Joseph 1 AST)</v>
      </c>
      <c r="K2170" s="2" t="str">
        <f>HYPERLINK("https://www.nba.com/game/...-vs-...-0041200403/play-by-play?watchFullGame=true", "SAS vs MIA - Q3 04:25.00")</f>
        <v>SAS vs MIA - Q3 04:25.00</v>
      </c>
      <c r="L2170">
        <v>24</v>
      </c>
      <c r="M2170">
        <v>2</v>
      </c>
      <c r="N2170">
        <v>242</v>
      </c>
      <c r="O2170">
        <v>2</v>
      </c>
      <c r="P2170">
        <v>242</v>
      </c>
    </row>
    <row r="2171" spans="1:16" x14ac:dyDescent="0.25">
      <c r="A2171">
        <v>41800115</v>
      </c>
      <c r="B2171" t="s">
        <v>20</v>
      </c>
      <c r="C2171" t="s">
        <v>16</v>
      </c>
      <c r="D2171" t="s">
        <v>19</v>
      </c>
      <c r="E2171">
        <v>31</v>
      </c>
      <c r="F2171">
        <v>7</v>
      </c>
      <c r="G2171">
        <v>1</v>
      </c>
      <c r="H2171" s="1">
        <v>1.8055555555555555E-3</v>
      </c>
      <c r="I2171" t="s">
        <v>21</v>
      </c>
      <c r="J2171" s="2" t="str">
        <f>HYPERLINK("https://www.nba.com/stats/events?CFID=&amp;CFPARAMS=&amp;GameEventID=113&amp;GameID=0041800115&amp;Season=2018-19&amp;flag=1&amp;title=Leonard%2025'%203PT%20Jump%20Shot%20(7%20PTS)%20(Lowry%202%20AST)", "Leonard 25' 3PT Jump Shot (7 PTS) (Lowry 2 AST)")</f>
        <v>Leonard 25' 3PT Jump Shot (7 PTS) (Lowry 2 AST)</v>
      </c>
      <c r="K2171" s="2" t="str">
        <f>HYPERLINK("https://www.nba.com/game/...-vs-...-0041800115/play-by-play?watchFullGame=true", "TOR vs ORL - Q1 02:36.00")</f>
        <v>TOR vs ORL - Q1 02:36.00</v>
      </c>
      <c r="L2171">
        <v>25</v>
      </c>
      <c r="M2171">
        <v>2</v>
      </c>
      <c r="N2171">
        <v>254</v>
      </c>
      <c r="O2171">
        <v>2</v>
      </c>
      <c r="P2171">
        <v>254</v>
      </c>
    </row>
    <row r="2172" spans="1:16" x14ac:dyDescent="0.25">
      <c r="A2172">
        <v>22300716</v>
      </c>
      <c r="B2172">
        <v>2023</v>
      </c>
      <c r="C2172" t="s">
        <v>16</v>
      </c>
      <c r="D2172" t="s">
        <v>19</v>
      </c>
      <c r="E2172">
        <v>21</v>
      </c>
      <c r="F2172">
        <v>31</v>
      </c>
      <c r="G2172">
        <v>1</v>
      </c>
      <c r="H2172" s="1">
        <v>1.9791666666666668E-3</v>
      </c>
      <c r="I2172" t="s">
        <v>23</v>
      </c>
      <c r="J2172" s="2" t="str">
        <f>HYPERLINK("https://www.nba.com/stats/events?CFID=&amp;CFPARAMS=&amp;GameEventID=102&amp;GameID=0022300716&amp;Season=2023-24&amp;flag=1&amp;title=Leonard%2025'%203PT%20pullup%20(8%20PTS)", "25' 3PT pullup (8 PTS)")</f>
        <v>25' 3PT pullup (8 PTS)</v>
      </c>
      <c r="K2172" s="2" t="str">
        <f>HYPERLINK("https://www.nba.com/game/...-vs-...-0022300716/play-by-play?watchFullGame=true", "LAC vs ATL - Q1 02:51.00")</f>
        <v>LAC vs ATL - Q1 02:51.00</v>
      </c>
      <c r="L2172">
        <v>25.55</v>
      </c>
      <c r="M2172">
        <v>67.23</v>
      </c>
      <c r="N2172">
        <v>50.49</v>
      </c>
      <c r="O2172">
        <v>2</v>
      </c>
      <c r="P2172">
        <v>256</v>
      </c>
    </row>
    <row r="2173" spans="1:16" x14ac:dyDescent="0.25">
      <c r="A2173">
        <v>21901291</v>
      </c>
      <c r="B2173">
        <v>2019</v>
      </c>
      <c r="C2173" t="s">
        <v>16</v>
      </c>
      <c r="D2173" t="s">
        <v>22</v>
      </c>
      <c r="E2173">
        <v>62</v>
      </c>
      <c r="F2173">
        <v>74</v>
      </c>
      <c r="G2173">
        <v>2</v>
      </c>
      <c r="H2173" s="1">
        <v>3.1250000000000001E-4</v>
      </c>
      <c r="I2173" t="s">
        <v>23</v>
      </c>
      <c r="J2173" s="2" t="str">
        <f>HYPERLINK("https://www.nba.com/stats/events?CFID=&amp;CFPARAMS=&amp;GameEventID=305&amp;GameID=0021901291&amp;Season=2019-20&amp;flag=1&amp;title=Leonard%2027'%203PT%20%20(18%20PTS)%20(L.%20Williams%203%20AST)", "27' 3PT  (18 PTS) (L. Williams 3 AST)")</f>
        <v>27' 3PT  (18 PTS) (L. Williams 3 AST)</v>
      </c>
      <c r="K2173" s="2" t="str">
        <f>HYPERLINK("https://www.nba.com/game/...-vs-...-0021901291/play-by-play?watchFullGame=true", "LAC vs BKN - Q2 00:27.00")</f>
        <v>LAC vs BKN - Q2 00:27.00</v>
      </c>
      <c r="L2173">
        <v>26.84</v>
      </c>
      <c r="M2173">
        <v>66.44</v>
      </c>
      <c r="N2173">
        <v>50.31</v>
      </c>
      <c r="O2173">
        <v>2</v>
      </c>
      <c r="P2173">
        <v>263</v>
      </c>
    </row>
    <row r="2174" spans="1:16" x14ac:dyDescent="0.25">
      <c r="A2174">
        <v>41600233</v>
      </c>
      <c r="B2174" t="s">
        <v>30</v>
      </c>
      <c r="C2174" t="s">
        <v>32</v>
      </c>
      <c r="D2174" t="s">
        <v>67</v>
      </c>
      <c r="E2174">
        <v>43</v>
      </c>
      <c r="F2174">
        <v>52</v>
      </c>
      <c r="G2174">
        <v>3</v>
      </c>
      <c r="H2174" s="1">
        <v>6.2268518518518515E-3</v>
      </c>
      <c r="I2174" t="s">
        <v>18</v>
      </c>
      <c r="J2174" s="2" t="str">
        <f>HYPERLINK("https://www.nba.com/stats/events?CFID=&amp;CFPARAMS=&amp;GameEventID=285&amp;GameID=0041600233&amp;Season=2016-17&amp;flag=1&amp;title=Leonard%20Driving%20Dunk%20(17%20PTS)", "Leonard Driving Dunk (17 PTS)")</f>
        <v>Leonard Driving Dunk (17 PTS)</v>
      </c>
      <c r="K2174" s="2" t="str">
        <f>HYPERLINK("https://www.nba.com/game/...-vs-...-0041600233/play-by-play?watchFullGame=true", "SAS vs HOU - Q3 08:58.00")</f>
        <v>SAS vs HOU - Q3 08:58.00</v>
      </c>
      <c r="L2174">
        <v>0</v>
      </c>
      <c r="M2174">
        <v>3</v>
      </c>
      <c r="N2174">
        <v>-1</v>
      </c>
      <c r="O2174">
        <v>3</v>
      </c>
      <c r="P2174">
        <v>-1</v>
      </c>
    </row>
    <row r="2175" spans="1:16" x14ac:dyDescent="0.25">
      <c r="A2175">
        <v>41800214</v>
      </c>
      <c r="B2175" t="s">
        <v>20</v>
      </c>
      <c r="C2175" t="s">
        <v>32</v>
      </c>
      <c r="D2175" t="s">
        <v>67</v>
      </c>
      <c r="E2175">
        <v>34</v>
      </c>
      <c r="F2175">
        <v>41</v>
      </c>
      <c r="G2175">
        <v>2</v>
      </c>
      <c r="H2175" s="1">
        <v>2.5115740740740741E-3</v>
      </c>
      <c r="I2175" t="s">
        <v>21</v>
      </c>
      <c r="J2175" s="2" t="str">
        <f>HYPERLINK("https://www.nba.com/stats/events?CFID=&amp;CFPARAMS=&amp;GameEventID=287&amp;GameID=0041800214&amp;Season=2018-19&amp;flag=1&amp;title=Leonard%20Driving%20Dunk%20(13%20PTS)", "Leonard Driving Dunk (13 PTS)")</f>
        <v>Leonard Driving Dunk (13 PTS)</v>
      </c>
      <c r="K2175" s="2" t="str">
        <f>HYPERLINK("https://www.nba.com/game/...-vs-...-0041800214/play-by-play?watchFullGame=true", "TOR vs PHI - Q2 03:37.00")</f>
        <v>TOR vs PHI - Q2 03:37.00</v>
      </c>
      <c r="L2175">
        <v>0</v>
      </c>
      <c r="M2175">
        <v>3</v>
      </c>
      <c r="N2175">
        <v>0</v>
      </c>
      <c r="O2175">
        <v>3</v>
      </c>
      <c r="P2175">
        <v>0</v>
      </c>
    </row>
    <row r="2176" spans="1:16" x14ac:dyDescent="0.25">
      <c r="A2176">
        <v>21600874</v>
      </c>
      <c r="B2176">
        <v>2016</v>
      </c>
      <c r="C2176" t="s">
        <v>32</v>
      </c>
      <c r="D2176" t="s">
        <v>55</v>
      </c>
      <c r="E2176">
        <v>5</v>
      </c>
      <c r="F2176">
        <v>13</v>
      </c>
      <c r="G2176">
        <v>1</v>
      </c>
      <c r="H2176" s="1">
        <v>4.9652777777777777E-3</v>
      </c>
      <c r="I2176" t="s">
        <v>18</v>
      </c>
      <c r="J2176" s="2" t="str">
        <f>HYPERLINK("https://www.nba.com/stats/events?CFID=&amp;CFPARAMS=&amp;GameEventID=36&amp;GameID=0021600874&amp;Season=2016-17&amp;flag=1&amp;title=Leonard%20%20Driving%20Reverse%20Layup%20(5%20PTS)%20(Parker%205%20AST)", "Leonard  Driving Reverse Layup (5 PTS) (Parker 5 AST)")</f>
        <v>Leonard  Driving Reverse Layup (5 PTS) (Parker 5 AST)</v>
      </c>
      <c r="K2176" s="2" t="str">
        <f>HYPERLINK("https://www.nba.com/game/...-vs-...-0021600874/play-by-play?watchFullGame=true", "SAS vs LAL - Q1 07:09.00")</f>
        <v>SAS vs LAL - Q1 07:09.00</v>
      </c>
      <c r="L2176">
        <v>0</v>
      </c>
      <c r="M2176">
        <v>3</v>
      </c>
      <c r="N2176">
        <v>1</v>
      </c>
      <c r="O2176">
        <v>3</v>
      </c>
      <c r="P2176">
        <v>1</v>
      </c>
    </row>
    <row r="2177" spans="1:16" x14ac:dyDescent="0.25">
      <c r="A2177">
        <v>21900589</v>
      </c>
      <c r="B2177">
        <v>2019</v>
      </c>
      <c r="C2177" t="s">
        <v>32</v>
      </c>
      <c r="D2177" t="s">
        <v>65</v>
      </c>
      <c r="E2177">
        <v>105</v>
      </c>
      <c r="F2177">
        <v>92</v>
      </c>
      <c r="G2177">
        <v>4</v>
      </c>
      <c r="H2177" s="1">
        <v>3.7384259259259259E-3</v>
      </c>
      <c r="I2177" t="s">
        <v>23</v>
      </c>
      <c r="J2177" s="2" t="str">
        <f>HYPERLINK("https://www.nba.com/stats/events?CFID=&amp;CFPARAMS=&amp;GameEventID=590&amp;GameID=0021900589&amp;Season=2019-20&amp;flag=1&amp;title=Leonard%20dunk%20(25%20PTS)%20(L.%20Shamet%201%20AST)", "Dunk (25 PTS) (L. Shamet 1 AST)")</f>
        <v>Dunk (25 PTS) (L. Shamet 1 AST)</v>
      </c>
      <c r="K2177" s="2" t="str">
        <f>HYPERLINK("https://www.nba.com/game/...-vs-...-0021900589/play-by-play?watchFullGame=true", "LAC vs DEN - Q4 05:23.00")</f>
        <v>LAC vs DEN - Q4 05:23.00</v>
      </c>
      <c r="L2177">
        <v>0.83</v>
      </c>
      <c r="M2177">
        <v>94.17</v>
      </c>
      <c r="N2177">
        <v>50.56</v>
      </c>
      <c r="O2177">
        <v>3</v>
      </c>
      <c r="P2177">
        <v>2</v>
      </c>
    </row>
    <row r="2178" spans="1:16" x14ac:dyDescent="0.25">
      <c r="A2178">
        <v>22000720</v>
      </c>
      <c r="B2178">
        <v>2020</v>
      </c>
      <c r="C2178" t="s">
        <v>32</v>
      </c>
      <c r="D2178" t="s">
        <v>48</v>
      </c>
      <c r="E2178">
        <v>53</v>
      </c>
      <c r="F2178">
        <v>39</v>
      </c>
      <c r="G2178">
        <v>3</v>
      </c>
      <c r="H2178" s="1">
        <v>7.4074074074074077E-3</v>
      </c>
      <c r="I2178" t="s">
        <v>23</v>
      </c>
      <c r="J2178" s="2" t="str">
        <f>HYPERLINK("https://www.nba.com/stats/events?CFID=&amp;CFPARAMS=&amp;GameEventID=302&amp;GameID=0022000720&amp;Season=2020-21&amp;flag=1&amp;title=Leonard%20driving%20DUNK%20(16%20PTS)", "Driving DUNK (16 PTS)")</f>
        <v>Driving DUNK (16 PTS)</v>
      </c>
      <c r="K2178" s="2" t="str">
        <f>HYPERLINK("https://www.nba.com/game/...-vs-...-0022000720/play-by-play?watchFullGame=true", "LAC vs ORL - Q3 10:40.00")</f>
        <v>LAC vs ORL - Q3 10:40.00</v>
      </c>
      <c r="L2178">
        <v>0.36</v>
      </c>
      <c r="M2178">
        <v>94.17</v>
      </c>
      <c r="N2178">
        <v>50.56</v>
      </c>
      <c r="O2178">
        <v>3</v>
      </c>
      <c r="P2178">
        <v>2</v>
      </c>
    </row>
    <row r="2179" spans="1:16" x14ac:dyDescent="0.25">
      <c r="A2179">
        <v>22000625</v>
      </c>
      <c r="B2179">
        <v>2020</v>
      </c>
      <c r="C2179" t="s">
        <v>32</v>
      </c>
      <c r="D2179" t="s">
        <v>48</v>
      </c>
      <c r="E2179">
        <v>91</v>
      </c>
      <c r="F2179">
        <v>81</v>
      </c>
      <c r="G2179">
        <v>4</v>
      </c>
      <c r="H2179" s="1">
        <v>3.6342592592592594E-3</v>
      </c>
      <c r="I2179" t="s">
        <v>23</v>
      </c>
      <c r="J2179" s="2" t="str">
        <f>HYPERLINK("https://www.nba.com/stats/events?CFID=&amp;CFPARAMS=&amp;GameEventID=562&amp;GameID=0022000625&amp;Season=2020-21&amp;flag=1&amp;title=Leonard%20running%20DUNK%20(20%20PTS)", "Running DUNK (20 PTS)")</f>
        <v>Running DUNK (20 PTS)</v>
      </c>
      <c r="K2179" s="2" t="str">
        <f>HYPERLINK("https://www.nba.com/game/...-vs-...-0022000625/play-by-play?watchFullGame=true", "LAC vs DAL - Q4 05:14.00")</f>
        <v>LAC vs DAL - Q4 05:14.00</v>
      </c>
      <c r="L2179">
        <v>0.42</v>
      </c>
      <c r="M2179">
        <v>5.86</v>
      </c>
      <c r="N2179">
        <v>49.33</v>
      </c>
      <c r="O2179">
        <v>3</v>
      </c>
      <c r="P2179">
        <v>3</v>
      </c>
    </row>
    <row r="2180" spans="1:16" x14ac:dyDescent="0.25">
      <c r="A2180">
        <v>41800215</v>
      </c>
      <c r="B2180" t="s">
        <v>20</v>
      </c>
      <c r="C2180" t="s">
        <v>32</v>
      </c>
      <c r="D2180" t="s">
        <v>63</v>
      </c>
      <c r="E2180">
        <v>25</v>
      </c>
      <c r="F2180">
        <v>21</v>
      </c>
      <c r="G2180">
        <v>1</v>
      </c>
      <c r="H2180" s="1">
        <v>4.0162037037037038E-4</v>
      </c>
      <c r="I2180" t="s">
        <v>21</v>
      </c>
      <c r="J2180" s="2" t="str">
        <f>HYPERLINK("https://www.nba.com/stats/events?CFID=&amp;CFPARAMS=&amp;GameEventID=176&amp;GameID=0041800215&amp;Season=2018-19&amp;flag=1&amp;title=Leonard%201'%20Running%20Dunk%20(3%20PTS)%20(Powell%202%20AST)", "Leonard 1' Running Dunk (3 PTS) (Powell 2 AST)")</f>
        <v>Leonard 1' Running Dunk (3 PTS) (Powell 2 AST)</v>
      </c>
      <c r="K2180" s="2" t="str">
        <f>HYPERLINK("https://www.nba.com/game/...-vs-...-0041800215/play-by-play?watchFullGame=true", "TOR vs PHI - Q1 00:34.70")</f>
        <v>TOR vs PHI - Q1 00:34.70</v>
      </c>
      <c r="L2180">
        <v>1</v>
      </c>
      <c r="M2180">
        <v>3</v>
      </c>
      <c r="N2180">
        <v>4</v>
      </c>
      <c r="O2180">
        <v>3</v>
      </c>
      <c r="P2180">
        <v>4</v>
      </c>
    </row>
    <row r="2181" spans="1:16" x14ac:dyDescent="0.25">
      <c r="A2181">
        <v>21900068</v>
      </c>
      <c r="B2181">
        <v>2019</v>
      </c>
      <c r="C2181" t="s">
        <v>32</v>
      </c>
      <c r="D2181" t="s">
        <v>65</v>
      </c>
      <c r="E2181">
        <v>84</v>
      </c>
      <c r="F2181">
        <v>75</v>
      </c>
      <c r="G2181">
        <v>4</v>
      </c>
      <c r="H2181" s="1">
        <v>7.8009259259259256E-3</v>
      </c>
      <c r="I2181" t="s">
        <v>23</v>
      </c>
      <c r="J2181" s="2" t="str">
        <f>HYPERLINK("https://www.nba.com/stats/events?CFID=&amp;CFPARAMS=&amp;GameEventID=543&amp;GameID=0021900068&amp;Season=2019-20&amp;flag=1&amp;title=[LAC]%20Leonard%20dunk:%20Made%20(27%20PTS)", "[LAC] Leonard dunk: Made (27 PTS)")</f>
        <v>[LAC] Leonard dunk: Made (27 PTS)</v>
      </c>
      <c r="K2181" s="2" t="str">
        <f>HYPERLINK("https://www.nba.com/game/...-vs-...-0021900068/play-by-play?watchFullGame=true", "LAC vs SAS - Q4 11:14.00")</f>
        <v>LAC vs SAS - Q4 11:14.00</v>
      </c>
      <c r="L2181">
        <v>1.1100000000000001</v>
      </c>
      <c r="M2181">
        <v>93.87</v>
      </c>
      <c r="N2181">
        <v>50.67</v>
      </c>
      <c r="O2181">
        <v>3</v>
      </c>
      <c r="P2181">
        <v>5</v>
      </c>
    </row>
    <row r="2182" spans="1:16" x14ac:dyDescent="0.25">
      <c r="A2182">
        <v>21901291</v>
      </c>
      <c r="B2182">
        <v>2019</v>
      </c>
      <c r="C2182" t="s">
        <v>32</v>
      </c>
      <c r="D2182" t="s">
        <v>65</v>
      </c>
      <c r="E2182">
        <v>118</v>
      </c>
      <c r="F2182">
        <v>127</v>
      </c>
      <c r="G2182">
        <v>4</v>
      </c>
      <c r="H2182" s="1">
        <v>2.465277777777778E-4</v>
      </c>
      <c r="I2182" t="s">
        <v>23</v>
      </c>
      <c r="J2182" s="2" t="str">
        <f>HYPERLINK("https://www.nba.com/stats/events?CFID=&amp;CFPARAMS=&amp;GameEventID=667&amp;GameID=0021901291&amp;Season=2019-20&amp;flag=1&amp;title=Leonard%20dunk%20(39%20PTS)", "Dunk (39 PTS)")</f>
        <v>Dunk (39 PTS)</v>
      </c>
      <c r="K2182" s="2" t="str">
        <f>HYPERLINK("https://www.nba.com/game/...-vs-...-0021901291/play-by-play?watchFullGame=true", "LAC vs BKN - Q4 00:21.30")</f>
        <v>LAC vs BKN - Q4 00:21.30</v>
      </c>
      <c r="L2182">
        <v>1.23</v>
      </c>
      <c r="M2182">
        <v>6.26</v>
      </c>
      <c r="N2182">
        <v>49.33</v>
      </c>
      <c r="O2182">
        <v>3</v>
      </c>
      <c r="P2182">
        <v>6</v>
      </c>
    </row>
    <row r="2183" spans="1:16" x14ac:dyDescent="0.25">
      <c r="A2183">
        <v>22000660</v>
      </c>
      <c r="B2183">
        <v>2020</v>
      </c>
      <c r="C2183" t="s">
        <v>32</v>
      </c>
      <c r="D2183" t="s">
        <v>48</v>
      </c>
      <c r="E2183">
        <v>5</v>
      </c>
      <c r="F2183">
        <v>2</v>
      </c>
      <c r="G2183">
        <v>1</v>
      </c>
      <c r="H2183" s="1">
        <v>7.5810185185185182E-3</v>
      </c>
      <c r="I2183" t="s">
        <v>23</v>
      </c>
      <c r="J2183" s="2" t="str">
        <f>HYPERLINK("https://www.nba.com/stats/events?CFID=&amp;CFPARAMS=&amp;GameEventID=14&amp;GameID=0022000660&amp;Season=2020-21&amp;flag=1&amp;title=Leonard%20alley-oop%20DUNK%20(2%20PTS)%20(M.%20Morris%20Sr.%201%20AST)", "Alley-oop DUNK (2 PTS) (M. Morris Sr. 1 AST)")</f>
        <v>Alley-oop DUNK (2 PTS) (M. Morris Sr. 1 AST)</v>
      </c>
      <c r="K2183" s="2" t="str">
        <f>HYPERLINK("https://www.nba.com/game/...-vs-...-0022000660/play-by-play?watchFullGame=true", "LAC vs ATL - Q1 10:55.00")</f>
        <v>LAC vs ATL - Q1 10:55.00</v>
      </c>
      <c r="L2183">
        <v>0.66</v>
      </c>
      <c r="M2183">
        <v>6.23</v>
      </c>
      <c r="N2183">
        <v>49.44</v>
      </c>
      <c r="O2183">
        <v>3</v>
      </c>
      <c r="P2183">
        <v>6</v>
      </c>
    </row>
    <row r="2184" spans="1:16" x14ac:dyDescent="0.25">
      <c r="A2184">
        <v>21900576</v>
      </c>
      <c r="B2184">
        <v>2019</v>
      </c>
      <c r="C2184" t="s">
        <v>32</v>
      </c>
      <c r="D2184" t="s">
        <v>65</v>
      </c>
      <c r="E2184">
        <v>77</v>
      </c>
      <c r="F2184">
        <v>83</v>
      </c>
      <c r="G2184">
        <v>4</v>
      </c>
      <c r="H2184" s="1">
        <v>7.4421296296296293E-3</v>
      </c>
      <c r="I2184" t="s">
        <v>23</v>
      </c>
      <c r="J2184" s="2" t="str">
        <f>HYPERLINK("https://www.nba.com/stats/events?CFID=&amp;CFPARAMS=&amp;GameEventID=554&amp;GameID=0021900576&amp;Season=2019-20&amp;flag=1&amp;title=Leonard%20dunk%20(28%20PTS)", "Dunk (28 PTS)")</f>
        <v>Dunk (28 PTS)</v>
      </c>
      <c r="K2184" s="2" t="str">
        <f>HYPERLINK("https://www.nba.com/game/...-vs-...-0021900576/play-by-play?watchFullGame=true", "LAC vs GSW - Q4 10:43.00")</f>
        <v>LAC vs GSW - Q4 10:43.00</v>
      </c>
      <c r="L2184">
        <v>1.55</v>
      </c>
      <c r="M2184">
        <v>6.62</v>
      </c>
      <c r="N2184">
        <v>49.44</v>
      </c>
      <c r="O2184">
        <v>3</v>
      </c>
      <c r="P2184">
        <v>10</v>
      </c>
    </row>
    <row r="2185" spans="1:16" x14ac:dyDescent="0.25">
      <c r="A2185">
        <v>21900618</v>
      </c>
      <c r="B2185">
        <v>2019</v>
      </c>
      <c r="C2185" t="s">
        <v>32</v>
      </c>
      <c r="D2185" t="s">
        <v>65</v>
      </c>
      <c r="E2185">
        <v>73</v>
      </c>
      <c r="F2185">
        <v>51</v>
      </c>
      <c r="G2185">
        <v>3</v>
      </c>
      <c r="H2185" s="1">
        <v>7.0023148148148145E-3</v>
      </c>
      <c r="I2185" t="s">
        <v>23</v>
      </c>
      <c r="J2185" s="2" t="str">
        <f>HYPERLINK("https://www.nba.com/stats/events?CFID=&amp;CFPARAMS=&amp;GameEventID=346&amp;GameID=0021900618&amp;Season=2019-20&amp;flag=1&amp;title=Leonard%20dunk%20(26%20PTS)", "Dunk (26 PTS)")</f>
        <v>Dunk (26 PTS)</v>
      </c>
      <c r="K2185" s="2" t="str">
        <f>HYPERLINK("https://www.nba.com/game/...-vs-...-0021900618/play-by-play?watchFullGame=true", "LAC vs ORL - Q3 10:05.00")</f>
        <v>LAC vs ORL - Q3 10:05.00</v>
      </c>
      <c r="L2185">
        <v>1.79</v>
      </c>
      <c r="M2185">
        <v>6.88</v>
      </c>
      <c r="N2185">
        <v>49.44</v>
      </c>
      <c r="O2185">
        <v>3</v>
      </c>
      <c r="P2185">
        <v>12</v>
      </c>
    </row>
    <row r="2186" spans="1:16" x14ac:dyDescent="0.25">
      <c r="A2186">
        <v>41800403</v>
      </c>
      <c r="B2186" t="s">
        <v>20</v>
      </c>
      <c r="C2186" t="s">
        <v>32</v>
      </c>
      <c r="D2186" t="s">
        <v>56</v>
      </c>
      <c r="E2186">
        <v>52</v>
      </c>
      <c r="F2186">
        <v>64</v>
      </c>
      <c r="G2186">
        <v>3</v>
      </c>
      <c r="H2186" s="1">
        <v>7.8935185185185185E-3</v>
      </c>
      <c r="I2186" t="s">
        <v>21</v>
      </c>
      <c r="J2186" s="2" t="str">
        <f>HYPERLINK("https://www.nba.com/stats/events?CFID=&amp;CFPARAMS=&amp;GameEventID=362&amp;GameID=0041800403&amp;Season=2018-19&amp;flag=1&amp;title=Leonard%201'%20Running%20Layup%20(11%20PTS)%20(Siakam%203%20AST)", "Leonard 1' Running Layup (11 PTS) (Siakam 3 AST)")</f>
        <v>Leonard 1' Running Layup (11 PTS) (Siakam 3 AST)</v>
      </c>
      <c r="K2186" s="2" t="str">
        <f>HYPERLINK("https://www.nba.com/game/...-vs-...-0041800403/play-by-play?watchFullGame=true", "TOR vs GSW - Q3 11:22.00")</f>
        <v>TOR vs GSW - Q3 11:22.00</v>
      </c>
      <c r="L2186">
        <v>1</v>
      </c>
      <c r="M2186">
        <v>3</v>
      </c>
      <c r="N2186">
        <v>13</v>
      </c>
      <c r="O2186">
        <v>3</v>
      </c>
      <c r="P2186">
        <v>13</v>
      </c>
    </row>
    <row r="2187" spans="1:16" x14ac:dyDescent="0.25">
      <c r="A2187">
        <v>22400889</v>
      </c>
      <c r="B2187">
        <v>2024</v>
      </c>
      <c r="C2187" t="s">
        <v>32</v>
      </c>
      <c r="D2187" t="s">
        <v>47</v>
      </c>
      <c r="E2187">
        <v>119</v>
      </c>
      <c r="F2187">
        <v>116</v>
      </c>
      <c r="G2187">
        <v>4</v>
      </c>
      <c r="H2187" s="1">
        <v>3.8078703703703701E-4</v>
      </c>
      <c r="I2187" t="s">
        <v>23</v>
      </c>
      <c r="J2187" s="2" t="str">
        <f>HYPERLINK("https://www.nba.com/stats/events?CFID=&amp;CFPARAMS=&amp;GameEventID=600&amp;GameID=0022400889&amp;Season=2024-25&amp;flag=1&amp;title=Leonard%20putback%20Layup%20(21%20PTS)", "Putback Layup (21 PTS)")</f>
        <v>Putback Layup (21 PTS)</v>
      </c>
      <c r="K2187" s="2" t="str">
        <f>HYPERLINK("https://www.nba.com/game/...-vs-...-0022400889/play-by-play?watchFullGame=true", "LAC vs PHX - Q4 00:32.90")</f>
        <v>LAC vs PHX - Q4 00:32.90</v>
      </c>
      <c r="L2187">
        <v>3.64</v>
      </c>
      <c r="M2187">
        <v>9.44</v>
      </c>
      <c r="N2187">
        <v>49.32</v>
      </c>
      <c r="O2187">
        <v>3</v>
      </c>
      <c r="P2187">
        <v>36</v>
      </c>
    </row>
    <row r="2188" spans="1:16" x14ac:dyDescent="0.25">
      <c r="A2188">
        <v>22000202</v>
      </c>
      <c r="B2188">
        <v>2020</v>
      </c>
      <c r="C2188" t="s">
        <v>32</v>
      </c>
      <c r="D2188" t="s">
        <v>47</v>
      </c>
      <c r="E2188">
        <v>16</v>
      </c>
      <c r="F2188">
        <v>13</v>
      </c>
      <c r="G2188">
        <v>1</v>
      </c>
      <c r="H2188" s="1">
        <v>4.9537037037037041E-3</v>
      </c>
      <c r="I2188" t="s">
        <v>23</v>
      </c>
      <c r="J2188" s="2" t="str">
        <f>HYPERLINK("https://www.nba.com/stats/events?CFID=&amp;CFPARAMS=&amp;GameEventID=52&amp;GameID=0022000202&amp;Season=2020-21&amp;flag=1&amp;title=Leonard%20finger%20roll%20Layup%20(4%20PTS)", "Finger roll Layup (4 PTS)")</f>
        <v>Finger roll Layup (4 PTS)</v>
      </c>
      <c r="K2188" s="2" t="str">
        <f>HYPERLINK("https://www.nba.com/game/...-vs-...-0022000202/play-by-play?watchFullGame=true", "LAC vs IND - Q1 07:08.00")</f>
        <v>LAC vs IND - Q1 07:08.00</v>
      </c>
      <c r="L2188">
        <v>3.82</v>
      </c>
      <c r="M2188">
        <v>90.36</v>
      </c>
      <c r="N2188">
        <v>50.56</v>
      </c>
      <c r="O2188">
        <v>3</v>
      </c>
      <c r="P2188">
        <v>38</v>
      </c>
    </row>
    <row r="2189" spans="1:16" x14ac:dyDescent="0.25">
      <c r="A2189">
        <v>21900016</v>
      </c>
      <c r="B2189">
        <v>2019</v>
      </c>
      <c r="C2189" t="s">
        <v>32</v>
      </c>
      <c r="D2189" t="s">
        <v>22</v>
      </c>
      <c r="E2189">
        <v>38</v>
      </c>
      <c r="F2189">
        <v>46</v>
      </c>
      <c r="G2189">
        <v>2</v>
      </c>
      <c r="H2189" s="1">
        <v>5.6712962962962967E-3</v>
      </c>
      <c r="I2189" t="s">
        <v>23</v>
      </c>
      <c r="J2189" s="2" t="str">
        <f>HYPERLINK("https://www.nba.com/stats/events?CFID=&amp;CFPARAMS=&amp;GameEventID=226&amp;GameID=0021900016&amp;Season=2019-20&amp;flag=1&amp;title=[LAC]%20Leonard%20jumpshot:%20Made%20(6%20PTS)", "[LAC] Leonard jumpshot: Made (6 PTS)")</f>
        <v>[LAC] Leonard jumpshot: Made (6 PTS)</v>
      </c>
      <c r="K2189" s="2" t="str">
        <f>HYPERLINK("https://www.nba.com/game/...-vs-...-0021900016/play-by-play?watchFullGame=true", "LAC vs GSW - Q2 08:10.00")</f>
        <v>LAC vs GSW - Q2 08:10.00</v>
      </c>
      <c r="L2189">
        <v>6.63</v>
      </c>
      <c r="M2189">
        <v>12.04</v>
      </c>
      <c r="N2189">
        <v>49.33</v>
      </c>
      <c r="O2189">
        <v>3</v>
      </c>
      <c r="P2189">
        <v>61</v>
      </c>
    </row>
    <row r="2190" spans="1:16" x14ac:dyDescent="0.25">
      <c r="A2190">
        <v>22000660</v>
      </c>
      <c r="B2190">
        <v>2020</v>
      </c>
      <c r="C2190" t="s">
        <v>32</v>
      </c>
      <c r="D2190" t="s">
        <v>19</v>
      </c>
      <c r="E2190">
        <v>42</v>
      </c>
      <c r="F2190">
        <v>48</v>
      </c>
      <c r="G2190">
        <v>2</v>
      </c>
      <c r="H2190" s="1">
        <v>2.9513888888888888E-3</v>
      </c>
      <c r="I2190" t="s">
        <v>23</v>
      </c>
      <c r="J2190" s="2" t="str">
        <f>HYPERLINK("https://www.nba.com/stats/events?CFID=&amp;CFPARAMS=&amp;GameEventID=256&amp;GameID=0022000660&amp;Season=2020-21&amp;flag=1&amp;title=Leonard%207'%20running%20Jump%20Shot%20(8%20PTS)", "7' running Jump Shot (8 PTS)")</f>
        <v>7' running Jump Shot (8 PTS)</v>
      </c>
      <c r="K2190" s="2" t="str">
        <f>HYPERLINK("https://www.nba.com/game/...-vs-...-0022000660/play-by-play?watchFullGame=true", "LAC vs ATL - Q2 04:15.00")</f>
        <v>LAC vs ATL - Q2 04:15.00</v>
      </c>
      <c r="L2190">
        <v>7.28</v>
      </c>
      <c r="M2190">
        <v>13.32</v>
      </c>
      <c r="N2190">
        <v>49.44</v>
      </c>
      <c r="O2190">
        <v>3</v>
      </c>
      <c r="P2190">
        <v>73</v>
      </c>
    </row>
    <row r="2191" spans="1:16" x14ac:dyDescent="0.25">
      <c r="A2191">
        <v>22000775</v>
      </c>
      <c r="B2191">
        <v>2020</v>
      </c>
      <c r="C2191" t="s">
        <v>32</v>
      </c>
      <c r="D2191" t="s">
        <v>19</v>
      </c>
      <c r="E2191">
        <v>72</v>
      </c>
      <c r="F2191">
        <v>54</v>
      </c>
      <c r="G2191">
        <v>2</v>
      </c>
      <c r="H2191" s="1">
        <v>3.1134259259259257E-3</v>
      </c>
      <c r="I2191" t="s">
        <v>23</v>
      </c>
      <c r="J2191" s="2" t="str">
        <f>HYPERLINK("https://www.nba.com/stats/events?CFID=&amp;CFPARAMS=&amp;GameEventID=277&amp;GameID=0022000775&amp;Season=2020-21&amp;flag=1&amp;title=Leonard%208'%20driving%20floating%20Jump%20Shot%20(13%20PTS)", "8' driving floating Jump Shot (13 PTS)")</f>
        <v>8' driving floating Jump Shot (13 PTS)</v>
      </c>
      <c r="K2191" s="2" t="str">
        <f>HYPERLINK("https://www.nba.com/game/...-vs-...-0022000775/play-by-play?watchFullGame=true", "LAC vs POR - Q2 04:29.00")</f>
        <v>LAC vs POR - Q2 04:29.00</v>
      </c>
      <c r="L2191">
        <v>8.3800000000000008</v>
      </c>
      <c r="M2191">
        <v>85.5</v>
      </c>
      <c r="N2191">
        <v>50.56</v>
      </c>
      <c r="O2191">
        <v>3</v>
      </c>
      <c r="P2191">
        <v>84</v>
      </c>
    </row>
    <row r="2192" spans="1:16" x14ac:dyDescent="0.25">
      <c r="A2192">
        <v>21900292</v>
      </c>
      <c r="B2192">
        <v>2019</v>
      </c>
      <c r="C2192" t="s">
        <v>32</v>
      </c>
      <c r="D2192" t="s">
        <v>22</v>
      </c>
      <c r="E2192">
        <v>9</v>
      </c>
      <c r="F2192">
        <v>6</v>
      </c>
      <c r="G2192">
        <v>1</v>
      </c>
      <c r="H2192" s="1">
        <v>6.7824074074074071E-3</v>
      </c>
      <c r="I2192" t="s">
        <v>23</v>
      </c>
      <c r="J2192" s="2" t="str">
        <f>HYPERLINK("https://www.nba.com/stats/events?CFID=&amp;CFPARAMS=&amp;GameEventID=39&amp;GameID=0021900292&amp;Season=2019-20&amp;flag=1&amp;title=Leonard%2010'%20jumpshot%20(2%20PTS)", "10' jumpshot (2 PTS)")</f>
        <v>10' jumpshot (2 PTS)</v>
      </c>
      <c r="K2192" s="2" t="str">
        <f>HYPERLINK("https://www.nba.com/game/...-vs-...-0021900292/play-by-play?watchFullGame=true", "LAC vs WAS - Q1 09:46.00")</f>
        <v>LAC vs WAS - Q1 09:46.00</v>
      </c>
      <c r="L2192">
        <v>10.09</v>
      </c>
      <c r="M2192">
        <v>84.28</v>
      </c>
      <c r="N2192">
        <v>50.67</v>
      </c>
      <c r="O2192">
        <v>3</v>
      </c>
      <c r="P2192">
        <v>95</v>
      </c>
    </row>
    <row r="2193" spans="1:16" x14ac:dyDescent="0.25">
      <c r="A2193">
        <v>22000251</v>
      </c>
      <c r="B2193">
        <v>2020</v>
      </c>
      <c r="C2193" t="s">
        <v>32</v>
      </c>
      <c r="D2193" t="s">
        <v>19</v>
      </c>
      <c r="E2193">
        <v>27</v>
      </c>
      <c r="F2193">
        <v>15</v>
      </c>
      <c r="G2193">
        <v>1</v>
      </c>
      <c r="H2193" s="1">
        <v>2.0601851851851853E-3</v>
      </c>
      <c r="I2193" t="s">
        <v>23</v>
      </c>
      <c r="J2193" s="2" t="str">
        <f>HYPERLINK("https://www.nba.com/stats/events?CFID=&amp;CFPARAMS=&amp;GameEventID=110&amp;GameID=0022000251&amp;Season=2020-21&amp;flag=1&amp;title=Leonard%2010'%20turnaround%20Jump%20Shot%20(10%20PTS)", "10' turnaround Jump Shot (10 PTS)")</f>
        <v>10' turnaround Jump Shot (10 PTS)</v>
      </c>
      <c r="K2193" s="2" t="str">
        <f>HYPERLINK("https://www.nba.com/game/...-vs-...-0022000251/play-by-play?watchFullGame=true", "LAC vs OKC - Q1 02:58.00")</f>
        <v>LAC vs OKC - Q1 02:58.00</v>
      </c>
      <c r="L2193">
        <v>10.73</v>
      </c>
      <c r="M2193">
        <v>83</v>
      </c>
      <c r="N2193">
        <v>50.56</v>
      </c>
      <c r="O2193">
        <v>3</v>
      </c>
      <c r="P2193">
        <v>107</v>
      </c>
    </row>
    <row r="2194" spans="1:16" x14ac:dyDescent="0.25">
      <c r="A2194">
        <v>21900016</v>
      </c>
      <c r="B2194">
        <v>2019</v>
      </c>
      <c r="C2194" t="s">
        <v>32</v>
      </c>
      <c r="D2194" t="s">
        <v>22</v>
      </c>
      <c r="E2194">
        <v>0</v>
      </c>
      <c r="F2194">
        <v>7</v>
      </c>
      <c r="G2194">
        <v>1</v>
      </c>
      <c r="H2194" s="1">
        <v>6.7245370370370367E-3</v>
      </c>
      <c r="I2194" t="s">
        <v>23</v>
      </c>
      <c r="J2194" s="2" t="str">
        <f>HYPERLINK("https://www.nba.com/stats/events?CFID=&amp;CFPARAMS=&amp;GameEventID=27&amp;GameID=0021900016&amp;Season=2019-20&amp;flag=1&amp;title=[LAC]%20Leonard%20jumpshot:%20Made%20(2%20PTS)", "[LAC] Leonard jumpshot: Made (2 PTS)")</f>
        <v>[LAC] Leonard jumpshot: Made (2 PTS)</v>
      </c>
      <c r="K2194" s="2" t="str">
        <f>HYPERLINK("https://www.nba.com/game/...-vs-...-0021900016/play-by-play?watchFullGame=true", "LAC vs GSW - Q1 09:41.00")</f>
        <v>LAC vs GSW - Q1 09:41.00</v>
      </c>
      <c r="L2194">
        <v>11.44</v>
      </c>
      <c r="M2194">
        <v>17.16</v>
      </c>
      <c r="N2194">
        <v>49.33</v>
      </c>
      <c r="O2194">
        <v>3</v>
      </c>
      <c r="P2194">
        <v>109</v>
      </c>
    </row>
    <row r="2195" spans="1:16" x14ac:dyDescent="0.25">
      <c r="A2195">
        <v>21900626</v>
      </c>
      <c r="B2195">
        <v>2019</v>
      </c>
      <c r="C2195" t="s">
        <v>32</v>
      </c>
      <c r="D2195" t="s">
        <v>22</v>
      </c>
      <c r="E2195">
        <v>12</v>
      </c>
      <c r="F2195">
        <v>19</v>
      </c>
      <c r="G2195">
        <v>1</v>
      </c>
      <c r="H2195" s="1">
        <v>4.3287037037037035E-3</v>
      </c>
      <c r="I2195" t="s">
        <v>23</v>
      </c>
      <c r="J2195" s="2" t="str">
        <f>HYPERLINK("https://www.nba.com/stats/events?CFID=&amp;CFPARAMS=&amp;GameEventID=74&amp;GameID=0021900626&amp;Season=2019-20&amp;flag=1&amp;title=Leonard%2012'%20jumpshot%20(12%20PTS)", "12' jumpshot (12 PTS)")</f>
        <v>12' jumpshot (12 PTS)</v>
      </c>
      <c r="K2195" s="2" t="str">
        <f>HYPERLINK("https://www.nba.com/game/...-vs-...-0021900626/play-by-play?watchFullGame=true", "LAC vs NOP - Q1 06:14.00")</f>
        <v>LAC vs NOP - Q1 06:14.00</v>
      </c>
      <c r="L2195">
        <v>12.18</v>
      </c>
      <c r="M2195">
        <v>17.95</v>
      </c>
      <c r="N2195">
        <v>49.33</v>
      </c>
      <c r="O2195">
        <v>3</v>
      </c>
      <c r="P2195">
        <v>116</v>
      </c>
    </row>
    <row r="2196" spans="1:16" x14ac:dyDescent="0.25">
      <c r="A2196">
        <v>21900157</v>
      </c>
      <c r="B2196">
        <v>2019</v>
      </c>
      <c r="C2196" t="s">
        <v>32</v>
      </c>
      <c r="D2196" t="s">
        <v>22</v>
      </c>
      <c r="E2196">
        <v>23</v>
      </c>
      <c r="F2196">
        <v>13</v>
      </c>
      <c r="G2196">
        <v>1</v>
      </c>
      <c r="H2196" s="1">
        <v>2.9166666666666668E-3</v>
      </c>
      <c r="I2196" t="s">
        <v>23</v>
      </c>
      <c r="J2196" s="2" t="str">
        <f>HYPERLINK("https://www.nba.com/stats/events?CFID=&amp;CFPARAMS=&amp;GameEventID=107&amp;GameID=0021900157&amp;Season=2019-20&amp;flag=1&amp;title=Leonard%2013'%20jumpshot%20(5%20PTS)", "13' jumpshot (5 PTS)")</f>
        <v>13' jumpshot (5 PTS)</v>
      </c>
      <c r="K2196" s="2" t="str">
        <f>HYPERLINK("https://www.nba.com/game/...-vs-...-0021900157/play-by-play?watchFullGame=true", "LAC vs HOU - Q1 04:12.00")</f>
        <v>LAC vs HOU - Q1 04:12.00</v>
      </c>
      <c r="L2196">
        <v>12.55</v>
      </c>
      <c r="M2196">
        <v>81.650000000000006</v>
      </c>
      <c r="N2196">
        <v>50.67</v>
      </c>
      <c r="O2196">
        <v>3</v>
      </c>
      <c r="P2196">
        <v>120</v>
      </c>
    </row>
    <row r="2197" spans="1:16" x14ac:dyDescent="0.25">
      <c r="A2197">
        <v>22000224</v>
      </c>
      <c r="B2197">
        <v>2020</v>
      </c>
      <c r="C2197" t="s">
        <v>32</v>
      </c>
      <c r="D2197" t="s">
        <v>19</v>
      </c>
      <c r="E2197">
        <v>8</v>
      </c>
      <c r="F2197">
        <v>11</v>
      </c>
      <c r="G2197">
        <v>1</v>
      </c>
      <c r="H2197" s="1">
        <v>5.185185185185185E-3</v>
      </c>
      <c r="I2197" t="s">
        <v>23</v>
      </c>
      <c r="J2197" s="2" t="str">
        <f>HYPERLINK("https://www.nba.com/stats/events?CFID=&amp;CFPARAMS=&amp;GameEventID=47&amp;GameID=0022000224&amp;Season=2020-21&amp;flag=1&amp;title=Leonard%2019'%20pullup%20Jump%20Shot%20(2%20PTS)", "19' pullup Jump Shot (2 PTS)")</f>
        <v>19' pullup Jump Shot (2 PTS)</v>
      </c>
      <c r="K2197" s="2" t="str">
        <f>HYPERLINK("https://www.nba.com/game/...-vs-...-0022000224/play-by-play?watchFullGame=true", "LAC vs SAC - Q1 07:28.00")</f>
        <v>LAC vs SAC - Q1 07:28.00</v>
      </c>
      <c r="L2197">
        <v>19.5</v>
      </c>
      <c r="M2197">
        <v>73.67</v>
      </c>
      <c r="N2197">
        <v>50.56</v>
      </c>
      <c r="O2197">
        <v>3</v>
      </c>
      <c r="P2197">
        <v>195</v>
      </c>
    </row>
    <row r="2198" spans="1:16" x14ac:dyDescent="0.25">
      <c r="A2198">
        <v>21900035</v>
      </c>
      <c r="B2198">
        <v>2019</v>
      </c>
      <c r="C2198" t="s">
        <v>32</v>
      </c>
      <c r="D2198" t="s">
        <v>65</v>
      </c>
      <c r="E2198">
        <v>62</v>
      </c>
      <c r="F2198">
        <v>64</v>
      </c>
      <c r="G2198">
        <v>3</v>
      </c>
      <c r="H2198" s="1">
        <v>6.053240740740741E-3</v>
      </c>
      <c r="I2198" t="s">
        <v>23</v>
      </c>
      <c r="J2198" s="2" t="str">
        <f>HYPERLINK("https://www.nba.com/stats/events?CFID=&amp;CFPARAMS=&amp;GameEventID=428&amp;GameID=0021900035&amp;Season=2019-20&amp;flag=1&amp;title=[LAC]%20Leonard%20dunk:%20Made%20(12%20PTS)", "[LAC] Leonard dunk: Made (12 PTS)")</f>
        <v>[LAC] Leonard dunk: Made (12 PTS)</v>
      </c>
      <c r="K2198" s="2" t="str">
        <f>HYPERLINK("https://www.nba.com/game/...-vs-...-0021900035/play-by-play?watchFullGame=true", "LAC vs PHX - Q3 08:43.00")</f>
        <v>LAC vs PHX - Q3 08:43.00</v>
      </c>
      <c r="L2198">
        <v>0.52</v>
      </c>
      <c r="M2198">
        <v>95.35</v>
      </c>
      <c r="N2198">
        <v>50.8</v>
      </c>
      <c r="O2198">
        <v>4</v>
      </c>
      <c r="P2198">
        <v>-9</v>
      </c>
    </row>
    <row r="2199" spans="1:16" x14ac:dyDescent="0.25">
      <c r="A2199">
        <v>21300520</v>
      </c>
      <c r="B2199">
        <v>2013</v>
      </c>
      <c r="C2199" t="s">
        <v>32</v>
      </c>
      <c r="D2199" t="s">
        <v>57</v>
      </c>
      <c r="E2199">
        <v>10</v>
      </c>
      <c r="F2199">
        <v>4</v>
      </c>
      <c r="G2199">
        <v>1</v>
      </c>
      <c r="H2199" s="1">
        <v>5.7175925925925927E-3</v>
      </c>
      <c r="I2199" t="s">
        <v>18</v>
      </c>
      <c r="J2199" s="2" t="str">
        <f>HYPERLINK("https://www.nba.com/stats/events?CFID=&amp;CFPARAMS=&amp;GameEventID=34&amp;GameID=0021300520&amp;Season=2013-14&amp;flag=1&amp;title=Leonard%201'%20Layup%20(2%20PTS)%20(Diaw%201%20AST)", "Leonard 1' Layup (2 PTS) (Diaw 1 AST)")</f>
        <v>Leonard 1' Layup (2 PTS) (Diaw 1 AST)</v>
      </c>
      <c r="K2199" s="2" t="str">
        <f>HYPERLINK("https://www.nba.com/game/...-vs-...-0021300520/play-by-play?watchFullGame=true", "SAS vs DAL - Q1 08:14.00")</f>
        <v>SAS vs DAL - Q1 08:14.00</v>
      </c>
      <c r="L2199">
        <v>1</v>
      </c>
      <c r="M2199">
        <v>4</v>
      </c>
      <c r="N2199">
        <v>-6</v>
      </c>
      <c r="O2199">
        <v>4</v>
      </c>
      <c r="P2199">
        <v>-6</v>
      </c>
    </row>
    <row r="2200" spans="1:16" x14ac:dyDescent="0.25">
      <c r="A2200">
        <v>21500939</v>
      </c>
      <c r="B2200">
        <v>2015</v>
      </c>
      <c r="C2200" t="s">
        <v>32</v>
      </c>
      <c r="D2200" t="s">
        <v>49</v>
      </c>
      <c r="E2200">
        <v>94</v>
      </c>
      <c r="F2200">
        <v>91</v>
      </c>
      <c r="G2200">
        <v>4</v>
      </c>
      <c r="H2200" s="1">
        <v>2.2106481481481483E-4</v>
      </c>
      <c r="I2200" t="s">
        <v>18</v>
      </c>
      <c r="J2200" s="2" t="str">
        <f>HYPERLINK("https://www.nba.com/stats/events?CFID=&amp;CFPARAMS=&amp;GameEventID=528&amp;GameID=0021500939&amp;Season=2015-16&amp;flag=1&amp;title=Leonard%201'%20Driving%20Layup%20(23%20PTS)", "Leonard 1' Driving Layup (23 PTS)")</f>
        <v>Leonard 1' Driving Layup (23 PTS)</v>
      </c>
      <c r="K2200" s="2" t="str">
        <f>HYPERLINK("https://www.nba.com/game/...-vs-...-0021500939/play-by-play?watchFullGame=true", "SAS vs IND - Q4 00:19.10")</f>
        <v>SAS vs IND - Q4 00:19.10</v>
      </c>
      <c r="L2200">
        <v>1</v>
      </c>
      <c r="M2200">
        <v>4</v>
      </c>
      <c r="N2200">
        <v>-6</v>
      </c>
      <c r="O2200">
        <v>4</v>
      </c>
      <c r="P2200">
        <v>-6</v>
      </c>
    </row>
    <row r="2201" spans="1:16" x14ac:dyDescent="0.25">
      <c r="A2201">
        <v>22300280</v>
      </c>
      <c r="B2201">
        <v>2023</v>
      </c>
      <c r="C2201" t="s">
        <v>32</v>
      </c>
      <c r="D2201" t="s">
        <v>47</v>
      </c>
      <c r="E2201">
        <v>110</v>
      </c>
      <c r="F2201">
        <v>112</v>
      </c>
      <c r="G2201">
        <v>4</v>
      </c>
      <c r="H2201" s="1">
        <v>4.1087962962962964E-4</v>
      </c>
      <c r="I2201" t="s">
        <v>23</v>
      </c>
      <c r="J2201" s="2" t="str">
        <f>HYPERLINK("https://www.nba.com/stats/events?CFID=&amp;CFPARAMS=&amp;GameEventID=646&amp;GameID=0022300280&amp;Season=2023-24&amp;flag=1&amp;title=Leonard%20reverse%20Layup%20(20%20PTS)%20(P.%20George%206%20AST)", "Reverse Layup (20 PTS) (P. George 6 AST)")</f>
        <v>Reverse Layup (20 PTS) (P. George 6 AST)</v>
      </c>
      <c r="K2201" s="2" t="str">
        <f>HYPERLINK("https://www.nba.com/game/...-vs-...-0022300280/play-by-play?watchFullGame=true", "LAC vs GSW - Q4 00:35.50")</f>
        <v>LAC vs GSW - Q4 00:35.50</v>
      </c>
      <c r="L2201">
        <v>0.61</v>
      </c>
      <c r="M2201">
        <v>94.92</v>
      </c>
      <c r="N2201">
        <v>50.74</v>
      </c>
      <c r="O2201">
        <v>4</v>
      </c>
      <c r="P2201">
        <v>-5</v>
      </c>
    </row>
    <row r="2202" spans="1:16" x14ac:dyDescent="0.25">
      <c r="A2202">
        <v>21400102</v>
      </c>
      <c r="B2202">
        <v>2014</v>
      </c>
      <c r="C2202" t="s">
        <v>32</v>
      </c>
      <c r="D2202" t="s">
        <v>57</v>
      </c>
      <c r="E2202">
        <v>82</v>
      </c>
      <c r="F2202">
        <v>83</v>
      </c>
      <c r="G2202">
        <v>4</v>
      </c>
      <c r="H2202" s="1">
        <v>1.2037037037037038E-3</v>
      </c>
      <c r="I2202" t="s">
        <v>18</v>
      </c>
      <c r="J2202" s="2" t="str">
        <f>HYPERLINK("https://www.nba.com/stats/events?CFID=&amp;CFPARAMS=&amp;GameEventID=489&amp;GameID=0021400102&amp;Season=2014-15&amp;flag=1&amp;title=Leonard%201'%20Layup%20(24%20PTS)%20(Ginobili%203%20AST)", "Leonard 1' Layup (24 PTS) (Ginobili 3 AST)")</f>
        <v>Leonard 1' Layup (24 PTS) (Ginobili 3 AST)</v>
      </c>
      <c r="K2202" s="2" t="str">
        <f>HYPERLINK("https://www.nba.com/game/...-vs-...-0021400102/play-by-play?watchFullGame=true", "SAS vs LAC - Q4 01:44.00")</f>
        <v>SAS vs LAC - Q4 01:44.00</v>
      </c>
      <c r="L2202">
        <v>1</v>
      </c>
      <c r="M2202">
        <v>4</v>
      </c>
      <c r="N2202">
        <v>-3</v>
      </c>
      <c r="O2202">
        <v>4</v>
      </c>
      <c r="P2202">
        <v>-3</v>
      </c>
    </row>
    <row r="2203" spans="1:16" x14ac:dyDescent="0.25">
      <c r="A2203">
        <v>41500154</v>
      </c>
      <c r="B2203" t="s">
        <v>25</v>
      </c>
      <c r="C2203" t="s">
        <v>32</v>
      </c>
      <c r="D2203" t="s">
        <v>71</v>
      </c>
      <c r="E2203">
        <v>64</v>
      </c>
      <c r="F2203">
        <v>84</v>
      </c>
      <c r="G2203">
        <v>3</v>
      </c>
      <c r="H2203" s="1">
        <v>3.8078703703703701E-4</v>
      </c>
      <c r="I2203" t="s">
        <v>18</v>
      </c>
      <c r="J2203" s="2" t="str">
        <f>HYPERLINK("https://www.nba.com/stats/events?CFID=&amp;CFPARAMS=&amp;GameEventID=405&amp;GameID=0041500154&amp;Season=2015-16&amp;flag=1&amp;title=Leonard%20%20Tip%20Layup%20Shot%20(21%20PTS)", "Leonard  Tip Layup Shot (21 PTS)")</f>
        <v>Leonard  Tip Layup Shot (21 PTS)</v>
      </c>
      <c r="K2203" s="2" t="str">
        <f>HYPERLINK("https://www.nba.com/game/...-vs-...-0041500154/play-by-play?watchFullGame=true", "SAS vs MEM - Q3 00:32.90")</f>
        <v>SAS vs MEM - Q3 00:32.90</v>
      </c>
      <c r="L2203">
        <v>0</v>
      </c>
      <c r="M2203">
        <v>4</v>
      </c>
      <c r="N2203">
        <v>-1</v>
      </c>
      <c r="O2203">
        <v>4</v>
      </c>
      <c r="P2203">
        <v>-1</v>
      </c>
    </row>
    <row r="2204" spans="1:16" x14ac:dyDescent="0.25">
      <c r="A2204">
        <v>21300363</v>
      </c>
      <c r="B2204">
        <v>2013</v>
      </c>
      <c r="C2204" t="s">
        <v>32</v>
      </c>
      <c r="D2204" t="s">
        <v>72</v>
      </c>
      <c r="E2204">
        <v>57</v>
      </c>
      <c r="F2204">
        <v>51</v>
      </c>
      <c r="G2204">
        <v>3</v>
      </c>
      <c r="H2204" s="1">
        <v>7.5810185185185182E-3</v>
      </c>
      <c r="I2204" t="s">
        <v>18</v>
      </c>
      <c r="J2204" s="2" t="str">
        <f>HYPERLINK("https://www.nba.com/stats/events?CFID=&amp;CFPARAMS=&amp;GameEventID=265&amp;GameID=0021300363&amp;Season=2013-14&amp;flag=1&amp;title=Leonard%20%20Tip%20Shot%20(6%20PTS)", "Leonard  Tip Shot (6 PTS)")</f>
        <v>Leonard  Tip Shot (6 PTS)</v>
      </c>
      <c r="K2204" s="2" t="str">
        <f>HYPERLINK("https://www.nba.com/game/...-vs-...-0021300363/play-by-play?watchFullGame=true", "SAS vs LAC - Q3 10:55.00")</f>
        <v>SAS vs LAC - Q3 10:55.00</v>
      </c>
      <c r="L2204">
        <v>0</v>
      </c>
      <c r="M2204">
        <v>4</v>
      </c>
      <c r="N2204">
        <v>0</v>
      </c>
      <c r="O2204">
        <v>4</v>
      </c>
      <c r="P2204">
        <v>0</v>
      </c>
    </row>
    <row r="2205" spans="1:16" x14ac:dyDescent="0.25">
      <c r="A2205">
        <v>41300315</v>
      </c>
      <c r="B2205" t="s">
        <v>26</v>
      </c>
      <c r="C2205" t="s">
        <v>32</v>
      </c>
      <c r="D2205" t="s">
        <v>51</v>
      </c>
      <c r="E2205">
        <v>16</v>
      </c>
      <c r="F2205">
        <v>21</v>
      </c>
      <c r="G2205">
        <v>1</v>
      </c>
      <c r="H2205" s="1">
        <v>2.5578703703703705E-3</v>
      </c>
      <c r="I2205" t="s">
        <v>18</v>
      </c>
      <c r="J2205" s="2" t="str">
        <f>HYPERLINK("https://www.nba.com/stats/events?CFID=&amp;CFPARAMS=&amp;GameEventID=74&amp;GameID=0041300315&amp;Season=2013-14&amp;flag=1&amp;title=Leonard%20%20Reverse%20Layup%20(4%20PTS)%20(Parker%202%20AST)", "Leonard  Reverse Layup (4 PTS) (Parker 2 AST)")</f>
        <v>Leonard  Reverse Layup (4 PTS) (Parker 2 AST)</v>
      </c>
      <c r="K2205" s="2" t="str">
        <f>HYPERLINK("https://www.nba.com/game/...-vs-...-0041300315/play-by-play?watchFullGame=true", "SAS vs OKC - Q1 03:41.00")</f>
        <v>SAS vs OKC - Q1 03:41.00</v>
      </c>
      <c r="L2205">
        <v>0</v>
      </c>
      <c r="M2205">
        <v>4</v>
      </c>
      <c r="N2205">
        <v>0</v>
      </c>
      <c r="O2205">
        <v>4</v>
      </c>
      <c r="P2205">
        <v>0</v>
      </c>
    </row>
    <row r="2206" spans="1:16" x14ac:dyDescent="0.25">
      <c r="A2206">
        <v>22300770</v>
      </c>
      <c r="B2206">
        <v>2023</v>
      </c>
      <c r="C2206" t="s">
        <v>32</v>
      </c>
      <c r="D2206" t="s">
        <v>47</v>
      </c>
      <c r="E2206">
        <v>55</v>
      </c>
      <c r="F2206">
        <v>57</v>
      </c>
      <c r="G2206">
        <v>3</v>
      </c>
      <c r="H2206" s="1">
        <v>6.9791666666666665E-3</v>
      </c>
      <c r="I2206" t="s">
        <v>23</v>
      </c>
      <c r="J2206" s="2" t="str">
        <f>HYPERLINK("https://www.nba.com/stats/events?CFID=&amp;CFPARAMS=&amp;GameEventID=334&amp;GameID=0022300770&amp;Season=2023-24&amp;flag=1&amp;title=Leonard%20driving%20Layup%20(13%20PTS)%20(J.%20Harden%204%20AST)", "Driving Layup (13 PTS) (J. Harden 4 AST)")</f>
        <v>Driving Layup (13 PTS) (J. Harden 4 AST)</v>
      </c>
      <c r="K2206" s="2" t="str">
        <f>HYPERLINK("https://www.nba.com/game/...-vs-...-0022300770/play-by-play?watchFullGame=true", "LAC vs MIN - Q3 10:03.00")</f>
        <v>LAC vs MIN - Q3 10:03.00</v>
      </c>
      <c r="L2206">
        <v>0.4</v>
      </c>
      <c r="M2206">
        <v>94.27</v>
      </c>
      <c r="N2206">
        <v>50.74</v>
      </c>
      <c r="O2206">
        <v>4</v>
      </c>
      <c r="P2206">
        <v>1</v>
      </c>
    </row>
    <row r="2207" spans="1:16" x14ac:dyDescent="0.25">
      <c r="A2207">
        <v>41300315</v>
      </c>
      <c r="B2207" t="s">
        <v>26</v>
      </c>
      <c r="C2207" t="s">
        <v>32</v>
      </c>
      <c r="D2207" t="s">
        <v>49</v>
      </c>
      <c r="E2207">
        <v>69</v>
      </c>
      <c r="F2207">
        <v>57</v>
      </c>
      <c r="G2207">
        <v>3</v>
      </c>
      <c r="H2207" s="1">
        <v>7.2685185185185188E-3</v>
      </c>
      <c r="I2207" t="s">
        <v>18</v>
      </c>
      <c r="J2207" s="2" t="str">
        <f>HYPERLINK("https://www.nba.com/stats/events?CFID=&amp;CFPARAMS=&amp;GameEventID=247&amp;GameID=0041300315&amp;Season=2013-14&amp;flag=1&amp;title=Leonard%201'%20Driving%20Layup%20(12%20PTS)%20(Duncan%202%20AST)", "Leonard 1' Driving Layup (12 PTS) (Duncan 2 AST)")</f>
        <v>Leonard 1' Driving Layup (12 PTS) (Duncan 2 AST)</v>
      </c>
      <c r="K2207" s="2" t="str">
        <f>HYPERLINK("https://www.nba.com/game/...-vs-...-0041300315/play-by-play?watchFullGame=true", "SAS vs OKC - Q3 10:28.00")</f>
        <v>SAS vs OKC - Q3 10:28.00</v>
      </c>
      <c r="L2207">
        <v>1</v>
      </c>
      <c r="M2207">
        <v>4</v>
      </c>
      <c r="N2207">
        <v>4</v>
      </c>
      <c r="O2207">
        <v>4</v>
      </c>
      <c r="P2207">
        <v>4</v>
      </c>
    </row>
    <row r="2208" spans="1:16" x14ac:dyDescent="0.25">
      <c r="A2208">
        <v>22000239</v>
      </c>
      <c r="B2208">
        <v>2020</v>
      </c>
      <c r="C2208" t="s">
        <v>32</v>
      </c>
      <c r="D2208" t="s">
        <v>48</v>
      </c>
      <c r="E2208">
        <v>31</v>
      </c>
      <c r="F2208">
        <v>14</v>
      </c>
      <c r="G2208">
        <v>1</v>
      </c>
      <c r="H2208" s="1">
        <v>7.7546296296296293E-4</v>
      </c>
      <c r="I2208" t="s">
        <v>23</v>
      </c>
      <c r="J2208" s="2" t="str">
        <f>HYPERLINK("https://www.nba.com/stats/events?CFID=&amp;CFPARAMS=&amp;GameEventID=141&amp;GameID=0022000239&amp;Season=2020-21&amp;flag=1&amp;title=Leonard%20running%20DUNK%20(11%20PTS)%20(L.%20Williams%202%20AST)", "Running DUNK (11 PTS) (L. Williams 2 AST)")</f>
        <v>Running DUNK (11 PTS) (L. Williams 2 AST)</v>
      </c>
      <c r="K2208" s="2" t="str">
        <f>HYPERLINK("https://www.nba.com/game/...-vs-...-0022000239/play-by-play?watchFullGame=true", "LAC vs OKC - Q1 01:07.00")</f>
        <v>LAC vs OKC - Q1 01:07.00</v>
      </c>
      <c r="L2208">
        <v>0.53</v>
      </c>
      <c r="M2208">
        <v>94.04</v>
      </c>
      <c r="N2208">
        <v>50.8</v>
      </c>
      <c r="O2208">
        <v>4</v>
      </c>
      <c r="P2208">
        <v>4</v>
      </c>
    </row>
    <row r="2209" spans="1:16" x14ac:dyDescent="0.25">
      <c r="A2209">
        <v>21900035</v>
      </c>
      <c r="B2209">
        <v>2019</v>
      </c>
      <c r="C2209" t="s">
        <v>32</v>
      </c>
      <c r="D2209" t="s">
        <v>50</v>
      </c>
      <c r="E2209">
        <v>62</v>
      </c>
      <c r="F2209">
        <v>62</v>
      </c>
      <c r="G2209">
        <v>3</v>
      </c>
      <c r="H2209" s="1">
        <v>6.1805555555555555E-3</v>
      </c>
      <c r="I2209" t="s">
        <v>23</v>
      </c>
      <c r="J2209" s="2" t="str">
        <f>HYPERLINK("https://www.nba.com/stats/events?CFID=&amp;CFPARAMS=&amp;GameEventID=425&amp;GameID=0021900035&amp;Season=2019-20&amp;flag=1&amp;title=[LAC]%20Leonard%20layup:%20Made%20(10%20PTS)", "[LAC] Leonard layup: Made (10 PTS)")</f>
        <v>[LAC] Leonard layup: Made (10 PTS)</v>
      </c>
      <c r="K2209" s="2" t="str">
        <f>HYPERLINK("https://www.nba.com/game/...-vs-...-0021900035/play-by-play?watchFullGame=true", "LAC vs PHX - Q3 08:54.00")</f>
        <v>LAC vs PHX - Q3 08:54.00</v>
      </c>
      <c r="L2209">
        <v>1.1000000000000001</v>
      </c>
      <c r="M2209">
        <v>93.91</v>
      </c>
      <c r="N2209">
        <v>50.8</v>
      </c>
      <c r="O2209">
        <v>4</v>
      </c>
      <c r="P2209">
        <v>5</v>
      </c>
    </row>
    <row r="2210" spans="1:16" x14ac:dyDescent="0.25">
      <c r="A2210">
        <v>22300511</v>
      </c>
      <c r="B2210">
        <v>2023</v>
      </c>
      <c r="C2210" t="s">
        <v>32</v>
      </c>
      <c r="D2210" t="s">
        <v>48</v>
      </c>
      <c r="E2210">
        <v>79</v>
      </c>
      <c r="F2210">
        <v>68</v>
      </c>
      <c r="G2210">
        <v>3</v>
      </c>
      <c r="H2210" s="1">
        <v>6.5509259259259262E-3</v>
      </c>
      <c r="I2210" t="s">
        <v>23</v>
      </c>
      <c r="J2210" s="2" t="str">
        <f>HYPERLINK("https://www.nba.com/stats/events?CFID=&amp;CFPARAMS=&amp;GameEventID=328&amp;GameID=0022300511&amp;Season=2023-24&amp;flag=1&amp;title=Leonard%20running%20DUNK%20(13%20PTS)", "Running DUNK (13 PTS)")</f>
        <v>Running DUNK (13 PTS)</v>
      </c>
      <c r="K2210" s="2" t="str">
        <f>HYPERLINK("https://www.nba.com/game/...-vs-...-0022300511/play-by-play?watchFullGame=true", "LAC vs PHX - Q3 09:26.00")</f>
        <v>LAC vs PHX - Q3 09:26.00</v>
      </c>
      <c r="L2210">
        <v>0.61</v>
      </c>
      <c r="M2210">
        <v>6.09</v>
      </c>
      <c r="N2210">
        <v>49.26</v>
      </c>
      <c r="O2210">
        <v>4</v>
      </c>
      <c r="P2210">
        <v>5</v>
      </c>
    </row>
    <row r="2211" spans="1:16" x14ac:dyDescent="0.25">
      <c r="A2211">
        <v>22000224</v>
      </c>
      <c r="B2211">
        <v>2020</v>
      </c>
      <c r="C2211" t="s">
        <v>32</v>
      </c>
      <c r="D2211" t="s">
        <v>48</v>
      </c>
      <c r="E2211">
        <v>18</v>
      </c>
      <c r="F2211">
        <v>19</v>
      </c>
      <c r="G2211">
        <v>1</v>
      </c>
      <c r="H2211" s="1">
        <v>3.0439814814814813E-3</v>
      </c>
      <c r="I2211" t="s">
        <v>23</v>
      </c>
      <c r="J2211" s="2" t="str">
        <f>HYPERLINK("https://www.nba.com/stats/events?CFID=&amp;CFPARAMS=&amp;GameEventID=85&amp;GameID=0022000224&amp;Season=2020-21&amp;flag=1&amp;title=Leonard%20driving%20DUNK%20(6%20PTS)", "Driving DUNK (6 PTS)")</f>
        <v>Driving DUNK (6 PTS)</v>
      </c>
      <c r="K2211" s="2" t="str">
        <f>HYPERLINK("https://www.nba.com/game/...-vs-...-0022000224/play-by-play?watchFullGame=true", "LAC vs SAC - Q1 04:23.00")</f>
        <v>LAC vs SAC - Q1 04:23.00</v>
      </c>
      <c r="L2211">
        <v>0.72</v>
      </c>
      <c r="M2211">
        <v>93.77</v>
      </c>
      <c r="N2211">
        <v>50.8</v>
      </c>
      <c r="O2211">
        <v>4</v>
      </c>
      <c r="P2211">
        <v>6</v>
      </c>
    </row>
    <row r="2212" spans="1:16" x14ac:dyDescent="0.25">
      <c r="A2212">
        <v>41300403</v>
      </c>
      <c r="B2212" t="s">
        <v>26</v>
      </c>
      <c r="C2212" t="s">
        <v>32</v>
      </c>
      <c r="D2212" t="s">
        <v>63</v>
      </c>
      <c r="E2212">
        <v>8</v>
      </c>
      <c r="F2212">
        <v>13</v>
      </c>
      <c r="G2212">
        <v>1</v>
      </c>
      <c r="H2212" s="1">
        <v>6.0648148148148145E-3</v>
      </c>
      <c r="I2212" t="s">
        <v>18</v>
      </c>
      <c r="J2212" s="2" t="str">
        <f>HYPERLINK("https://www.nba.com/stats/events?CFID=&amp;CFPARAMS=&amp;GameEventID=26&amp;GameID=0041300403&amp;Season=2013-14&amp;flag=1&amp;title=Leonard%201'%20Running%20Dunk%20(7%20PTS)%20(Green%201%20AST)", "Leonard 1' Running Dunk (7 PTS) (Green 1 AST)")</f>
        <v>Leonard 1' Running Dunk (7 PTS) (Green 1 AST)</v>
      </c>
      <c r="K2212" s="2" t="str">
        <f>HYPERLINK("https://www.nba.com/game/...-vs-...-0041300403/play-by-play?watchFullGame=true", "SAS vs MIA - Q1 08:44.00")</f>
        <v>SAS vs MIA - Q1 08:44.00</v>
      </c>
      <c r="L2212">
        <v>1</v>
      </c>
      <c r="M2212">
        <v>4</v>
      </c>
      <c r="N2212">
        <v>6</v>
      </c>
      <c r="O2212">
        <v>4</v>
      </c>
      <c r="P2212">
        <v>6</v>
      </c>
    </row>
    <row r="2213" spans="1:16" x14ac:dyDescent="0.25">
      <c r="A2213">
        <v>21300932</v>
      </c>
      <c r="B2213">
        <v>2013</v>
      </c>
      <c r="C2213" t="s">
        <v>32</v>
      </c>
      <c r="D2213" t="s">
        <v>67</v>
      </c>
      <c r="E2213">
        <v>82</v>
      </c>
      <c r="F2213">
        <v>75</v>
      </c>
      <c r="G2213">
        <v>3</v>
      </c>
      <c r="H2213" s="1">
        <v>1.9560185185185184E-3</v>
      </c>
      <c r="I2213" t="s">
        <v>18</v>
      </c>
      <c r="J2213" s="2" t="str">
        <f>HYPERLINK("https://www.nba.com/stats/events?CFID=&amp;CFPARAMS=&amp;GameEventID=352&amp;GameID=0021300932&amp;Season=2013-14&amp;flag=1&amp;title=Leonard%201'%20Driving%20Dunk%20(12%20PTS)", "Leonard 1' Driving Dunk (12 PTS)")</f>
        <v>Leonard 1' Driving Dunk (12 PTS)</v>
      </c>
      <c r="K2213" s="2" t="str">
        <f>HYPERLINK("https://www.nba.com/game/...-vs-...-0021300932/play-by-play?watchFullGame=true", "SAS vs ORL - Q3 02:49.00")</f>
        <v>SAS vs ORL - Q3 02:49.00</v>
      </c>
      <c r="L2213">
        <v>1</v>
      </c>
      <c r="M2213">
        <v>4</v>
      </c>
      <c r="N2213">
        <v>6</v>
      </c>
      <c r="O2213">
        <v>4</v>
      </c>
      <c r="P2213">
        <v>6</v>
      </c>
    </row>
    <row r="2214" spans="1:16" x14ac:dyDescent="0.25">
      <c r="A2214">
        <v>22000509</v>
      </c>
      <c r="B2214">
        <v>2020</v>
      </c>
      <c r="C2214" t="s">
        <v>32</v>
      </c>
      <c r="D2214" t="s">
        <v>48</v>
      </c>
      <c r="E2214">
        <v>17</v>
      </c>
      <c r="F2214">
        <v>17</v>
      </c>
      <c r="G2214">
        <v>1</v>
      </c>
      <c r="H2214" s="1">
        <v>3.3449074074074076E-3</v>
      </c>
      <c r="I2214" t="s">
        <v>23</v>
      </c>
      <c r="J2214" s="2" t="str">
        <f>HYPERLINK("https://www.nba.com/stats/events?CFID=&amp;CFPARAMS=&amp;GameEventID=89&amp;GameID=0022000509&amp;Season=2020-21&amp;flag=1&amp;title=Leonard%20running%20DUNK%20(6%20PTS)", "Running DUNK (6 PTS)")</f>
        <v>Running DUNK (6 PTS)</v>
      </c>
      <c r="K2214" s="2" t="str">
        <f>HYPERLINK("https://www.nba.com/game/...-vs-...-0022000509/play-by-play?watchFullGame=true", "LAC vs MEM - Q1 04:49.00")</f>
        <v>LAC vs MEM - Q1 04:49.00</v>
      </c>
      <c r="L2214">
        <v>0.72</v>
      </c>
      <c r="M2214">
        <v>93.77</v>
      </c>
      <c r="N2214">
        <v>50.8</v>
      </c>
      <c r="O2214">
        <v>4</v>
      </c>
      <c r="P2214">
        <v>6</v>
      </c>
    </row>
    <row r="2215" spans="1:16" x14ac:dyDescent="0.25">
      <c r="A2215">
        <v>41200406</v>
      </c>
      <c r="B2215" t="s">
        <v>27</v>
      </c>
      <c r="C2215" t="s">
        <v>32</v>
      </c>
      <c r="D2215" t="s">
        <v>67</v>
      </c>
      <c r="E2215">
        <v>16</v>
      </c>
      <c r="F2215">
        <v>18</v>
      </c>
      <c r="G2215">
        <v>1</v>
      </c>
      <c r="H2215" s="1">
        <v>4.1203703703703706E-3</v>
      </c>
      <c r="I2215" t="s">
        <v>18</v>
      </c>
      <c r="J2215" s="2" t="str">
        <f>HYPERLINK("https://www.nba.com/stats/events?CFID=&amp;CFPARAMS=&amp;GameEventID=43&amp;GameID=0041200406&amp;Season=2012-13&amp;flag=1&amp;title=Leonard%201'%20Driving%20Dunk%20(8%20PTS)%20(Parker%204%20AST)", "Leonard 1' Driving Dunk (8 PTS) (Parker 4 AST)")</f>
        <v>Leonard 1' Driving Dunk (8 PTS) (Parker 4 AST)</v>
      </c>
      <c r="K2215" s="2" t="str">
        <f>HYPERLINK("https://www.nba.com/game/...-vs-...-0041200406/play-by-play?watchFullGame=true", "SAS vs MIA - Q1 05:56.00")</f>
        <v>SAS vs MIA - Q1 05:56.00</v>
      </c>
      <c r="L2215">
        <v>1</v>
      </c>
      <c r="M2215">
        <v>4</v>
      </c>
      <c r="N2215">
        <v>6</v>
      </c>
      <c r="O2215">
        <v>4</v>
      </c>
      <c r="P2215">
        <v>6</v>
      </c>
    </row>
    <row r="2216" spans="1:16" x14ac:dyDescent="0.25">
      <c r="A2216">
        <v>21400361</v>
      </c>
      <c r="B2216">
        <v>2014</v>
      </c>
      <c r="C2216" t="s">
        <v>32</v>
      </c>
      <c r="D2216" t="s">
        <v>49</v>
      </c>
      <c r="E2216">
        <v>104</v>
      </c>
      <c r="F2216">
        <v>93</v>
      </c>
      <c r="G2216">
        <v>4</v>
      </c>
      <c r="H2216" s="1">
        <v>1.25E-3</v>
      </c>
      <c r="I2216" t="s">
        <v>18</v>
      </c>
      <c r="J2216" s="2" t="str">
        <f>HYPERLINK("https://www.nba.com/stats/events?CFID=&amp;CFPARAMS=&amp;GameEventID=491&amp;GameID=0021400361&amp;Season=2014-15&amp;flag=1&amp;title=Leonard%201'%20Driving%20Layup%20(19%20PTS)", "Leonard 1' Driving Layup (19 PTS)")</f>
        <v>Leonard 1' Driving Layup (19 PTS)</v>
      </c>
      <c r="K2216" s="2" t="str">
        <f>HYPERLINK("https://www.nba.com/game/...-vs-...-0021400361/play-by-play?watchFullGame=true", "SAS vs POR - Q4 01:48.00")</f>
        <v>SAS vs POR - Q4 01:48.00</v>
      </c>
      <c r="L2216">
        <v>1</v>
      </c>
      <c r="M2216">
        <v>4</v>
      </c>
      <c r="N2216">
        <v>7</v>
      </c>
      <c r="O2216">
        <v>4</v>
      </c>
      <c r="P2216">
        <v>7</v>
      </c>
    </row>
    <row r="2217" spans="1:16" x14ac:dyDescent="0.25">
      <c r="A2217">
        <v>21500909</v>
      </c>
      <c r="B2217">
        <v>2015</v>
      </c>
      <c r="C2217" t="s">
        <v>32</v>
      </c>
      <c r="D2217" t="s">
        <v>67</v>
      </c>
      <c r="E2217">
        <v>17</v>
      </c>
      <c r="F2217">
        <v>20</v>
      </c>
      <c r="G2217">
        <v>1</v>
      </c>
      <c r="H2217" s="1">
        <v>2.8587962962962963E-3</v>
      </c>
      <c r="I2217" t="s">
        <v>18</v>
      </c>
      <c r="J2217" s="2" t="str">
        <f>HYPERLINK("https://www.nba.com/stats/events?CFID=&amp;CFPARAMS=&amp;GameEventID=68&amp;GameID=0021500909&amp;Season=2015-16&amp;flag=1&amp;title=Leonard%201'%20Driving%20Dunk%20(9%20PTS)", "Leonard 1' Driving Dunk (9 PTS)")</f>
        <v>Leonard 1' Driving Dunk (9 PTS)</v>
      </c>
      <c r="K2217" s="2" t="str">
        <f>HYPERLINK("https://www.nba.com/game/...-vs-...-0021500909/play-by-play?watchFullGame=true", "SAS vs NOP - Q1 04:07.00")</f>
        <v>SAS vs NOP - Q1 04:07.00</v>
      </c>
      <c r="L2217">
        <v>1</v>
      </c>
      <c r="M2217">
        <v>4</v>
      </c>
      <c r="N2217">
        <v>7</v>
      </c>
      <c r="O2217">
        <v>4</v>
      </c>
      <c r="P2217">
        <v>7</v>
      </c>
    </row>
    <row r="2218" spans="1:16" x14ac:dyDescent="0.25">
      <c r="A2218">
        <v>21901258</v>
      </c>
      <c r="B2218">
        <v>2019</v>
      </c>
      <c r="C2218" t="s">
        <v>32</v>
      </c>
      <c r="D2218" t="s">
        <v>50</v>
      </c>
      <c r="E2218">
        <v>72</v>
      </c>
      <c r="F2218">
        <v>77</v>
      </c>
      <c r="G2218">
        <v>3</v>
      </c>
      <c r="H2218" s="1">
        <v>4.9074074074074072E-3</v>
      </c>
      <c r="I2218" t="s">
        <v>23</v>
      </c>
      <c r="J2218" s="2" t="str">
        <f>HYPERLINK("https://www.nba.com/stats/events?CFID=&amp;CFPARAMS=&amp;GameEventID=363&amp;GameID=0021901258&amp;Season=2019-20&amp;flag=1&amp;title=Leonard%20layup%20(12%20PTS)%20(R.%20Jackson%203%20AST)", "Layup (12 PTS) (R. Jackson 3 AST)")</f>
        <v>Layup (12 PTS) (R. Jackson 3 AST)</v>
      </c>
      <c r="K2218" s="2" t="str">
        <f>HYPERLINK("https://www.nba.com/game/...-vs-...-0021901258/play-by-play?watchFullGame=true", "LAC vs PHX - Q3 07:04.00")</f>
        <v>LAC vs PHX - Q3 07:04.00</v>
      </c>
      <c r="L2218">
        <v>1.34</v>
      </c>
      <c r="M2218">
        <v>93.64</v>
      </c>
      <c r="N2218">
        <v>50.8</v>
      </c>
      <c r="O2218">
        <v>4</v>
      </c>
      <c r="P2218">
        <v>7</v>
      </c>
    </row>
    <row r="2219" spans="1:16" x14ac:dyDescent="0.25">
      <c r="A2219">
        <v>22300235</v>
      </c>
      <c r="B2219">
        <v>2023</v>
      </c>
      <c r="C2219" t="s">
        <v>32</v>
      </c>
      <c r="D2219" t="s">
        <v>48</v>
      </c>
      <c r="E2219">
        <v>50</v>
      </c>
      <c r="F2219">
        <v>56</v>
      </c>
      <c r="G2219">
        <v>3</v>
      </c>
      <c r="H2219" s="1">
        <v>7.6620370370370366E-3</v>
      </c>
      <c r="I2219" t="s">
        <v>23</v>
      </c>
      <c r="J2219" s="2" t="str">
        <f>HYPERLINK("https://www.nba.com/stats/events?CFID=&amp;CFPARAMS=&amp;GameEventID=369&amp;GameID=0022300235&amp;Season=2023-24&amp;flag=1&amp;title=Leonard%20driving%20DUNK%20(11%20PTS)%20(J.%20Harden%203%20AST)", "Driving DUNK (11 PTS) (J. Harden 3 AST)")</f>
        <v>Driving DUNK (11 PTS) (J. Harden 3 AST)</v>
      </c>
      <c r="K2219" s="2" t="str">
        <f>HYPERLINK("https://www.nba.com/game/...-vs-...-0022300235/play-by-play?watchFullGame=true", "LAC vs SAS - Q3 11:02.00")</f>
        <v>LAC vs SAS - Q3 11:02.00</v>
      </c>
      <c r="L2219">
        <v>0.85</v>
      </c>
      <c r="M2219">
        <v>6.39</v>
      </c>
      <c r="N2219">
        <v>49.26</v>
      </c>
      <c r="O2219">
        <v>4</v>
      </c>
      <c r="P2219">
        <v>8</v>
      </c>
    </row>
    <row r="2220" spans="1:16" x14ac:dyDescent="0.25">
      <c r="A2220">
        <v>22400927</v>
      </c>
      <c r="B2220">
        <v>2024</v>
      </c>
      <c r="C2220" t="s">
        <v>32</v>
      </c>
      <c r="D2220" t="s">
        <v>44</v>
      </c>
      <c r="E2220">
        <v>111</v>
      </c>
      <c r="F2220">
        <v>110</v>
      </c>
      <c r="G2220">
        <v>5</v>
      </c>
      <c r="H2220" s="1">
        <v>0</v>
      </c>
      <c r="I2220" t="s">
        <v>23</v>
      </c>
      <c r="J2220" s="2" t="str">
        <f>HYPERLINK("https://www.nba.com/stats/events?CFID=&amp;CFPARAMS=&amp;GameEventID=652&amp;GameID=0022400927&amp;Season=2024-25&amp;flag=1&amp;title=Leonard%20driving%20Hook%20(17%20PTS)", "Driving Hook (17 PTS)")</f>
        <v>Driving Hook (17 PTS)</v>
      </c>
      <c r="K2220" s="2" t="str">
        <f>HYPERLINK("https://www.nba.com/game/...-vs-...-0022400927/play-by-play?watchFullGame=true", "LAC vs SAC - Q5 00:00.00")</f>
        <v>LAC vs SAC - Q5 00:00.00</v>
      </c>
      <c r="L2220">
        <v>0.85</v>
      </c>
      <c r="M2220">
        <v>6.39</v>
      </c>
      <c r="N2220">
        <v>49.26</v>
      </c>
      <c r="O2220">
        <v>4</v>
      </c>
      <c r="P2220">
        <v>8</v>
      </c>
    </row>
    <row r="2221" spans="1:16" x14ac:dyDescent="0.25">
      <c r="A2221">
        <v>22300807</v>
      </c>
      <c r="B2221">
        <v>2023</v>
      </c>
      <c r="C2221" t="s">
        <v>32</v>
      </c>
      <c r="D2221" t="s">
        <v>48</v>
      </c>
      <c r="E2221">
        <v>11</v>
      </c>
      <c r="F2221">
        <v>14</v>
      </c>
      <c r="G2221">
        <v>1</v>
      </c>
      <c r="H2221" s="1">
        <v>6.0185185185185185E-3</v>
      </c>
      <c r="I2221" t="s">
        <v>23</v>
      </c>
      <c r="J2221" s="2" t="str">
        <f>HYPERLINK("https://www.nba.com/stats/events?CFID=&amp;CFPARAMS=&amp;GameEventID=39&amp;GameID=0022300807&amp;Season=2023-24&amp;flag=1&amp;title=Leonard%20running%20DUNK%20(2%20PTS)%20(P.%20George%201%20AST)", "Running DUNK (2 PTS) (P. George 1 AST)")</f>
        <v>Running DUNK (2 PTS) (P. George 1 AST)</v>
      </c>
      <c r="K2221" s="2" t="str">
        <f>HYPERLINK("https://www.nba.com/game/...-vs-...-0022300807/play-by-play?watchFullGame=true", "LAC vs MEM - Q1 08:40.00")</f>
        <v>LAC vs MEM - Q1 08:40.00</v>
      </c>
      <c r="L2221">
        <v>0.85</v>
      </c>
      <c r="M2221">
        <v>6.39</v>
      </c>
      <c r="N2221">
        <v>49.26</v>
      </c>
      <c r="O2221">
        <v>4</v>
      </c>
      <c r="P2221">
        <v>8</v>
      </c>
    </row>
    <row r="2222" spans="1:16" x14ac:dyDescent="0.25">
      <c r="A2222">
        <v>21600037</v>
      </c>
      <c r="B2222">
        <v>2016</v>
      </c>
      <c r="C2222" t="s">
        <v>32</v>
      </c>
      <c r="D2222" t="s">
        <v>75</v>
      </c>
      <c r="E2222">
        <v>52</v>
      </c>
      <c r="F2222">
        <v>64</v>
      </c>
      <c r="G2222">
        <v>3</v>
      </c>
      <c r="H2222" s="1">
        <v>5.7407407407407407E-3</v>
      </c>
      <c r="I2222" t="s">
        <v>18</v>
      </c>
      <c r="J2222" s="2" t="str">
        <f>HYPERLINK("https://www.nba.com/stats/events?CFID=&amp;CFPARAMS=&amp;GameEventID=301&amp;GameID=0021600037&amp;Season=2016-17&amp;flag=1&amp;title=Leonard%201'%20Cutting%20Layup%20Shot%20(11%20PTS)%20(Gasol%203%20AST)", "Leonard 1' Cutting Layup Shot (11 PTS) (Gasol 3 AST)")</f>
        <v>Leonard 1' Cutting Layup Shot (11 PTS) (Gasol 3 AST)</v>
      </c>
      <c r="K2222" s="2" t="str">
        <f>HYPERLINK("https://www.nba.com/game/...-vs-...-0021600037/play-by-play?watchFullGame=true", "SAS vs MIA - Q3 08:16.00")</f>
        <v>SAS vs MIA - Q3 08:16.00</v>
      </c>
      <c r="L2222">
        <v>1</v>
      </c>
      <c r="M2222">
        <v>4</v>
      </c>
      <c r="N2222">
        <v>11</v>
      </c>
      <c r="O2222">
        <v>4</v>
      </c>
      <c r="P2222">
        <v>11</v>
      </c>
    </row>
    <row r="2223" spans="1:16" x14ac:dyDescent="0.25">
      <c r="A2223">
        <v>22200668</v>
      </c>
      <c r="B2223">
        <v>2022</v>
      </c>
      <c r="C2223" t="s">
        <v>32</v>
      </c>
      <c r="D2223" t="s">
        <v>48</v>
      </c>
      <c r="E2223">
        <v>27</v>
      </c>
      <c r="F2223">
        <v>31</v>
      </c>
      <c r="G2223">
        <v>1</v>
      </c>
      <c r="H2223" s="1">
        <v>2.5694444444444446E-4</v>
      </c>
      <c r="I2223" t="s">
        <v>23</v>
      </c>
      <c r="J2223" s="2" t="str">
        <f>HYPERLINK("https://www.nba.com/stats/events?CFID=&amp;CFPARAMS=&amp;GameEventID=142&amp;GameID=0022200668&amp;Season=2022-23&amp;flag=1&amp;title=Leonard%20driving%20DUNK%20(7%20PTS)%20(R.%20Jackson%201%20AST)", "Driving DUNK (7 PTS) (R. Jackson 1 AST)")</f>
        <v>Driving DUNK (7 PTS) (R. Jackson 1 AST)</v>
      </c>
      <c r="K2223" s="2" t="str">
        <f>HYPERLINK("https://www.nba.com/game/...-vs-...-0022200668/play-by-play?watchFullGame=true", "LAC vs PHI - Q1 00:22.20")</f>
        <v>LAC vs PHI - Q1 00:22.20</v>
      </c>
      <c r="L2223">
        <v>1.19</v>
      </c>
      <c r="M2223">
        <v>93.22</v>
      </c>
      <c r="N2223">
        <v>50.74</v>
      </c>
      <c r="O2223">
        <v>4</v>
      </c>
      <c r="P2223">
        <v>11</v>
      </c>
    </row>
    <row r="2224" spans="1:16" x14ac:dyDescent="0.25">
      <c r="A2224">
        <v>22200932</v>
      </c>
      <c r="B2224">
        <v>2022</v>
      </c>
      <c r="C2224" t="s">
        <v>32</v>
      </c>
      <c r="D2224" t="s">
        <v>48</v>
      </c>
      <c r="E2224">
        <v>26</v>
      </c>
      <c r="F2224">
        <v>18</v>
      </c>
      <c r="G2224">
        <v>1</v>
      </c>
      <c r="H2224" s="1">
        <v>2.0717592592592593E-3</v>
      </c>
      <c r="I2224" t="s">
        <v>23</v>
      </c>
      <c r="J2224" s="2" t="str">
        <f>HYPERLINK("https://www.nba.com/stats/events?CFID=&amp;CFPARAMS=&amp;GameEventID=131&amp;GameID=0022200932&amp;Season=2022-23&amp;flag=1&amp;title=Leonard%20cutting%20DUNK%20(8%20PTS)%20(N.%20Powell%201%20AST)", "Cutting DUNK (8 PTS) (N. Powell 1 AST)")</f>
        <v>Cutting DUNK (8 PTS) (N. Powell 1 AST)</v>
      </c>
      <c r="K2224" s="2" t="str">
        <f>HYPERLINK("https://www.nba.com/game/...-vs-...-0022200932/play-by-play?watchFullGame=true", "LAC vs MIN - Q1 02:59.00")</f>
        <v>LAC vs MIN - Q1 02:59.00</v>
      </c>
      <c r="L2224">
        <v>1.19</v>
      </c>
      <c r="M2224">
        <v>93.22</v>
      </c>
      <c r="N2224">
        <v>50.74</v>
      </c>
      <c r="O2224">
        <v>4</v>
      </c>
      <c r="P2224">
        <v>11</v>
      </c>
    </row>
    <row r="2225" spans="1:16" x14ac:dyDescent="0.25">
      <c r="A2225">
        <v>41800216</v>
      </c>
      <c r="B2225" t="s">
        <v>20</v>
      </c>
      <c r="C2225" t="s">
        <v>32</v>
      </c>
      <c r="D2225" t="s">
        <v>67</v>
      </c>
      <c r="E2225">
        <v>95</v>
      </c>
      <c r="F2225">
        <v>75</v>
      </c>
      <c r="G2225">
        <v>4</v>
      </c>
      <c r="H2225" s="1">
        <v>5.1736111111111115E-3</v>
      </c>
      <c r="I2225" t="s">
        <v>21</v>
      </c>
      <c r="J2225" s="2" t="str">
        <f>HYPERLINK("https://www.nba.com/stats/events?CFID=&amp;CFPARAMS=&amp;GameEventID=551&amp;GameID=0041800216&amp;Season=2018-19&amp;flag=1&amp;title=Leonard%201'%20Driving%20Dunk%20(26%20PTS)", "Leonard 1' Driving Dunk (26 PTS)")</f>
        <v>Leonard 1' Driving Dunk (26 PTS)</v>
      </c>
      <c r="K2225" s="2" t="str">
        <f>HYPERLINK("https://www.nba.com/game/...-vs-...-0041800216/play-by-play?watchFullGame=true", "TOR vs PHI - Q4 07:27.00")</f>
        <v>TOR vs PHI - Q4 07:27.00</v>
      </c>
      <c r="L2225">
        <v>1</v>
      </c>
      <c r="M2225">
        <v>4</v>
      </c>
      <c r="N2225">
        <v>11</v>
      </c>
      <c r="O2225">
        <v>4</v>
      </c>
      <c r="P2225">
        <v>11</v>
      </c>
    </row>
    <row r="2226" spans="1:16" x14ac:dyDescent="0.25">
      <c r="A2226">
        <v>41200406</v>
      </c>
      <c r="B2226" t="s">
        <v>27</v>
      </c>
      <c r="C2226" t="s">
        <v>32</v>
      </c>
      <c r="D2226" t="s">
        <v>57</v>
      </c>
      <c r="E2226">
        <v>56</v>
      </c>
      <c r="F2226">
        <v>64</v>
      </c>
      <c r="G2226">
        <v>3</v>
      </c>
      <c r="H2226" s="1">
        <v>3.4027777777777776E-3</v>
      </c>
      <c r="I2226" t="s">
        <v>18</v>
      </c>
      <c r="J2226" s="2" t="str">
        <f>HYPERLINK("https://www.nba.com/stats/events?CFID=&amp;CFPARAMS=&amp;GameEventID=303&amp;GameID=0041200406&amp;Season=2012-13&amp;flag=1&amp;title=Leonard%201'%20Layup%20(12%20PTS)", "Leonard 1' Layup (12 PTS)")</f>
        <v>Leonard 1' Layup (12 PTS)</v>
      </c>
      <c r="K2226" s="2" t="str">
        <f>HYPERLINK("https://www.nba.com/game/...-vs-...-0041200406/play-by-play?watchFullGame=true", "SAS vs MIA - Q3 04:54.00")</f>
        <v>SAS vs MIA - Q3 04:54.00</v>
      </c>
      <c r="L2226">
        <v>1</v>
      </c>
      <c r="M2226">
        <v>4</v>
      </c>
      <c r="N2226">
        <v>12</v>
      </c>
      <c r="O2226">
        <v>4</v>
      </c>
      <c r="P2226">
        <v>12</v>
      </c>
    </row>
    <row r="2227" spans="1:16" x14ac:dyDescent="0.25">
      <c r="A2227">
        <v>21300170</v>
      </c>
      <c r="B2227">
        <v>2013</v>
      </c>
      <c r="C2227" t="s">
        <v>32</v>
      </c>
      <c r="D2227" t="s">
        <v>57</v>
      </c>
      <c r="E2227">
        <v>78</v>
      </c>
      <c r="F2227">
        <v>66</v>
      </c>
      <c r="G2227">
        <v>3</v>
      </c>
      <c r="H2227" s="1">
        <v>5.5324074074074075E-4</v>
      </c>
      <c r="I2227" t="s">
        <v>18</v>
      </c>
      <c r="J2227" s="2" t="str">
        <f>HYPERLINK("https://www.nba.com/stats/events?CFID=&amp;CFPARAMS=&amp;GameEventID=349&amp;GameID=0021300170&amp;Season=2013-14&amp;flag=1&amp;title=Leonard%201'%20Layup%20(16%20PTS)", "Leonard 1' Layup (16 PTS)")</f>
        <v>Leonard 1' Layup (16 PTS)</v>
      </c>
      <c r="K2227" s="2" t="str">
        <f>HYPERLINK("https://www.nba.com/game/...-vs-...-0021300170/play-by-play?watchFullGame=true", "SAS vs BOS - Q3 00:47.80")</f>
        <v>SAS vs BOS - Q3 00:47.80</v>
      </c>
      <c r="L2227">
        <v>1</v>
      </c>
      <c r="M2227">
        <v>4</v>
      </c>
      <c r="N2227">
        <v>12</v>
      </c>
      <c r="O2227">
        <v>4</v>
      </c>
      <c r="P2227">
        <v>12</v>
      </c>
    </row>
    <row r="2228" spans="1:16" x14ac:dyDescent="0.25">
      <c r="A2228">
        <v>21300224</v>
      </c>
      <c r="B2228">
        <v>2013</v>
      </c>
      <c r="C2228" t="s">
        <v>32</v>
      </c>
      <c r="D2228" t="s">
        <v>62</v>
      </c>
      <c r="E2228">
        <v>12</v>
      </c>
      <c r="F2228">
        <v>16</v>
      </c>
      <c r="G2228">
        <v>1</v>
      </c>
      <c r="H2228" s="1">
        <v>2.3032407407407407E-3</v>
      </c>
      <c r="I2228" t="s">
        <v>18</v>
      </c>
      <c r="J2228" s="2" t="str">
        <f>HYPERLINK("https://www.nba.com/stats/events?CFID=&amp;CFPARAMS=&amp;GameEventID=82&amp;GameID=0021300224&amp;Season=2013-14&amp;flag=1&amp;title=Leonard%201'%20Dunk%20(2%20PTS)", "Leonard 1' Dunk (2 PTS)")</f>
        <v>Leonard 1' Dunk (2 PTS)</v>
      </c>
      <c r="K2228" s="2" t="str">
        <f>HYPERLINK("https://www.nba.com/game/...-vs-...-0021300224/play-by-play?watchFullGame=true", "SAS vs OKC - Q1 03:19.00")</f>
        <v>SAS vs OKC - Q1 03:19.00</v>
      </c>
      <c r="L2228">
        <v>1</v>
      </c>
      <c r="M2228">
        <v>4</v>
      </c>
      <c r="N2228">
        <v>12</v>
      </c>
      <c r="O2228">
        <v>4</v>
      </c>
      <c r="P2228">
        <v>12</v>
      </c>
    </row>
    <row r="2229" spans="1:16" x14ac:dyDescent="0.25">
      <c r="A2229">
        <v>41600153</v>
      </c>
      <c r="B2229" t="s">
        <v>30</v>
      </c>
      <c r="C2229" t="s">
        <v>32</v>
      </c>
      <c r="D2229" t="s">
        <v>52</v>
      </c>
      <c r="E2229">
        <v>10</v>
      </c>
      <c r="F2229">
        <v>13</v>
      </c>
      <c r="G2229">
        <v>1</v>
      </c>
      <c r="H2229" s="1">
        <v>3.6342592592592594E-3</v>
      </c>
      <c r="I2229" t="s">
        <v>18</v>
      </c>
      <c r="J2229" s="2" t="str">
        <f>HYPERLINK("https://www.nba.com/stats/events?CFID=&amp;CFPARAMS=&amp;GameEventID=70&amp;GameID=0041600153&amp;Season=2016-17&amp;flag=1&amp;title=Leonard%201'%20Alley%20Oop%20Layup%20(6%20PTS)%20(Gasol%201%20AST)", "Leonard 1' Alley Oop Layup (6 PTS) (Gasol 1 AST)")</f>
        <v>Leonard 1' Alley Oop Layup (6 PTS) (Gasol 1 AST)</v>
      </c>
      <c r="K2229" s="2" t="str">
        <f>HYPERLINK("https://www.nba.com/game/...-vs-...-0041600153/play-by-play?watchFullGame=true", "SAS vs MEM - Q1 05:14.00")</f>
        <v>SAS vs MEM - Q1 05:14.00</v>
      </c>
      <c r="L2229">
        <v>1</v>
      </c>
      <c r="M2229">
        <v>4</v>
      </c>
      <c r="N2229">
        <v>13</v>
      </c>
      <c r="O2229">
        <v>4</v>
      </c>
      <c r="P2229">
        <v>13</v>
      </c>
    </row>
    <row r="2230" spans="1:16" x14ac:dyDescent="0.25">
      <c r="A2230">
        <v>22300325</v>
      </c>
      <c r="B2230">
        <v>2023</v>
      </c>
      <c r="C2230" t="s">
        <v>32</v>
      </c>
      <c r="D2230" t="s">
        <v>48</v>
      </c>
      <c r="E2230">
        <v>55</v>
      </c>
      <c r="F2230">
        <v>42</v>
      </c>
      <c r="G2230">
        <v>2</v>
      </c>
      <c r="H2230" s="1">
        <v>3.7615740740740739E-3</v>
      </c>
      <c r="I2230" t="s">
        <v>23</v>
      </c>
      <c r="J2230" s="2" t="str">
        <f>HYPERLINK("https://www.nba.com/stats/events?CFID=&amp;CFPARAMS=&amp;GameEventID=275&amp;GameID=0022300325&amp;Season=2023-24&amp;flag=1&amp;title=Leonard%20running%20alley-oop%20DUNK%20(14%20PTS)%20(T.%20Mann%201%20AST)", "Running alley-oop DUNK (14 PTS) (T. Mann 1 AST)")</f>
        <v>Running alley-oop DUNK (14 PTS) (T. Mann 1 AST)</v>
      </c>
      <c r="K2230" s="2" t="str">
        <f>HYPERLINK("https://www.nba.com/game/...-vs-...-0022300325/play-by-play?watchFullGame=true", "LAC vs GSW - Q2 05:25.00")</f>
        <v>LAC vs GSW - Q2 05:25.00</v>
      </c>
      <c r="L2230">
        <v>1.39</v>
      </c>
      <c r="M2230">
        <v>7.01</v>
      </c>
      <c r="N2230">
        <v>49.26</v>
      </c>
      <c r="O2230">
        <v>4</v>
      </c>
      <c r="P2230">
        <v>13</v>
      </c>
    </row>
    <row r="2231" spans="1:16" x14ac:dyDescent="0.25">
      <c r="A2231">
        <v>21300932</v>
      </c>
      <c r="B2231">
        <v>2013</v>
      </c>
      <c r="C2231" t="s">
        <v>32</v>
      </c>
      <c r="D2231" t="s">
        <v>62</v>
      </c>
      <c r="E2231">
        <v>116</v>
      </c>
      <c r="F2231">
        <v>104</v>
      </c>
      <c r="G2231">
        <v>4</v>
      </c>
      <c r="H2231" s="1">
        <v>1.5625000000000001E-3</v>
      </c>
      <c r="I2231" t="s">
        <v>18</v>
      </c>
      <c r="J2231" s="2" t="str">
        <f>HYPERLINK("https://www.nba.com/stats/events?CFID=&amp;CFPARAMS=&amp;GameEventID=508&amp;GameID=0021300932&amp;Season=2013-14&amp;flag=1&amp;title=Leonard%201'%20Dunk%20(17%20PTS)", "Leonard 1' Dunk (17 PTS)")</f>
        <v>Leonard 1' Dunk (17 PTS)</v>
      </c>
      <c r="K2231" s="2" t="str">
        <f>HYPERLINK("https://www.nba.com/game/...-vs-...-0021300932/play-by-play?watchFullGame=true", "SAS vs ORL - Q4 02:15.00")</f>
        <v>SAS vs ORL - Q4 02:15.00</v>
      </c>
      <c r="L2231">
        <v>1</v>
      </c>
      <c r="M2231">
        <v>4</v>
      </c>
      <c r="N2231">
        <v>14</v>
      </c>
      <c r="O2231">
        <v>4</v>
      </c>
      <c r="P2231">
        <v>14</v>
      </c>
    </row>
    <row r="2232" spans="1:16" x14ac:dyDescent="0.25">
      <c r="A2232">
        <v>22301215</v>
      </c>
      <c r="B2232">
        <v>2023</v>
      </c>
      <c r="C2232" t="s">
        <v>32</v>
      </c>
      <c r="D2232" t="s">
        <v>48</v>
      </c>
      <c r="E2232">
        <v>99</v>
      </c>
      <c r="F2232">
        <v>93</v>
      </c>
      <c r="G2232">
        <v>4</v>
      </c>
      <c r="H2232" s="1">
        <v>2.5000000000000001E-3</v>
      </c>
      <c r="I2232" t="s">
        <v>23</v>
      </c>
      <c r="J2232" s="2" t="str">
        <f>HYPERLINK("https://www.nba.com/stats/events?CFID=&amp;CFPARAMS=&amp;GameEventID=582&amp;GameID=0022301215&amp;Season=2023-24&amp;flag=1&amp;title=Leonard%20running%20DUNK%20(15%20PTS)%20(J.%20Harden%2011%20AST)", "Running DUNK (15 PTS) (J. Harden 11 AST)")</f>
        <v>Running DUNK (15 PTS) (J. Harden 11 AST)</v>
      </c>
      <c r="K2232" s="2" t="str">
        <f>HYPERLINK("https://www.nba.com/game/...-vs-...-0022301215/play-by-play?watchFullGame=true", "LAC vs DEN - Q4 03:36.00")</f>
        <v>LAC vs DEN - Q4 03:36.00</v>
      </c>
      <c r="L2232">
        <v>1.52</v>
      </c>
      <c r="M2232">
        <v>7.15</v>
      </c>
      <c r="N2232">
        <v>49.26</v>
      </c>
      <c r="O2232">
        <v>4</v>
      </c>
      <c r="P2232">
        <v>15</v>
      </c>
    </row>
    <row r="2233" spans="1:16" x14ac:dyDescent="0.25">
      <c r="A2233">
        <v>21900576</v>
      </c>
      <c r="B2233">
        <v>2019</v>
      </c>
      <c r="C2233" t="s">
        <v>32</v>
      </c>
      <c r="D2233" t="s">
        <v>50</v>
      </c>
      <c r="E2233">
        <v>51</v>
      </c>
      <c r="F2233">
        <v>53</v>
      </c>
      <c r="G2233">
        <v>3</v>
      </c>
      <c r="H2233" s="1">
        <v>7.766203703703704E-3</v>
      </c>
      <c r="I2233" t="s">
        <v>23</v>
      </c>
      <c r="J2233" s="2" t="str">
        <f>HYPERLINK("https://www.nba.com/stats/events?CFID=&amp;CFPARAMS=&amp;GameEventID=355&amp;GameID=0021900576&amp;Season=2019-20&amp;flag=1&amp;title=Leonard%20layup%20(18%20PTS)", "Layup (18 PTS)")</f>
        <v>Layup (18 PTS)</v>
      </c>
      <c r="K2233" s="2" t="str">
        <f>HYPERLINK("https://www.nba.com/game/...-vs-...-0021900576/play-by-play?watchFullGame=true", "LAC vs GSW - Q3 11:11.00")</f>
        <v>LAC vs GSW - Q3 11:11.00</v>
      </c>
      <c r="L2233">
        <v>2.06</v>
      </c>
      <c r="M2233">
        <v>7.15</v>
      </c>
      <c r="N2233">
        <v>49.2</v>
      </c>
      <c r="O2233">
        <v>4</v>
      </c>
      <c r="P2233">
        <v>15</v>
      </c>
    </row>
    <row r="2234" spans="1:16" x14ac:dyDescent="0.25">
      <c r="A2234">
        <v>21600016</v>
      </c>
      <c r="B2234">
        <v>2016</v>
      </c>
      <c r="C2234" t="s">
        <v>32</v>
      </c>
      <c r="D2234" t="s">
        <v>49</v>
      </c>
      <c r="E2234">
        <v>68</v>
      </c>
      <c r="F2234">
        <v>68</v>
      </c>
      <c r="G2234">
        <v>3</v>
      </c>
      <c r="H2234" s="1">
        <v>1.9212962962962964E-3</v>
      </c>
      <c r="I2234" t="s">
        <v>18</v>
      </c>
      <c r="J2234" s="2" t="str">
        <f>HYPERLINK("https://www.nba.com/stats/events?CFID=&amp;CFPARAMS=&amp;GameEventID=373&amp;GameID=0021600016&amp;Season=2016-17&amp;flag=1&amp;title=Leonard%202'%20Driving%20Layup%20(18%20PTS)", "Leonard 2' Driving Layup (18 PTS)")</f>
        <v>Leonard 2' Driving Layup (18 PTS)</v>
      </c>
      <c r="K2234" s="2" t="str">
        <f>HYPERLINK("https://www.nba.com/game/...-vs-...-0021600016/play-by-play?watchFullGame=true", "SAS vs SAC - Q3 02:46.00")</f>
        <v>SAS vs SAC - Q3 02:46.00</v>
      </c>
      <c r="L2234">
        <v>2</v>
      </c>
      <c r="M2234">
        <v>4</v>
      </c>
      <c r="N2234">
        <v>16</v>
      </c>
      <c r="O2234">
        <v>4</v>
      </c>
      <c r="P2234">
        <v>16</v>
      </c>
    </row>
    <row r="2235" spans="1:16" x14ac:dyDescent="0.25">
      <c r="A2235">
        <v>21600925</v>
      </c>
      <c r="B2235">
        <v>2016</v>
      </c>
      <c r="C2235" t="s">
        <v>32</v>
      </c>
      <c r="D2235" t="s">
        <v>49</v>
      </c>
      <c r="E2235">
        <v>47</v>
      </c>
      <c r="F2235">
        <v>57</v>
      </c>
      <c r="G2235">
        <v>3</v>
      </c>
      <c r="H2235" s="1">
        <v>7.4189814814814813E-3</v>
      </c>
      <c r="I2235" t="s">
        <v>18</v>
      </c>
      <c r="J2235" s="2" t="str">
        <f>HYPERLINK("https://www.nba.com/stats/events?CFID=&amp;CFPARAMS=&amp;GameEventID=275&amp;GameID=0021600925&amp;Season=2016-17&amp;flag=1&amp;title=Leonard%202'%20Driving%20Layup%20(12%20PTS)", "Leonard 2' Driving Layup (12 PTS)")</f>
        <v>Leonard 2' Driving Layup (12 PTS)</v>
      </c>
      <c r="K2235" s="2" t="str">
        <f>HYPERLINK("https://www.nba.com/game/...-vs-...-0021600925/play-by-play?watchFullGame=true", "SAS vs MIN - Q3 10:41.00")</f>
        <v>SAS vs MIN - Q3 10:41.00</v>
      </c>
      <c r="L2235">
        <v>2</v>
      </c>
      <c r="M2235">
        <v>4</v>
      </c>
      <c r="N2235">
        <v>16</v>
      </c>
      <c r="O2235">
        <v>4</v>
      </c>
      <c r="P2235">
        <v>16</v>
      </c>
    </row>
    <row r="2236" spans="1:16" x14ac:dyDescent="0.25">
      <c r="A2236">
        <v>22000105</v>
      </c>
      <c r="B2236">
        <v>2020</v>
      </c>
      <c r="C2236" t="s">
        <v>32</v>
      </c>
      <c r="D2236" t="s">
        <v>47</v>
      </c>
      <c r="E2236">
        <v>48</v>
      </c>
      <c r="F2236">
        <v>65</v>
      </c>
      <c r="G2236">
        <v>3</v>
      </c>
      <c r="H2236" s="1">
        <v>7.3263888888888892E-3</v>
      </c>
      <c r="I2236" t="s">
        <v>23</v>
      </c>
      <c r="J2236" s="2" t="str">
        <f>HYPERLINK("https://www.nba.com/stats/events?CFID=&amp;CFPARAMS=&amp;GameEventID=336&amp;GameID=0022000105&amp;Season=2020-21&amp;flag=1&amp;title=Leonard%20driving%20Layup%20(19%20PTS)%20(P.%20Beverley%204%20AST)", "Driving Layup (19 PTS) (P. Beverley 4 AST)")</f>
        <v>Driving Layup (19 PTS) (P. Beverley 4 AST)</v>
      </c>
      <c r="K2236" s="2" t="str">
        <f>HYPERLINK("https://www.nba.com/game/...-vs-...-0022000105/play-by-play?watchFullGame=true", "LAC vs SAS - Q3 10:33.00")</f>
        <v>LAC vs SAS - Q3 10:33.00</v>
      </c>
      <c r="L2236">
        <v>1.64</v>
      </c>
      <c r="M2236">
        <v>92.72</v>
      </c>
      <c r="N2236">
        <v>50.8</v>
      </c>
      <c r="O2236">
        <v>4</v>
      </c>
      <c r="P2236">
        <v>16</v>
      </c>
    </row>
    <row r="2237" spans="1:16" x14ac:dyDescent="0.25">
      <c r="A2237">
        <v>21300032</v>
      </c>
      <c r="B2237">
        <v>2013</v>
      </c>
      <c r="C2237" t="s">
        <v>32</v>
      </c>
      <c r="D2237" t="s">
        <v>57</v>
      </c>
      <c r="E2237">
        <v>50</v>
      </c>
      <c r="F2237">
        <v>50</v>
      </c>
      <c r="G2237">
        <v>3</v>
      </c>
      <c r="H2237" s="1">
        <v>6.2731481481481484E-3</v>
      </c>
      <c r="I2237" t="s">
        <v>18</v>
      </c>
      <c r="J2237" s="2" t="str">
        <f>HYPERLINK("https://www.nba.com/stats/events?CFID=&amp;CFPARAMS=&amp;GameEventID=304&amp;GameID=0021300032&amp;Season=2013-14&amp;flag=1&amp;title=Leonard%202'%20Layup%20(11%20PTS)", "Leonard 2' Layup (11 PTS)")</f>
        <v>Leonard 2' Layup (11 PTS)</v>
      </c>
      <c r="K2237" s="2" t="str">
        <f>HYPERLINK("https://www.nba.com/game/...-vs-...-0021300032/play-by-play?watchFullGame=true", "SAS vs LAL - Q3 09:02.00")</f>
        <v>SAS vs LAL - Q3 09:02.00</v>
      </c>
      <c r="L2237">
        <v>2</v>
      </c>
      <c r="M2237">
        <v>4</v>
      </c>
      <c r="N2237">
        <v>17</v>
      </c>
      <c r="O2237">
        <v>4</v>
      </c>
      <c r="P2237">
        <v>17</v>
      </c>
    </row>
    <row r="2238" spans="1:16" x14ac:dyDescent="0.25">
      <c r="A2238">
        <v>22400927</v>
      </c>
      <c r="B2238">
        <v>2024</v>
      </c>
      <c r="C2238" t="s">
        <v>32</v>
      </c>
      <c r="D2238" t="s">
        <v>47</v>
      </c>
      <c r="E2238">
        <v>22</v>
      </c>
      <c r="F2238">
        <v>23</v>
      </c>
      <c r="G2238">
        <v>2</v>
      </c>
      <c r="H2238" s="1">
        <v>8.0787037037037043E-3</v>
      </c>
      <c r="I2238" t="s">
        <v>23</v>
      </c>
      <c r="J2238" s="2" t="str">
        <f>HYPERLINK("https://www.nba.com/stats/events?CFID=&amp;CFPARAMS=&amp;GameEventID=141&amp;GameID=0022400927&amp;Season=2024-25&amp;flag=1&amp;title=Leonard%20driving%20Layup%20(5%20PTS)%20(B.%20Bogdanovic%201%20AST)", "Driving Layup (5 PTS) (B. Bogdanovic 1 AST)")</f>
        <v>Driving Layup (5 PTS) (B. Bogdanovic 1 AST)</v>
      </c>
      <c r="K2238" s="2" t="str">
        <f>HYPERLINK("https://www.nba.com/game/...-vs-...-0022400927/play-by-play?watchFullGame=true", "LAC vs SAC - Q2 11:38.00")</f>
        <v>LAC vs SAC - Q2 11:38.00</v>
      </c>
      <c r="L2238">
        <v>1.99</v>
      </c>
      <c r="M2238">
        <v>92.33</v>
      </c>
      <c r="N2238">
        <v>50.74</v>
      </c>
      <c r="O2238">
        <v>4</v>
      </c>
      <c r="P2238">
        <v>20</v>
      </c>
    </row>
    <row r="2239" spans="1:16" x14ac:dyDescent="0.25">
      <c r="A2239">
        <v>22000520</v>
      </c>
      <c r="B2239">
        <v>2020</v>
      </c>
      <c r="C2239" t="s">
        <v>32</v>
      </c>
      <c r="D2239" t="s">
        <v>44</v>
      </c>
      <c r="E2239">
        <v>15</v>
      </c>
      <c r="F2239">
        <v>13</v>
      </c>
      <c r="G2239">
        <v>1</v>
      </c>
      <c r="H2239" s="1">
        <v>3.9236111111111112E-3</v>
      </c>
      <c r="I2239" t="s">
        <v>23</v>
      </c>
      <c r="J2239" s="2" t="str">
        <f>HYPERLINK("https://www.nba.com/stats/events?CFID=&amp;CFPARAMS=&amp;GameEventID=62&amp;GameID=0022000520&amp;Season=2020-21&amp;flag=1&amp;title=Leonard%20driving%20Hook%20(5%20PTS)", "Driving Hook (5 PTS)")</f>
        <v>Driving Hook (5 PTS)</v>
      </c>
      <c r="K2239" s="2" t="str">
        <f>HYPERLINK("https://www.nba.com/game/...-vs-...-0022000520/play-by-play?watchFullGame=true", "LAC vs MIL - Q1 05:39.00")</f>
        <v>LAC vs MIL - Q1 05:39.00</v>
      </c>
      <c r="L2239">
        <v>2.12</v>
      </c>
      <c r="M2239">
        <v>92.2</v>
      </c>
      <c r="N2239">
        <v>50.8</v>
      </c>
      <c r="O2239">
        <v>4</v>
      </c>
      <c r="P2239">
        <v>21</v>
      </c>
    </row>
    <row r="2240" spans="1:16" x14ac:dyDescent="0.25">
      <c r="A2240">
        <v>22300223</v>
      </c>
      <c r="B2240">
        <v>2023</v>
      </c>
      <c r="C2240" t="s">
        <v>32</v>
      </c>
      <c r="D2240" t="s">
        <v>47</v>
      </c>
      <c r="E2240">
        <v>64</v>
      </c>
      <c r="F2240">
        <v>81</v>
      </c>
      <c r="G2240">
        <v>3</v>
      </c>
      <c r="H2240" s="1">
        <v>3.8310185185185183E-3</v>
      </c>
      <c r="I2240" t="s">
        <v>23</v>
      </c>
      <c r="J2240" s="2" t="str">
        <f>HYPERLINK("https://www.nba.com/stats/events?CFID=&amp;CFPARAMS=&amp;GameEventID=381&amp;GameID=0022300223&amp;Season=2023-24&amp;flag=1&amp;title=Leonard%20Layup%20(18%20PTS)%20(J.%20Harden%208%20AST)", "Layup (18 PTS) (J. Harden 8 AST)")</f>
        <v>Layup (18 PTS) (J. Harden 8 AST)</v>
      </c>
      <c r="K2240" s="2" t="str">
        <f>HYPERLINK("https://www.nba.com/game/...-vs-...-0022300223/play-by-play?watchFullGame=true", "LAC vs SAS - Q3 05:31.00")</f>
        <v>LAC vs SAS - Q3 05:31.00</v>
      </c>
      <c r="L2240">
        <v>2.14</v>
      </c>
      <c r="M2240">
        <v>7.84</v>
      </c>
      <c r="N2240">
        <v>49.26</v>
      </c>
      <c r="O2240">
        <v>4</v>
      </c>
      <c r="P2240">
        <v>21</v>
      </c>
    </row>
    <row r="2241" spans="1:16" x14ac:dyDescent="0.25">
      <c r="A2241">
        <v>21600834</v>
      </c>
      <c r="B2241">
        <v>2016</v>
      </c>
      <c r="C2241" t="s">
        <v>32</v>
      </c>
      <c r="D2241" t="s">
        <v>59</v>
      </c>
      <c r="E2241">
        <v>6</v>
      </c>
      <c r="F2241">
        <v>10</v>
      </c>
      <c r="G2241">
        <v>1</v>
      </c>
      <c r="H2241" s="1">
        <v>4.5601851851851853E-3</v>
      </c>
      <c r="I2241" t="s">
        <v>18</v>
      </c>
      <c r="J2241" s="2" t="str">
        <f>HYPERLINK("https://www.nba.com/stats/events?CFID=&amp;CFPARAMS=&amp;GameEventID=36&amp;GameID=0021600834&amp;Season=2016-17&amp;flag=1&amp;title=Leonard%202'%20Putback%20Layup%20(2%20PTS)", "Leonard 2' Putback Layup (2 PTS)")</f>
        <v>Leonard 2' Putback Layup (2 PTS)</v>
      </c>
      <c r="K2241" s="2" t="str">
        <f>HYPERLINK("https://www.nba.com/game/...-vs-...-0021600834/play-by-play?watchFullGame=true", "SAS vs ORL - Q1 06:34.00")</f>
        <v>SAS vs ORL - Q1 06:34.00</v>
      </c>
      <c r="L2241">
        <v>2</v>
      </c>
      <c r="M2241">
        <v>4</v>
      </c>
      <c r="N2241">
        <v>21</v>
      </c>
      <c r="O2241">
        <v>4</v>
      </c>
      <c r="P2241">
        <v>21</v>
      </c>
    </row>
    <row r="2242" spans="1:16" x14ac:dyDescent="0.25">
      <c r="A2242">
        <v>21501001</v>
      </c>
      <c r="B2242">
        <v>2015</v>
      </c>
      <c r="C2242" t="s">
        <v>32</v>
      </c>
      <c r="D2242" t="s">
        <v>61</v>
      </c>
      <c r="E2242">
        <v>48</v>
      </c>
      <c r="F2242">
        <v>41</v>
      </c>
      <c r="G2242">
        <v>2</v>
      </c>
      <c r="H2242" s="1">
        <v>2.8472222222222223E-4</v>
      </c>
      <c r="I2242" t="s">
        <v>18</v>
      </c>
      <c r="J2242" s="2" t="str">
        <f>HYPERLINK("https://www.nba.com/stats/events?CFID=&amp;CFPARAMS=&amp;GameEventID=231&amp;GameID=0021501001&amp;Season=2015-16&amp;flag=1&amp;title=Leonard%203'%20Driving%20Finger%20Roll%20Layup%20(14%20PTS)%20(Mills%201%20AST)", "Leonard 3' Driving Finger Roll Layup (14 PTS) (Mills 1 AST)")</f>
        <v>Leonard 3' Driving Finger Roll Layup (14 PTS) (Mills 1 AST)</v>
      </c>
      <c r="K2242" s="2" t="str">
        <f>HYPERLINK("https://www.nba.com/game/...-vs-...-0021501001/play-by-play?watchFullGame=true", "SAS vs LAC - Q2 00:24.60")</f>
        <v>SAS vs LAC - Q2 00:24.60</v>
      </c>
      <c r="L2242">
        <v>3</v>
      </c>
      <c r="M2242">
        <v>4</v>
      </c>
      <c r="N2242">
        <v>26</v>
      </c>
      <c r="O2242">
        <v>4</v>
      </c>
      <c r="P2242">
        <v>26</v>
      </c>
    </row>
    <row r="2243" spans="1:16" x14ac:dyDescent="0.25">
      <c r="A2243">
        <v>21600625</v>
      </c>
      <c r="B2243">
        <v>2016</v>
      </c>
      <c r="C2243" t="s">
        <v>32</v>
      </c>
      <c r="D2243" t="s">
        <v>40</v>
      </c>
      <c r="E2243">
        <v>61</v>
      </c>
      <c r="F2243">
        <v>65</v>
      </c>
      <c r="G2243">
        <v>2</v>
      </c>
      <c r="H2243" s="1">
        <v>9.6064814814814819E-4</v>
      </c>
      <c r="I2243" t="s">
        <v>18</v>
      </c>
      <c r="J2243" s="2" t="str">
        <f>HYPERLINK("https://www.nba.com/stats/events?CFID=&amp;CFPARAMS=&amp;GameEventID=283&amp;GameID=0021600625&amp;Season=2016-17&amp;flag=1&amp;title=Leonard%204'%20Hook%20Shot%20(13%20PTS)", "Leonard 4' Hook Shot (13 PTS)")</f>
        <v>Leonard 4' Hook Shot (13 PTS)</v>
      </c>
      <c r="K2243" s="2" t="str">
        <f>HYPERLINK("https://www.nba.com/game/...-vs-...-0021600625/play-by-play?watchFullGame=true", "SAS vs MIN - Q2 01:23.00")</f>
        <v>SAS vs MIN - Q2 01:23.00</v>
      </c>
      <c r="L2243">
        <v>4</v>
      </c>
      <c r="M2243">
        <v>4</v>
      </c>
      <c r="N2243">
        <v>41</v>
      </c>
      <c r="O2243">
        <v>4</v>
      </c>
      <c r="P2243">
        <v>41</v>
      </c>
    </row>
    <row r="2244" spans="1:16" x14ac:dyDescent="0.25">
      <c r="A2244">
        <v>22301043</v>
      </c>
      <c r="B2244">
        <v>2023</v>
      </c>
      <c r="C2244" t="s">
        <v>32</v>
      </c>
      <c r="D2244" t="s">
        <v>19</v>
      </c>
      <c r="E2244">
        <v>66</v>
      </c>
      <c r="F2244">
        <v>73</v>
      </c>
      <c r="G2244">
        <v>3</v>
      </c>
      <c r="H2244" s="1">
        <v>7.1759259259259259E-3</v>
      </c>
      <c r="I2244" t="s">
        <v>23</v>
      </c>
      <c r="J2244" s="2" t="str">
        <f>HYPERLINK("https://www.nba.com/stats/events?CFID=&amp;CFPARAMS=&amp;GameEventID=316&amp;GameID=0022301043&amp;Season=2023-24&amp;flag=1&amp;title=Leonard%20fadeaway%20Jump%20Shot%20(17%20PTS)", "Fadeaway Jump Shot (17 PTS)")</f>
        <v>Fadeaway Jump Shot (17 PTS)</v>
      </c>
      <c r="K2244" s="2" t="str">
        <f>HYPERLINK("https://www.nba.com/game/...-vs-...-0022301043/play-by-play?watchFullGame=true", "LAC vs IND - Q3 10:20.00")</f>
        <v>LAC vs IND - Q3 10:20.00</v>
      </c>
      <c r="L2244">
        <v>4.3600000000000003</v>
      </c>
      <c r="M2244">
        <v>89.8</v>
      </c>
      <c r="N2244">
        <v>50.74</v>
      </c>
      <c r="O2244">
        <v>4</v>
      </c>
      <c r="P2244">
        <v>43</v>
      </c>
    </row>
    <row r="2245" spans="1:16" x14ac:dyDescent="0.25">
      <c r="A2245">
        <v>41300224</v>
      </c>
      <c r="B2245" t="s">
        <v>26</v>
      </c>
      <c r="C2245" t="s">
        <v>32</v>
      </c>
      <c r="D2245" t="s">
        <v>42</v>
      </c>
      <c r="E2245">
        <v>16</v>
      </c>
      <c r="F2245">
        <v>14</v>
      </c>
      <c r="G2245">
        <v>1</v>
      </c>
      <c r="H2245" s="1">
        <v>4.1435185185185186E-3</v>
      </c>
      <c r="I2245" t="s">
        <v>18</v>
      </c>
      <c r="J2245" s="2" t="str">
        <f>HYPERLINK("https://www.nba.com/stats/events?CFID=&amp;CFPARAMS=&amp;GameEventID=43&amp;GameID=0041300224&amp;Season=2013-14&amp;flag=1&amp;title=Leonard%205'%20Driving%20Jump%20Shot%20(4%20PTS)", "Leonard 5' Driving Jump Shot (4 PTS)")</f>
        <v>Leonard 5' Driving Jump Shot (4 PTS)</v>
      </c>
      <c r="K2245" s="2" t="str">
        <f>HYPERLINK("https://www.nba.com/game/...-vs-...-0041300224/play-by-play?watchFullGame=true", "SAS vs POR - Q1 05:58.00")</f>
        <v>SAS vs POR - Q1 05:58.00</v>
      </c>
      <c r="L2245">
        <v>5</v>
      </c>
      <c r="M2245">
        <v>4</v>
      </c>
      <c r="N2245">
        <v>45</v>
      </c>
      <c r="O2245">
        <v>4</v>
      </c>
      <c r="P2245">
        <v>45</v>
      </c>
    </row>
    <row r="2246" spans="1:16" x14ac:dyDescent="0.25">
      <c r="A2246">
        <v>21500416</v>
      </c>
      <c r="B2246">
        <v>2015</v>
      </c>
      <c r="C2246" t="s">
        <v>32</v>
      </c>
      <c r="D2246" t="s">
        <v>70</v>
      </c>
      <c r="E2246">
        <v>54</v>
      </c>
      <c r="F2246">
        <v>55</v>
      </c>
      <c r="G2246">
        <v>3</v>
      </c>
      <c r="H2246" s="1">
        <v>6.5740740740740742E-3</v>
      </c>
      <c r="I2246" t="s">
        <v>18</v>
      </c>
      <c r="J2246" s="2" t="str">
        <f>HYPERLINK("https://www.nba.com/stats/events?CFID=&amp;CFPARAMS=&amp;GameEventID=257&amp;GameID=0021500416&amp;Season=2015-16&amp;flag=1&amp;title=Leonard%205'%20Driving%20Hook%20Shot%20(14%20PTS)%20(Aldridge%201%20AST)", "Leonard 5' Driving Hook Shot (14 PTS) (Aldridge 1 AST)")</f>
        <v>Leonard 5' Driving Hook Shot (14 PTS) (Aldridge 1 AST)</v>
      </c>
      <c r="K2246" s="2" t="str">
        <f>HYPERLINK("https://www.nba.com/game/...-vs-...-0021500416/play-by-play?watchFullGame=true", "SAS vs IND - Q3 09:28.00")</f>
        <v>SAS vs IND - Q3 09:28.00</v>
      </c>
      <c r="L2246">
        <v>5</v>
      </c>
      <c r="M2246">
        <v>4</v>
      </c>
      <c r="N2246">
        <v>46</v>
      </c>
      <c r="O2246">
        <v>4</v>
      </c>
      <c r="P2246">
        <v>46</v>
      </c>
    </row>
    <row r="2247" spans="1:16" x14ac:dyDescent="0.25">
      <c r="A2247">
        <v>22300618</v>
      </c>
      <c r="B2247">
        <v>2023</v>
      </c>
      <c r="C2247" t="s">
        <v>32</v>
      </c>
      <c r="D2247" t="s">
        <v>19</v>
      </c>
      <c r="E2247">
        <v>70</v>
      </c>
      <c r="F2247">
        <v>57</v>
      </c>
      <c r="G2247">
        <v>2</v>
      </c>
      <c r="H2247" s="1">
        <v>1.0648148148148149E-3</v>
      </c>
      <c r="I2247" t="s">
        <v>23</v>
      </c>
      <c r="J2247" s="2" t="str">
        <f>HYPERLINK("https://www.nba.com/stats/events?CFID=&amp;CFPARAMS=&amp;GameEventID=292&amp;GameID=0022300618&amp;Season=2023-24&amp;flag=1&amp;title=Leonard%20floating%20Jump%20Shot%20(14%20PTS)", "Floating Jump Shot (14 PTS)")</f>
        <v>Floating Jump Shot (14 PTS)</v>
      </c>
      <c r="K2247" s="2" t="str">
        <f>HYPERLINK("https://www.nba.com/game/...-vs-...-0022300618/play-by-play?watchFullGame=true", "LAC vs LAL - Q2 01:32.00")</f>
        <v>LAC vs LAL - Q2 01:32.00</v>
      </c>
      <c r="L2247">
        <v>4.84</v>
      </c>
      <c r="M2247">
        <v>89.27</v>
      </c>
      <c r="N2247">
        <v>50.74</v>
      </c>
      <c r="O2247">
        <v>4</v>
      </c>
      <c r="P2247">
        <v>48</v>
      </c>
    </row>
    <row r="2248" spans="1:16" x14ac:dyDescent="0.25">
      <c r="A2248">
        <v>41300144</v>
      </c>
      <c r="B2248" t="s">
        <v>26</v>
      </c>
      <c r="C2248" t="s">
        <v>32</v>
      </c>
      <c r="D2248" t="s">
        <v>45</v>
      </c>
      <c r="E2248">
        <v>36</v>
      </c>
      <c r="F2248">
        <v>54</v>
      </c>
      <c r="G2248">
        <v>3</v>
      </c>
      <c r="H2248" s="1">
        <v>7.4768518518518517E-3</v>
      </c>
      <c r="I2248" t="s">
        <v>18</v>
      </c>
      <c r="J2248" s="2" t="str">
        <f>HYPERLINK("https://www.nba.com/stats/events?CFID=&amp;CFPARAMS=&amp;GameEventID=278&amp;GameID=0041300144&amp;Season=2013-14&amp;flag=1&amp;title=Leonard%206'%20Jump%20Hook%20Shot%20(6%20PTS)", "Leonard 6' Jump Hook Shot (6 PTS)")</f>
        <v>Leonard 6' Jump Hook Shot (6 PTS)</v>
      </c>
      <c r="K2248" s="2" t="str">
        <f>HYPERLINK("https://www.nba.com/game/...-vs-...-0041300144/play-by-play?watchFullGame=true", "SAS vs DAL - Q3 10:46.00")</f>
        <v>SAS vs DAL - Q3 10:46.00</v>
      </c>
      <c r="L2248">
        <v>6</v>
      </c>
      <c r="M2248">
        <v>4</v>
      </c>
      <c r="N2248">
        <v>55</v>
      </c>
      <c r="O2248">
        <v>4</v>
      </c>
      <c r="P2248">
        <v>55</v>
      </c>
    </row>
    <row r="2249" spans="1:16" x14ac:dyDescent="0.25">
      <c r="A2249">
        <v>21600657</v>
      </c>
      <c r="B2249">
        <v>2016</v>
      </c>
      <c r="C2249" t="s">
        <v>32</v>
      </c>
      <c r="D2249" t="s">
        <v>40</v>
      </c>
      <c r="E2249">
        <v>58</v>
      </c>
      <c r="F2249">
        <v>59</v>
      </c>
      <c r="G2249">
        <v>3</v>
      </c>
      <c r="H2249" s="1">
        <v>8.1712962962962963E-3</v>
      </c>
      <c r="I2249" t="s">
        <v>18</v>
      </c>
      <c r="J2249" s="2" t="str">
        <f>HYPERLINK("https://www.nba.com/stats/events?CFID=&amp;CFPARAMS=&amp;GameEventID=246&amp;GameID=0021600657&amp;Season=2016-17&amp;flag=1&amp;title=Leonard%206'%20Hook%20Shot%20(16%20PTS)%20(Green%201%20AST)", "Leonard 6' Hook Shot (16 PTS) (Green 1 AST)")</f>
        <v>Leonard 6' Hook Shot (16 PTS) (Green 1 AST)</v>
      </c>
      <c r="K2249" s="2" t="str">
        <f>HYPERLINK("https://www.nba.com/game/...-vs-...-0021600657/play-by-play?watchFullGame=true", "SAS vs CLE - Q3 11:46.00")</f>
        <v>SAS vs CLE - Q3 11:46.00</v>
      </c>
      <c r="L2249">
        <v>6</v>
      </c>
      <c r="M2249">
        <v>4</v>
      </c>
      <c r="N2249">
        <v>56</v>
      </c>
      <c r="O2249">
        <v>4</v>
      </c>
      <c r="P2249">
        <v>56</v>
      </c>
    </row>
    <row r="2250" spans="1:16" x14ac:dyDescent="0.25">
      <c r="A2250">
        <v>22300014</v>
      </c>
      <c r="B2250">
        <v>2023</v>
      </c>
      <c r="C2250" t="s">
        <v>32</v>
      </c>
      <c r="D2250" t="s">
        <v>19</v>
      </c>
      <c r="E2250">
        <v>0</v>
      </c>
      <c r="F2250">
        <v>2</v>
      </c>
      <c r="G2250">
        <v>1</v>
      </c>
      <c r="H2250" s="1">
        <v>7.905092592592592E-3</v>
      </c>
      <c r="I2250" t="s">
        <v>23</v>
      </c>
      <c r="J2250" s="2" t="str">
        <f>HYPERLINK("https://www.nba.com/stats/events?CFID=&amp;CFPARAMS=&amp;GameEventID=9&amp;GameID=0022300014&amp;Season=2023-24&amp;flag=1&amp;title=Leonard%206'%20turnaround%20Jump%20Shot%20(2%20PTS)%20(J.%20Harden%201%20AST)", "6' turnaround Jump Shot (2 PTS) (J. Harden 1 AST)")</f>
        <v>6' turnaround Jump Shot (2 PTS) (J. Harden 1 AST)</v>
      </c>
      <c r="K2250" s="2" t="str">
        <f>HYPERLINK("https://www.nba.com/game/...-vs-...-0022300014/play-by-play?watchFullGame=true", "LAC vs DAL - Q1 11:23.00")</f>
        <v>LAC vs DAL - Q1 11:23.00</v>
      </c>
      <c r="L2250">
        <v>6.66</v>
      </c>
      <c r="M2250">
        <v>87.34</v>
      </c>
      <c r="N2250">
        <v>50.74</v>
      </c>
      <c r="O2250">
        <v>4</v>
      </c>
      <c r="P2250">
        <v>67</v>
      </c>
    </row>
    <row r="2251" spans="1:16" x14ac:dyDescent="0.25">
      <c r="A2251">
        <v>22000720</v>
      </c>
      <c r="B2251">
        <v>2020</v>
      </c>
      <c r="C2251" t="s">
        <v>32</v>
      </c>
      <c r="D2251" t="s">
        <v>19</v>
      </c>
      <c r="E2251">
        <v>85</v>
      </c>
      <c r="F2251">
        <v>78</v>
      </c>
      <c r="G2251">
        <v>4</v>
      </c>
      <c r="H2251" s="1">
        <v>3.6689814814814814E-3</v>
      </c>
      <c r="I2251" t="s">
        <v>23</v>
      </c>
      <c r="J2251" s="2" t="str">
        <f>HYPERLINK("https://www.nba.com/stats/events?CFID=&amp;CFPARAMS=&amp;GameEventID=529&amp;GameID=0022000720&amp;Season=2020-21&amp;flag=1&amp;title=Leonard%207'%20driving%20floating%20Jump%20Shot%20(25%20PTS)%20(T.%20Mann%206%20AST)", "7' driving floating Jump Shot (25 PTS) (T. Mann 6 AST)")</f>
        <v>7' driving floating Jump Shot (25 PTS) (T. Mann 6 AST)</v>
      </c>
      <c r="K2251" s="2" t="str">
        <f>HYPERLINK("https://www.nba.com/game/...-vs-...-0022000720/play-by-play?watchFullGame=true", "LAC vs ORL - Q4 05:17.00")</f>
        <v>LAC vs ORL - Q4 05:17.00</v>
      </c>
      <c r="L2251">
        <v>7.28</v>
      </c>
      <c r="M2251">
        <v>86.68</v>
      </c>
      <c r="N2251">
        <v>50.8</v>
      </c>
      <c r="O2251">
        <v>4</v>
      </c>
      <c r="P2251">
        <v>73</v>
      </c>
    </row>
    <row r="2252" spans="1:16" x14ac:dyDescent="0.25">
      <c r="A2252">
        <v>41600232</v>
      </c>
      <c r="B2252" t="s">
        <v>30</v>
      </c>
      <c r="C2252" t="s">
        <v>32</v>
      </c>
      <c r="D2252" t="s">
        <v>29</v>
      </c>
      <c r="E2252">
        <v>56</v>
      </c>
      <c r="F2252">
        <v>48</v>
      </c>
      <c r="G2252">
        <v>2</v>
      </c>
      <c r="H2252" s="1">
        <v>2.8124999999999999E-3</v>
      </c>
      <c r="I2252" t="s">
        <v>18</v>
      </c>
      <c r="J2252" s="2" t="str">
        <f>HYPERLINK("https://www.nba.com/stats/events?CFID=&amp;CFPARAMS=&amp;GameEventID=169&amp;GameID=0041600232&amp;Season=2016-17&amp;flag=1&amp;title=Leonard%209'%20Pullup%20Jump%20Shot%20(16%20PTS)", "Leonard 9' Pullup Jump Shot (16 PTS)")</f>
        <v>Leonard 9' Pullup Jump Shot (16 PTS)</v>
      </c>
      <c r="K2252" s="2" t="str">
        <f>HYPERLINK("https://www.nba.com/game/...-vs-...-0041600232/play-by-play?watchFullGame=true", "SAS vs HOU - Q2 04:03.00")</f>
        <v>SAS vs HOU - Q2 04:03.00</v>
      </c>
      <c r="L2252">
        <v>9</v>
      </c>
      <c r="M2252">
        <v>4</v>
      </c>
      <c r="N2252">
        <v>85</v>
      </c>
      <c r="O2252">
        <v>4</v>
      </c>
      <c r="P2252">
        <v>85</v>
      </c>
    </row>
    <row r="2253" spans="1:16" x14ac:dyDescent="0.25">
      <c r="A2253">
        <v>21501140</v>
      </c>
      <c r="B2253">
        <v>2015</v>
      </c>
      <c r="C2253" t="s">
        <v>32</v>
      </c>
      <c r="D2253" t="s">
        <v>29</v>
      </c>
      <c r="E2253">
        <v>92</v>
      </c>
      <c r="F2253">
        <v>84</v>
      </c>
      <c r="G2253">
        <v>4</v>
      </c>
      <c r="H2253" s="1">
        <v>7.6388888888888893E-4</v>
      </c>
      <c r="I2253" t="s">
        <v>18</v>
      </c>
      <c r="J2253" s="2" t="str">
        <f>HYPERLINK("https://www.nba.com/stats/events?CFID=&amp;CFPARAMS=&amp;GameEventID=432&amp;GameID=0021501140&amp;Season=2015-16&amp;flag=1&amp;title=Leonard%2010'%20Pullup%20Jump%20Shot%20(27%20PTS)", "Leonard 10' Pullup Jump Shot (27 PTS)")</f>
        <v>Leonard 10' Pullup Jump Shot (27 PTS)</v>
      </c>
      <c r="K2253" s="2" t="str">
        <f>HYPERLINK("https://www.nba.com/game/...-vs-...-0021501140/play-by-play?watchFullGame=true", "SAS vs TOR - Q4 01:06.00")</f>
        <v>SAS vs TOR - Q4 01:06.00</v>
      </c>
      <c r="L2253">
        <v>10</v>
      </c>
      <c r="M2253">
        <v>4</v>
      </c>
      <c r="N2253">
        <v>95</v>
      </c>
      <c r="O2253">
        <v>4</v>
      </c>
      <c r="P2253">
        <v>95</v>
      </c>
    </row>
    <row r="2254" spans="1:16" x14ac:dyDescent="0.25">
      <c r="A2254">
        <v>22300537</v>
      </c>
      <c r="B2254">
        <v>2023</v>
      </c>
      <c r="C2254" t="s">
        <v>32</v>
      </c>
      <c r="D2254" t="s">
        <v>19</v>
      </c>
      <c r="E2254">
        <v>63</v>
      </c>
      <c r="F2254">
        <v>79</v>
      </c>
      <c r="G2254">
        <v>3</v>
      </c>
      <c r="H2254" s="1">
        <v>5.6249999999999998E-3</v>
      </c>
      <c r="I2254" t="s">
        <v>23</v>
      </c>
      <c r="J2254" s="2" t="str">
        <f>HYPERLINK("https://www.nba.com/stats/events?CFID=&amp;CFPARAMS=&amp;GameEventID=354&amp;GameID=0022300537&amp;Season=2023-24&amp;flag=1&amp;title=Leonard%209'%20pullup%20Jump%20Shot%20(15%20PTS)", "9' pullup Jump Shot (15 PTS)")</f>
        <v>9' pullup Jump Shot (15 PTS)</v>
      </c>
      <c r="K2254" s="2" t="str">
        <f>HYPERLINK("https://www.nba.com/game/...-vs-...-0022300537/play-by-play?watchFullGame=true", "LAC vs MEM - Q3 08:06.00")</f>
        <v>LAC vs MEM - Q3 08:06.00</v>
      </c>
      <c r="L2254">
        <v>9.6300000000000008</v>
      </c>
      <c r="M2254">
        <v>84.18</v>
      </c>
      <c r="N2254">
        <v>50.74</v>
      </c>
      <c r="O2254">
        <v>4</v>
      </c>
      <c r="P2254">
        <v>96</v>
      </c>
    </row>
    <row r="2255" spans="1:16" x14ac:dyDescent="0.25">
      <c r="A2255">
        <v>21401223</v>
      </c>
      <c r="B2255">
        <v>2014</v>
      </c>
      <c r="C2255" t="s">
        <v>32</v>
      </c>
      <c r="D2255" t="s">
        <v>29</v>
      </c>
      <c r="E2255">
        <v>43</v>
      </c>
      <c r="F2255">
        <v>27</v>
      </c>
      <c r="G2255">
        <v>2</v>
      </c>
      <c r="H2255" s="1">
        <v>5.6944444444444447E-3</v>
      </c>
      <c r="I2255" t="s">
        <v>18</v>
      </c>
      <c r="J2255" s="2" t="str">
        <f>HYPERLINK("https://www.nba.com/stats/events?CFID=&amp;CFPARAMS=&amp;GameEventID=136&amp;GameID=0021401223&amp;Season=2014-15&amp;flag=1&amp;title=Leonard%2010'%20Pullup%20Jump%20Shot%20(4%20PTS)", "Leonard 10' Pullup Jump Shot (4 PTS)")</f>
        <v>Leonard 10' Pullup Jump Shot (4 PTS)</v>
      </c>
      <c r="K2255" s="2" t="str">
        <f>HYPERLINK("https://www.nba.com/game/...-vs-...-0021401223/play-by-play?watchFullGame=true", "SAS vs NOP - Q2 08:12.00")</f>
        <v>SAS vs NOP - Q2 08:12.00</v>
      </c>
      <c r="L2255">
        <v>10</v>
      </c>
      <c r="M2255">
        <v>4</v>
      </c>
      <c r="N2255">
        <v>97</v>
      </c>
      <c r="O2255">
        <v>4</v>
      </c>
      <c r="P2255">
        <v>97</v>
      </c>
    </row>
    <row r="2256" spans="1:16" x14ac:dyDescent="0.25">
      <c r="A2256">
        <v>22200918</v>
      </c>
      <c r="B2256">
        <v>2022</v>
      </c>
      <c r="C2256" t="s">
        <v>32</v>
      </c>
      <c r="D2256" t="s">
        <v>19</v>
      </c>
      <c r="E2256">
        <v>115</v>
      </c>
      <c r="F2256">
        <v>117</v>
      </c>
      <c r="G2256">
        <v>4</v>
      </c>
      <c r="H2256" s="1">
        <v>1.2268518518518518E-3</v>
      </c>
      <c r="I2256" t="s">
        <v>23</v>
      </c>
      <c r="J2256" s="2" t="str">
        <f>HYPERLINK("https://www.nba.com/stats/events?CFID=&amp;CFPARAMS=&amp;GameEventID=625&amp;GameID=0022200918&amp;Season=2022-23&amp;flag=1&amp;title=Leonard%2010'%20turnaround%20fadeaway%20Jump%20Shot%20(33%20PTS)", "10' turnaround fadeaway Jump Shot (33 PTS)")</f>
        <v>10' turnaround fadeaway Jump Shot (33 PTS)</v>
      </c>
      <c r="K2256" s="2" t="str">
        <f>HYPERLINK("https://www.nba.com/game/...-vs-...-0022200918/play-by-play?watchFullGame=true", "LAC vs DEN - Q4 01:46.00")</f>
        <v>LAC vs DEN - Q4 01:46.00</v>
      </c>
      <c r="L2256">
        <v>10.029999999999999</v>
      </c>
      <c r="M2256">
        <v>16.25</v>
      </c>
      <c r="N2256">
        <v>49.26</v>
      </c>
      <c r="O2256">
        <v>4</v>
      </c>
      <c r="P2256">
        <v>100</v>
      </c>
    </row>
    <row r="2257" spans="1:16" x14ac:dyDescent="0.25">
      <c r="A2257">
        <v>21400814</v>
      </c>
      <c r="B2257">
        <v>2014</v>
      </c>
      <c r="C2257" t="s">
        <v>32</v>
      </c>
      <c r="D2257" t="s">
        <v>29</v>
      </c>
      <c r="E2257">
        <v>71</v>
      </c>
      <c r="F2257">
        <v>60</v>
      </c>
      <c r="G2257">
        <v>3</v>
      </c>
      <c r="H2257" s="1">
        <v>5.3819444444444444E-3</v>
      </c>
      <c r="I2257" t="s">
        <v>18</v>
      </c>
      <c r="J2257" s="2" t="str">
        <f>HYPERLINK("https://www.nba.com/stats/events?CFID=&amp;CFPARAMS=&amp;GameEventID=293&amp;GameID=0021400814&amp;Season=2014-15&amp;flag=1&amp;title=Leonard%2010'%20Pullup%20Jump%20Shot%20(12%20PTS)", "Leonard 10' Pullup Jump Shot (12 PTS)")</f>
        <v>Leonard 10' Pullup Jump Shot (12 PTS)</v>
      </c>
      <c r="K2257" s="2" t="str">
        <f>HYPERLINK("https://www.nba.com/game/...-vs-...-0021400814/play-by-play?watchFullGame=true", "SAS vs GSW - Q3 07:45.00")</f>
        <v>SAS vs GSW - Q3 07:45.00</v>
      </c>
      <c r="L2257">
        <v>10</v>
      </c>
      <c r="M2257">
        <v>4</v>
      </c>
      <c r="N2257">
        <v>104</v>
      </c>
      <c r="O2257">
        <v>4</v>
      </c>
      <c r="P2257">
        <v>104</v>
      </c>
    </row>
    <row r="2258" spans="1:16" x14ac:dyDescent="0.25">
      <c r="A2258">
        <v>41300143</v>
      </c>
      <c r="B2258" t="s">
        <v>26</v>
      </c>
      <c r="C2258" t="s">
        <v>32</v>
      </c>
      <c r="D2258" t="s">
        <v>17</v>
      </c>
      <c r="E2258">
        <v>18</v>
      </c>
      <c r="F2258">
        <v>23</v>
      </c>
      <c r="G2258">
        <v>1</v>
      </c>
      <c r="H2258" s="1">
        <v>2.9166666666666668E-3</v>
      </c>
      <c r="I2258" t="s">
        <v>18</v>
      </c>
      <c r="J2258" s="2" t="str">
        <f>HYPERLINK("https://www.nba.com/stats/events?CFID=&amp;CFPARAMS=&amp;GameEventID=69&amp;GameID=0041300143&amp;Season=2013-14&amp;flag=1&amp;title=Leonard%2012'%20Running%20Jump%20Shot%20(2%20PTS)", "Leonard 12' Running Jump Shot (2 PTS)")</f>
        <v>Leonard 12' Running Jump Shot (2 PTS)</v>
      </c>
      <c r="K2258" s="2" t="str">
        <f>HYPERLINK("https://www.nba.com/game/...-vs-...-0041300143/play-by-play?watchFullGame=true", "SAS vs DAL - Q1 04:12.00")</f>
        <v>SAS vs DAL - Q1 04:12.00</v>
      </c>
      <c r="L2258">
        <v>12</v>
      </c>
      <c r="M2258">
        <v>4</v>
      </c>
      <c r="N2258">
        <v>115</v>
      </c>
      <c r="O2258">
        <v>4</v>
      </c>
      <c r="P2258">
        <v>115</v>
      </c>
    </row>
    <row r="2259" spans="1:16" x14ac:dyDescent="0.25">
      <c r="A2259">
        <v>21500905</v>
      </c>
      <c r="B2259">
        <v>2015</v>
      </c>
      <c r="C2259" t="s">
        <v>32</v>
      </c>
      <c r="D2259" t="s">
        <v>19</v>
      </c>
      <c r="E2259">
        <v>24</v>
      </c>
      <c r="F2259">
        <v>20</v>
      </c>
      <c r="G2259">
        <v>1</v>
      </c>
      <c r="H2259" s="1">
        <v>1.7013888888888888E-3</v>
      </c>
      <c r="I2259" t="s">
        <v>18</v>
      </c>
      <c r="J2259" s="2" t="str">
        <f>HYPERLINK("https://www.nba.com/stats/events?CFID=&amp;CFPARAMS=&amp;GameEventID=87&amp;GameID=0021500905&amp;Season=2015-16&amp;flag=1&amp;title=Leonard%2013'%20Jump%20Shot%20(9%20PTS)%20(Mills%201%20AST)", "Leonard 13' Jump Shot (9 PTS) (Mills 1 AST)")</f>
        <v>Leonard 13' Jump Shot (9 PTS) (Mills 1 AST)</v>
      </c>
      <c r="K2259" s="2" t="str">
        <f>HYPERLINK("https://www.nba.com/game/...-vs-...-0021500905/play-by-play?watchFullGame=true", "SAS vs DET - Q1 02:27.00")</f>
        <v>SAS vs DET - Q1 02:27.00</v>
      </c>
      <c r="L2259">
        <v>13</v>
      </c>
      <c r="M2259">
        <v>4</v>
      </c>
      <c r="N2259">
        <v>134</v>
      </c>
      <c r="O2259">
        <v>4</v>
      </c>
      <c r="P2259">
        <v>134</v>
      </c>
    </row>
    <row r="2260" spans="1:16" x14ac:dyDescent="0.25">
      <c r="A2260">
        <v>21501063</v>
      </c>
      <c r="B2260">
        <v>2015</v>
      </c>
      <c r="C2260" t="s">
        <v>32</v>
      </c>
      <c r="D2260" t="s">
        <v>19</v>
      </c>
      <c r="E2260">
        <v>52</v>
      </c>
      <c r="F2260">
        <v>43</v>
      </c>
      <c r="G2260">
        <v>2</v>
      </c>
      <c r="H2260" s="1">
        <v>1.4583333333333334E-3</v>
      </c>
      <c r="I2260" t="s">
        <v>18</v>
      </c>
      <c r="J2260" s="2" t="str">
        <f>HYPERLINK("https://www.nba.com/stats/events?CFID=&amp;CFPARAMS=&amp;GameEventID=217&amp;GameID=0021501063&amp;Season=2015-16&amp;flag=1&amp;title=Leonard%2015'%20Jump%20Shot%20(20%20PTS)", "Leonard 15' Jump Shot (20 PTS)")</f>
        <v>Leonard 15' Jump Shot (20 PTS)</v>
      </c>
      <c r="K2260" s="2" t="str">
        <f>HYPERLINK("https://www.nba.com/game/...-vs-...-0021501063/play-by-play?watchFullGame=true", "SAS vs MIA - Q2 02:06.00")</f>
        <v>SAS vs MIA - Q2 02:06.00</v>
      </c>
      <c r="L2260">
        <v>15</v>
      </c>
      <c r="M2260">
        <v>4</v>
      </c>
      <c r="N2260">
        <v>151</v>
      </c>
      <c r="O2260">
        <v>4</v>
      </c>
      <c r="P2260">
        <v>151</v>
      </c>
    </row>
    <row r="2261" spans="1:16" x14ac:dyDescent="0.25">
      <c r="A2261">
        <v>41500154</v>
      </c>
      <c r="B2261" t="s">
        <v>25</v>
      </c>
      <c r="C2261" t="s">
        <v>32</v>
      </c>
      <c r="D2261" t="s">
        <v>19</v>
      </c>
      <c r="E2261">
        <v>42</v>
      </c>
      <c r="F2261">
        <v>47</v>
      </c>
      <c r="G2261">
        <v>2</v>
      </c>
      <c r="H2261" s="1">
        <v>8.2175925925925927E-4</v>
      </c>
      <c r="I2261" t="s">
        <v>18</v>
      </c>
      <c r="J2261" s="2" t="str">
        <f>HYPERLINK("https://www.nba.com/stats/events?CFID=&amp;CFPARAMS=&amp;GameEventID=246&amp;GameID=0041500154&amp;Season=2015-16&amp;flag=1&amp;title=Leonard%2016'%20Jump%20Shot%20(14%20PTS)", "Leonard 16' Jump Shot (14 PTS)")</f>
        <v>Leonard 16' Jump Shot (14 PTS)</v>
      </c>
      <c r="K2261" s="2" t="str">
        <f>HYPERLINK("https://www.nba.com/game/...-vs-...-0041500154/play-by-play?watchFullGame=true", "SAS vs MEM - Q2 01:11.00")</f>
        <v>SAS vs MEM - Q2 01:11.00</v>
      </c>
      <c r="L2261">
        <v>16</v>
      </c>
      <c r="M2261">
        <v>4</v>
      </c>
      <c r="N2261">
        <v>160</v>
      </c>
      <c r="O2261">
        <v>4</v>
      </c>
      <c r="P2261">
        <v>160</v>
      </c>
    </row>
    <row r="2262" spans="1:16" x14ac:dyDescent="0.25">
      <c r="A2262">
        <v>22200538</v>
      </c>
      <c r="B2262">
        <v>2022</v>
      </c>
      <c r="C2262" t="s">
        <v>16</v>
      </c>
      <c r="D2262" t="s">
        <v>19</v>
      </c>
      <c r="E2262">
        <v>93</v>
      </c>
      <c r="F2262">
        <v>93</v>
      </c>
      <c r="G2262">
        <v>3</v>
      </c>
      <c r="H2262" s="1">
        <v>5.2083333333333337E-5</v>
      </c>
      <c r="I2262" t="s">
        <v>23</v>
      </c>
      <c r="J2262" s="2" t="str">
        <f>HYPERLINK("https://www.nba.com/stats/events?CFID=&amp;CFPARAMS=&amp;GameEventID=451&amp;GameID=0022200538&amp;Season=2022-23&amp;flag=1&amp;title=Leonard%2026'%203PT%20%20(24%20PTS)%20(J.%20Wall%202%20AST)", "26' 3PT  (24 PTS) (J. Wall 2 AST)")</f>
        <v>26' 3PT  (24 PTS) (J. Wall 2 AST)</v>
      </c>
      <c r="K2262" s="2" t="str">
        <f>HYPERLINK("https://www.nba.com/game/...-vs-...-0022200538/play-by-play?watchFullGame=true", "LAC vs IND - Q3 00:04.50")</f>
        <v>LAC vs IND - Q3 00:04.50</v>
      </c>
      <c r="L2262">
        <v>26.45</v>
      </c>
      <c r="M2262">
        <v>33.72</v>
      </c>
      <c r="N2262">
        <v>49.26</v>
      </c>
      <c r="O2262">
        <v>4</v>
      </c>
      <c r="P2262">
        <v>264</v>
      </c>
    </row>
    <row r="2263" spans="1:16" x14ac:dyDescent="0.25">
      <c r="A2263">
        <v>21900458</v>
      </c>
      <c r="B2263">
        <v>2019</v>
      </c>
      <c r="C2263" t="s">
        <v>32</v>
      </c>
      <c r="D2263" t="s">
        <v>50</v>
      </c>
      <c r="E2263">
        <v>19</v>
      </c>
      <c r="F2263">
        <v>22</v>
      </c>
      <c r="G2263">
        <v>1</v>
      </c>
      <c r="H2263" s="1">
        <v>2.5000000000000001E-3</v>
      </c>
      <c r="I2263" t="s">
        <v>23</v>
      </c>
      <c r="J2263" s="2" t="str">
        <f>HYPERLINK("https://www.nba.com/stats/events?CFID=&amp;CFPARAMS=&amp;GameEventID=97&amp;GameID=0021900458&amp;Season=2019-20&amp;flag=1&amp;title=Leonard%20layup%20(9%20PTS)", "Layup (9 PTS)")</f>
        <v>Layup (9 PTS)</v>
      </c>
      <c r="K2263" s="2" t="str">
        <f>HYPERLINK("https://www.nba.com/game/...-vs-...-0021900458/play-by-play?watchFullGame=true", "LAC vs LAL - Q1 03:36.00")</f>
        <v>LAC vs LAL - Q1 03:36.00</v>
      </c>
      <c r="L2263" t="s">
        <v>82</v>
      </c>
      <c r="M2263">
        <v>5</v>
      </c>
      <c r="N2263">
        <v>50</v>
      </c>
      <c r="O2263">
        <v>5</v>
      </c>
      <c r="P2263">
        <v>-6</v>
      </c>
    </row>
    <row r="2264" spans="1:16" x14ac:dyDescent="0.25">
      <c r="A2264">
        <v>21900436</v>
      </c>
      <c r="B2264">
        <v>2019</v>
      </c>
      <c r="C2264" t="s">
        <v>32</v>
      </c>
      <c r="D2264" t="s">
        <v>65</v>
      </c>
      <c r="E2264">
        <v>59</v>
      </c>
      <c r="F2264">
        <v>70</v>
      </c>
      <c r="G2264">
        <v>2</v>
      </c>
      <c r="H2264" s="1">
        <v>5.2777777777777784E-4</v>
      </c>
      <c r="I2264" t="s">
        <v>23</v>
      </c>
      <c r="J2264" s="2" t="str">
        <f>HYPERLINK("https://www.nba.com/stats/events?CFID=&amp;CFPARAMS=&amp;GameEventID=312&amp;GameID=0021900436&amp;Season=2019-20&amp;flag=1&amp;title=Leonard%20dunk%20(18%20PTS)", "Dunk (18 PTS)")</f>
        <v>Dunk (18 PTS)</v>
      </c>
      <c r="K2264" s="2" t="str">
        <f>HYPERLINK("https://www.nba.com/game/...-vs-...-0021900436/play-by-play?watchFullGame=true", "LAC vs SAS - Q2 00:45.60")</f>
        <v>LAC vs SAS - Q2 00:45.60</v>
      </c>
      <c r="L2264" t="s">
        <v>82</v>
      </c>
      <c r="M2264">
        <v>5</v>
      </c>
      <c r="N2264">
        <v>50</v>
      </c>
      <c r="O2264">
        <v>5</v>
      </c>
      <c r="P2264">
        <v>-6</v>
      </c>
    </row>
    <row r="2265" spans="1:16" x14ac:dyDescent="0.25">
      <c r="A2265">
        <v>41800215</v>
      </c>
      <c r="B2265" t="s">
        <v>20</v>
      </c>
      <c r="C2265" t="s">
        <v>32</v>
      </c>
      <c r="D2265" t="s">
        <v>67</v>
      </c>
      <c r="E2265">
        <v>64</v>
      </c>
      <c r="F2265">
        <v>43</v>
      </c>
      <c r="G2265">
        <v>2</v>
      </c>
      <c r="H2265" s="1">
        <v>3.0092592592592593E-5</v>
      </c>
      <c r="I2265" t="s">
        <v>21</v>
      </c>
      <c r="J2265" s="2" t="str">
        <f>HYPERLINK("https://www.nba.com/stats/events?CFID=&amp;CFPARAMS=&amp;GameEventID=360&amp;GameID=0041800215&amp;Season=2018-19&amp;flag=1&amp;title=Leonard%201'%20Driving%20Dunk%20(13%20PTS)", "Leonard 1' Driving Dunk (13 PTS)")</f>
        <v>Leonard 1' Driving Dunk (13 PTS)</v>
      </c>
      <c r="K2265" s="2" t="str">
        <f>HYPERLINK("https://www.nba.com/game/...-vs-...-0041800215/play-by-play?watchFullGame=true", "TOR vs PHI - Q2 00:02.60")</f>
        <v>TOR vs PHI - Q2 00:02.60</v>
      </c>
      <c r="L2265">
        <v>1</v>
      </c>
      <c r="M2265">
        <v>5</v>
      </c>
      <c r="N2265">
        <v>-5</v>
      </c>
      <c r="O2265">
        <v>5</v>
      </c>
      <c r="P2265">
        <v>-5</v>
      </c>
    </row>
    <row r="2266" spans="1:16" x14ac:dyDescent="0.25">
      <c r="A2266">
        <v>22000105</v>
      </c>
      <c r="B2266">
        <v>2020</v>
      </c>
      <c r="C2266" t="s">
        <v>32</v>
      </c>
      <c r="D2266" t="s">
        <v>48</v>
      </c>
      <c r="E2266">
        <v>67</v>
      </c>
      <c r="F2266">
        <v>76</v>
      </c>
      <c r="G2266">
        <v>3</v>
      </c>
      <c r="H2266" s="1">
        <v>3.6226851851851854E-3</v>
      </c>
      <c r="I2266" t="s">
        <v>23</v>
      </c>
      <c r="J2266" s="2" t="str">
        <f>HYPERLINK("https://www.nba.com/stats/events?CFID=&amp;CFPARAMS=&amp;GameEventID=393&amp;GameID=0022000105&amp;Season=2020-21&amp;flag=1&amp;title=Leonard%20driving%20DUNK%20(26%20PTS)", "Driving DUNK (26 PTS)")</f>
        <v>Driving DUNK (26 PTS)</v>
      </c>
      <c r="K2266" s="2" t="str">
        <f>HYPERLINK("https://www.nba.com/game/...-vs-...-0022000105/play-by-play?watchFullGame=true", "LAC vs SAS - Q3 05:13.00")</f>
        <v>LAC vs SAS - Q3 05:13.00</v>
      </c>
      <c r="L2266">
        <v>0.57999999999999996</v>
      </c>
      <c r="M2266">
        <v>94.69</v>
      </c>
      <c r="N2266">
        <v>51.05</v>
      </c>
      <c r="O2266">
        <v>5</v>
      </c>
      <c r="P2266">
        <v>-3</v>
      </c>
    </row>
    <row r="2267" spans="1:16" x14ac:dyDescent="0.25">
      <c r="A2267">
        <v>22300807</v>
      </c>
      <c r="B2267">
        <v>2023</v>
      </c>
      <c r="C2267" t="s">
        <v>32</v>
      </c>
      <c r="D2267" t="s">
        <v>48</v>
      </c>
      <c r="E2267">
        <v>69</v>
      </c>
      <c r="F2267">
        <v>69</v>
      </c>
      <c r="G2267">
        <v>3</v>
      </c>
      <c r="H2267" s="1">
        <v>2.7430555555555554E-3</v>
      </c>
      <c r="I2267" t="s">
        <v>23</v>
      </c>
      <c r="J2267" s="2" t="str">
        <f>HYPERLINK("https://www.nba.com/stats/events?CFID=&amp;CFPARAMS=&amp;GameEventID=437&amp;GameID=0022300807&amp;Season=2023-24&amp;flag=1&amp;title=Leonard%20driving%20DUNK%20(15%20PTS)%20(P.%20George%203%20AST)", "Driving DUNK (15 PTS) (P. George 3 AST)")</f>
        <v>Driving DUNK (15 PTS) (P. George 3 AST)</v>
      </c>
      <c r="K2267" s="2" t="str">
        <f>HYPERLINK("https://www.nba.com/game/...-vs-...-0022300807/play-by-play?watchFullGame=true", "LAC vs MEM - Q3 03:57.00")</f>
        <v>LAC vs MEM - Q3 03:57.00</v>
      </c>
      <c r="L2267">
        <v>0.55000000000000004</v>
      </c>
      <c r="M2267">
        <v>94.69</v>
      </c>
      <c r="N2267">
        <v>50.98</v>
      </c>
      <c r="O2267">
        <v>5</v>
      </c>
      <c r="P2267">
        <v>-3</v>
      </c>
    </row>
    <row r="2268" spans="1:16" x14ac:dyDescent="0.25">
      <c r="A2268">
        <v>22400697</v>
      </c>
      <c r="B2268">
        <v>2024</v>
      </c>
      <c r="C2268" t="s">
        <v>32</v>
      </c>
      <c r="D2268" t="s">
        <v>47</v>
      </c>
      <c r="E2268">
        <v>72</v>
      </c>
      <c r="F2268">
        <v>69</v>
      </c>
      <c r="G2268">
        <v>3</v>
      </c>
      <c r="H2268" s="1">
        <v>4.0277777777777777E-3</v>
      </c>
      <c r="I2268" t="s">
        <v>23</v>
      </c>
      <c r="J2268" s="2" t="str">
        <f>HYPERLINK("https://www.nba.com/stats/events?CFID=&amp;CFPARAMS=&amp;GameEventID=391&amp;GameID=0022400697&amp;Season=2024-25&amp;flag=1&amp;title=Leonard%20cutting%20Layup%20(11%20PTS)%20(J.%20Harden%205%20AST)", "Cutting Layup (11 PTS) (J. Harden 5 AST)")</f>
        <v>Cutting Layup (11 PTS) (J. Harden 5 AST)</v>
      </c>
      <c r="K2268" s="2" t="str">
        <f>HYPERLINK("https://www.nba.com/game/...-vs-...-0022400697/play-by-play?watchFullGame=true", "LAC vs TOR - Q3 05:48.00")</f>
        <v>LAC vs TOR - Q3 05:48.00</v>
      </c>
      <c r="L2268">
        <v>0.23</v>
      </c>
      <c r="M2268">
        <v>5.34</v>
      </c>
      <c r="N2268">
        <v>50</v>
      </c>
      <c r="O2268">
        <v>5</v>
      </c>
      <c r="P2268">
        <v>-2</v>
      </c>
    </row>
    <row r="2269" spans="1:16" x14ac:dyDescent="0.25">
      <c r="A2269">
        <v>22201069</v>
      </c>
      <c r="B2269">
        <v>2022</v>
      </c>
      <c r="C2269" t="s">
        <v>32</v>
      </c>
      <c r="D2269" t="s">
        <v>47</v>
      </c>
      <c r="E2269">
        <v>83</v>
      </c>
      <c r="F2269">
        <v>93</v>
      </c>
      <c r="G2269">
        <v>3</v>
      </c>
      <c r="H2269" s="1">
        <v>4.212962962962963E-4</v>
      </c>
      <c r="I2269" t="s">
        <v>23</v>
      </c>
      <c r="J2269" s="2" t="str">
        <f>HYPERLINK("https://www.nba.com/stats/events?CFID=&amp;CFPARAMS=&amp;GameEventID=473&amp;GameID=0022201069&amp;Season=2022-23&amp;flag=1&amp;title=Leonard%20driving%20Layup%20(19%20PTS)", "Driving Layup (19 PTS)")</f>
        <v>Driving Layup (19 PTS)</v>
      </c>
      <c r="K2269" s="2" t="str">
        <f>HYPERLINK("https://www.nba.com/game/...-vs-...-0022201069/play-by-play?watchFullGame=true", "LAC vs POR - Q3 00:36.40")</f>
        <v>LAC vs POR - Q3 00:36.40</v>
      </c>
      <c r="L2269">
        <v>0.54</v>
      </c>
      <c r="M2269">
        <v>5.34</v>
      </c>
      <c r="N2269">
        <v>49.02</v>
      </c>
      <c r="O2269">
        <v>5</v>
      </c>
      <c r="P2269">
        <v>-2</v>
      </c>
    </row>
    <row r="2270" spans="1:16" x14ac:dyDescent="0.25">
      <c r="A2270">
        <v>22300526</v>
      </c>
      <c r="B2270">
        <v>2023</v>
      </c>
      <c r="C2270" t="s">
        <v>32</v>
      </c>
      <c r="D2270" t="s">
        <v>47</v>
      </c>
      <c r="E2270">
        <v>76</v>
      </c>
      <c r="F2270">
        <v>75</v>
      </c>
      <c r="G2270">
        <v>3</v>
      </c>
      <c r="H2270" s="1">
        <v>4.43287037037037E-3</v>
      </c>
      <c r="I2270" t="s">
        <v>23</v>
      </c>
      <c r="J2270" s="2" t="str">
        <f>HYPERLINK("https://www.nba.com/stats/events?CFID=&amp;CFPARAMS=&amp;GameEventID=357&amp;GameID=0022300526&amp;Season=2023-24&amp;flag=1&amp;title=Leonard%20alley-oop%20Layup%20(18%20PTS)%20(J.%20Harden%208%20AST)", "Alley-oop Layup (18 PTS) (J. Harden 8 AST)")</f>
        <v>Alley-oop Layup (18 PTS) (J. Harden 8 AST)</v>
      </c>
      <c r="K2270" s="2" t="str">
        <f>HYPERLINK("https://www.nba.com/game/...-vs-...-0022300526/play-by-play?watchFullGame=true", "LAC vs TOR - Q3 06:23.00")</f>
        <v>LAC vs TOR - Q3 06:23.00</v>
      </c>
      <c r="L2270">
        <v>0.5</v>
      </c>
      <c r="M2270">
        <v>94.53</v>
      </c>
      <c r="N2270">
        <v>50.98</v>
      </c>
      <c r="O2270">
        <v>5</v>
      </c>
      <c r="P2270">
        <v>-1</v>
      </c>
    </row>
    <row r="2271" spans="1:16" x14ac:dyDescent="0.25">
      <c r="A2271">
        <v>21900485</v>
      </c>
      <c r="B2271">
        <v>2019</v>
      </c>
      <c r="C2271" t="s">
        <v>32</v>
      </c>
      <c r="D2271" t="s">
        <v>65</v>
      </c>
      <c r="E2271">
        <v>56</v>
      </c>
      <c r="F2271">
        <v>52</v>
      </c>
      <c r="G2271">
        <v>2</v>
      </c>
      <c r="H2271" s="1">
        <v>2.0717592592592593E-3</v>
      </c>
      <c r="I2271" t="s">
        <v>23</v>
      </c>
      <c r="J2271" s="2" t="str">
        <f>HYPERLINK("https://www.nba.com/stats/events?CFID=&amp;CFPARAMS=&amp;GameEventID=276&amp;GameID=0021900485&amp;Season=2019-20&amp;flag=1&amp;title=Leonard%20dunk%20(9%20PTS)%20(M.%20Harkless%201%20AST)", "Dunk (9 PTS) (M. Harkless 1 AST)")</f>
        <v>Dunk (9 PTS) (M. Harkless 1 AST)</v>
      </c>
      <c r="K2271" s="2" t="str">
        <f>HYPERLINK("https://www.nba.com/game/...-vs-...-0021900485/play-by-play?watchFullGame=true", "LAC vs UTA - Q2 02:59.00")</f>
        <v>LAC vs UTA - Q2 02:59.00</v>
      </c>
      <c r="L2271">
        <v>0.84</v>
      </c>
      <c r="M2271">
        <v>5.7</v>
      </c>
      <c r="N2271">
        <v>48.95</v>
      </c>
      <c r="O2271">
        <v>5</v>
      </c>
      <c r="P2271">
        <v>1</v>
      </c>
    </row>
    <row r="2272" spans="1:16" x14ac:dyDescent="0.25">
      <c r="A2272">
        <v>22400679</v>
      </c>
      <c r="B2272">
        <v>2024</v>
      </c>
      <c r="C2272" t="s">
        <v>32</v>
      </c>
      <c r="D2272" t="s">
        <v>47</v>
      </c>
      <c r="E2272">
        <v>90</v>
      </c>
      <c r="F2272">
        <v>95</v>
      </c>
      <c r="G2272">
        <v>4</v>
      </c>
      <c r="H2272" s="1">
        <v>5.7754629629629631E-3</v>
      </c>
      <c r="I2272" t="s">
        <v>23</v>
      </c>
      <c r="J2272" s="2" t="str">
        <f>HYPERLINK("https://www.nba.com/stats/events?CFID=&amp;CFPARAMS=&amp;GameEventID=549&amp;GameID=0022400679&amp;Season=2024-25&amp;flag=1&amp;title=Leonard%20driving%20Layup%20(19%20PTS)", "Driving Layup (19 PTS)")</f>
        <v>Driving Layup (19 PTS)</v>
      </c>
      <c r="K2272" s="2" t="str">
        <f>HYPERLINK("https://www.nba.com/game/...-vs-...-0022400679/play-by-play?watchFullGame=true", "LAC vs CHA - Q4 08:19.00")</f>
        <v>LAC vs CHA - Q4 08:19.00</v>
      </c>
      <c r="L2272">
        <v>0.55000000000000004</v>
      </c>
      <c r="M2272">
        <v>5.86</v>
      </c>
      <c r="N2272">
        <v>49.02</v>
      </c>
      <c r="O2272">
        <v>5</v>
      </c>
      <c r="P2272">
        <v>3</v>
      </c>
    </row>
    <row r="2273" spans="1:16" x14ac:dyDescent="0.25">
      <c r="A2273">
        <v>22300151</v>
      </c>
      <c r="B2273">
        <v>2023</v>
      </c>
      <c r="C2273" t="s">
        <v>32</v>
      </c>
      <c r="D2273" t="s">
        <v>47</v>
      </c>
      <c r="E2273">
        <v>56</v>
      </c>
      <c r="F2273">
        <v>59</v>
      </c>
      <c r="G2273">
        <v>3</v>
      </c>
      <c r="H2273" s="1">
        <v>5.3009259259259259E-3</v>
      </c>
      <c r="I2273" t="s">
        <v>23</v>
      </c>
      <c r="J2273" s="2" t="str">
        <f>HYPERLINK("https://www.nba.com/stats/events?CFID=&amp;CFPARAMS=&amp;GameEventID=333&amp;GameID=0022300151&amp;Season=2023-24&amp;flag=1&amp;title=Leonard%20running%20Layup%20(11%20PTS)%20(J.%20Harden%205%20AST)", "Running Layup (11 PTS) (J. Harden 5 AST)")</f>
        <v>Running Layup (11 PTS) (J. Harden 5 AST)</v>
      </c>
      <c r="K2273" s="2" t="str">
        <f>HYPERLINK("https://www.nba.com/game/...-vs-...-0022300151/play-by-play?watchFullGame=true", "LAC vs NYK - Q3 07:38.00")</f>
        <v>LAC vs NYK - Q3 07:38.00</v>
      </c>
      <c r="L2273">
        <v>0.26</v>
      </c>
      <c r="M2273">
        <v>5.86</v>
      </c>
      <c r="N2273">
        <v>50</v>
      </c>
      <c r="O2273">
        <v>5</v>
      </c>
      <c r="P2273">
        <v>3</v>
      </c>
    </row>
    <row r="2274" spans="1:16" x14ac:dyDescent="0.25">
      <c r="A2274">
        <v>22300807</v>
      </c>
      <c r="B2274">
        <v>2023</v>
      </c>
      <c r="C2274" t="s">
        <v>32</v>
      </c>
      <c r="D2274" t="s">
        <v>48</v>
      </c>
      <c r="E2274">
        <v>50</v>
      </c>
      <c r="F2274">
        <v>48</v>
      </c>
      <c r="G2274">
        <v>2</v>
      </c>
      <c r="H2274" s="1">
        <v>2.2337962962962962E-3</v>
      </c>
      <c r="I2274" t="s">
        <v>23</v>
      </c>
      <c r="J2274" s="2" t="str">
        <f>HYPERLINK("https://www.nba.com/stats/events?CFID=&amp;CFPARAMS=&amp;GameEventID=285&amp;GameID=0022300807&amp;Season=2023-24&amp;flag=1&amp;title=Leonard%20driving%20DUNK%20(10%20PTS)%20(J.%20Harden%205%20AST)", "Driving DUNK (10 PTS) (J. Harden 5 AST)")</f>
        <v>Driving DUNK (10 PTS) (J. Harden 5 AST)</v>
      </c>
      <c r="K2274" s="2" t="str">
        <f>HYPERLINK("https://www.nba.com/game/...-vs-...-0022300807/play-by-play?watchFullGame=true", "LAC vs MEM - Q2 03:13.00")</f>
        <v>LAC vs MEM - Q2 03:13.00</v>
      </c>
      <c r="L2274">
        <v>0.26</v>
      </c>
      <c r="M2274">
        <v>5.86</v>
      </c>
      <c r="N2274">
        <v>50</v>
      </c>
      <c r="O2274">
        <v>5</v>
      </c>
      <c r="P2274">
        <v>3</v>
      </c>
    </row>
    <row r="2275" spans="1:16" x14ac:dyDescent="0.25">
      <c r="A2275">
        <v>22300716</v>
      </c>
      <c r="B2275">
        <v>2023</v>
      </c>
      <c r="C2275" t="s">
        <v>32</v>
      </c>
      <c r="D2275" t="s">
        <v>47</v>
      </c>
      <c r="E2275">
        <v>96</v>
      </c>
      <c r="F2275">
        <v>94</v>
      </c>
      <c r="G2275">
        <v>3</v>
      </c>
      <c r="H2275" s="1">
        <v>1.1458333333333333E-3</v>
      </c>
      <c r="I2275" t="s">
        <v>23</v>
      </c>
      <c r="J2275" s="2" t="str">
        <f>HYPERLINK("https://www.nba.com/stats/events?CFID=&amp;CFPARAMS=&amp;GameEventID=435&amp;GameID=0022300716&amp;Season=2023-24&amp;flag=1&amp;title=Leonard%20reverse%20Layup%20(22%20PTS)", "Reverse Layup (22 PTS)")</f>
        <v>Reverse Layup (22 PTS)</v>
      </c>
      <c r="K2275" s="2" t="str">
        <f>HYPERLINK("https://www.nba.com/game/...-vs-...-0022300716/play-by-play?watchFullGame=true", "LAC vs ATL - Q3 01:39.00")</f>
        <v>LAC vs ATL - Q3 01:39.00</v>
      </c>
      <c r="L2275">
        <v>0.63</v>
      </c>
      <c r="M2275">
        <v>6</v>
      </c>
      <c r="N2275">
        <v>49.02</v>
      </c>
      <c r="O2275">
        <v>5</v>
      </c>
      <c r="P2275">
        <v>4</v>
      </c>
    </row>
    <row r="2276" spans="1:16" x14ac:dyDescent="0.25">
      <c r="A2276">
        <v>22300235</v>
      </c>
      <c r="B2276">
        <v>2023</v>
      </c>
      <c r="C2276" t="s">
        <v>32</v>
      </c>
      <c r="D2276" t="s">
        <v>48</v>
      </c>
      <c r="E2276">
        <v>5</v>
      </c>
      <c r="F2276">
        <v>8</v>
      </c>
      <c r="G2276">
        <v>1</v>
      </c>
      <c r="H2276" s="1">
        <v>5.2777777777777779E-3</v>
      </c>
      <c r="I2276" t="s">
        <v>23</v>
      </c>
      <c r="J2276" s="2" t="str">
        <f>HYPERLINK("https://www.nba.com/stats/events?CFID=&amp;CFPARAMS=&amp;GameEventID=46&amp;GameID=0022300235&amp;Season=2023-24&amp;flag=1&amp;title=Leonard%20running%20DUNK%20(2%20PTS)%20(P.%20George%201%20AST)", "Running DUNK (2 PTS) (P. George 1 AST)")</f>
        <v>Running DUNK (2 PTS) (P. George 1 AST)</v>
      </c>
      <c r="K2276" s="2" t="str">
        <f>HYPERLINK("https://www.nba.com/game/...-vs-...-0022300235/play-by-play?watchFullGame=true", "LAC vs SAS - Q1 07:36.00")</f>
        <v>LAC vs SAS - Q1 07:36.00</v>
      </c>
      <c r="L2276">
        <v>0.6</v>
      </c>
      <c r="M2276">
        <v>94.04</v>
      </c>
      <c r="N2276">
        <v>50.98</v>
      </c>
      <c r="O2276">
        <v>5</v>
      </c>
      <c r="P2276">
        <v>4</v>
      </c>
    </row>
    <row r="2277" spans="1:16" x14ac:dyDescent="0.25">
      <c r="A2277">
        <v>41800112</v>
      </c>
      <c r="B2277" t="s">
        <v>20</v>
      </c>
      <c r="C2277" t="s">
        <v>32</v>
      </c>
      <c r="D2277" t="s">
        <v>67</v>
      </c>
      <c r="E2277">
        <v>66</v>
      </c>
      <c r="F2277">
        <v>47</v>
      </c>
      <c r="G2277">
        <v>3</v>
      </c>
      <c r="H2277" s="1">
        <v>5.6018518518518518E-3</v>
      </c>
      <c r="I2277" t="s">
        <v>21</v>
      </c>
      <c r="J2277" s="2" t="str">
        <f>HYPERLINK("https://www.nba.com/stats/events?CFID=&amp;CFPARAMS=&amp;GameEventID=379&amp;GameID=0041800112&amp;Season=2018-19&amp;flag=1&amp;title=Leonard%201'%20Driving%20Dunk%20(27%20PTS)", "Leonard 1' Driving Dunk (27 PTS)")</f>
        <v>Leonard 1' Driving Dunk (27 PTS)</v>
      </c>
      <c r="K2277" s="2" t="str">
        <f>HYPERLINK("https://www.nba.com/game/...-vs-...-0041800112/play-by-play?watchFullGame=true", "TOR vs ORL - Q3 08:04.00")</f>
        <v>TOR vs ORL - Q3 08:04.00</v>
      </c>
      <c r="L2277">
        <v>1</v>
      </c>
      <c r="M2277">
        <v>5</v>
      </c>
      <c r="N2277">
        <v>4</v>
      </c>
      <c r="O2277">
        <v>5</v>
      </c>
      <c r="P2277">
        <v>4</v>
      </c>
    </row>
    <row r="2278" spans="1:16" x14ac:dyDescent="0.25">
      <c r="A2278">
        <v>22200438</v>
      </c>
      <c r="B2278">
        <v>2022</v>
      </c>
      <c r="C2278" t="s">
        <v>32</v>
      </c>
      <c r="D2278" t="s">
        <v>48</v>
      </c>
      <c r="E2278">
        <v>47</v>
      </c>
      <c r="F2278">
        <v>53</v>
      </c>
      <c r="G2278">
        <v>2</v>
      </c>
      <c r="H2278" s="1">
        <v>1.0763888888888889E-3</v>
      </c>
      <c r="I2278" t="s">
        <v>23</v>
      </c>
      <c r="J2278" s="2" t="str">
        <f>HYPERLINK("https://www.nba.com/stats/events?CFID=&amp;CFPARAMS=&amp;GameEventID=286&amp;GameID=0022200438&amp;Season=2022-23&amp;flag=1&amp;title=Leonard%20running%20DUNK%20(15%20PTS)", "Running DUNK (15 PTS)")</f>
        <v>Running DUNK (15 PTS)</v>
      </c>
      <c r="K2278" s="2" t="str">
        <f>HYPERLINK("https://www.nba.com/game/...-vs-...-0022200438/play-by-play?watchFullGame=true", "LAC vs WAS - Q2 01:33.00")</f>
        <v>LAC vs WAS - Q2 01:33.00</v>
      </c>
      <c r="L2278">
        <v>0.35</v>
      </c>
      <c r="M2278">
        <v>5.96</v>
      </c>
      <c r="N2278">
        <v>50</v>
      </c>
      <c r="O2278">
        <v>5</v>
      </c>
      <c r="P2278">
        <v>4</v>
      </c>
    </row>
    <row r="2279" spans="1:16" x14ac:dyDescent="0.25">
      <c r="A2279">
        <v>41800402</v>
      </c>
      <c r="B2279" t="s">
        <v>20</v>
      </c>
      <c r="C2279" t="s">
        <v>32</v>
      </c>
      <c r="D2279" t="s">
        <v>51</v>
      </c>
      <c r="E2279">
        <v>46</v>
      </c>
      <c r="F2279">
        <v>35</v>
      </c>
      <c r="G2279">
        <v>2</v>
      </c>
      <c r="H2279" s="1">
        <v>3.6574074074074074E-3</v>
      </c>
      <c r="I2279" t="s">
        <v>21</v>
      </c>
      <c r="J2279" s="2" t="str">
        <f>HYPERLINK("https://www.nba.com/stats/events?CFID=&amp;CFPARAMS=&amp;GameEventID=280&amp;GameID=0041800402&amp;Season=2018-19&amp;flag=1&amp;title=Leonard%201'%20Reverse%20Layup%20(13%20PTS)%20(Siakam%202%20AST)", "Leonard 1' Reverse Layup (13 PTS) (Siakam 2 AST)")</f>
        <v>Leonard 1' Reverse Layup (13 PTS) (Siakam 2 AST)</v>
      </c>
      <c r="K2279" s="2" t="str">
        <f>HYPERLINK("https://www.nba.com/game/...-vs-...-0041800402/play-by-play?watchFullGame=true", "TOR vs GSW - Q2 05:16.00")</f>
        <v>TOR vs GSW - Q2 05:16.00</v>
      </c>
      <c r="L2279">
        <v>1</v>
      </c>
      <c r="M2279">
        <v>5</v>
      </c>
      <c r="N2279">
        <v>5</v>
      </c>
      <c r="O2279">
        <v>5</v>
      </c>
      <c r="P2279">
        <v>5</v>
      </c>
    </row>
    <row r="2280" spans="1:16" x14ac:dyDescent="0.25">
      <c r="A2280">
        <v>21900251</v>
      </c>
      <c r="B2280">
        <v>2019</v>
      </c>
      <c r="C2280" t="s">
        <v>32</v>
      </c>
      <c r="D2280" t="s">
        <v>65</v>
      </c>
      <c r="E2280">
        <v>59</v>
      </c>
      <c r="F2280">
        <v>80</v>
      </c>
      <c r="G2280">
        <v>3</v>
      </c>
      <c r="H2280" s="1">
        <v>3.9930555555555552E-3</v>
      </c>
      <c r="I2280" t="s">
        <v>23</v>
      </c>
      <c r="J2280" s="2" t="str">
        <f>HYPERLINK("https://www.nba.com/stats/events?CFID=&amp;CFPARAMS=&amp;GameEventID=448&amp;GameID=0021900251&amp;Season=2019-20&amp;flag=1&amp;title=Leonard%20dunk%20(19%20PTS)%20(L.%20Williams%203%20AST)", "Dunk (19 PTS) (L. Williams 3 AST)")</f>
        <v>Dunk (19 PTS) (L. Williams 3 AST)</v>
      </c>
      <c r="K2280" s="2" t="str">
        <f>HYPERLINK("https://www.nba.com/game/...-vs-...-0021900251/play-by-play?watchFullGame=true", "LAC vs DAL - Q3 05:45.00")</f>
        <v>LAC vs DAL - Q3 05:45.00</v>
      </c>
      <c r="L2280">
        <v>1.1499999999999999</v>
      </c>
      <c r="M2280">
        <v>93.91</v>
      </c>
      <c r="N2280">
        <v>51.05</v>
      </c>
      <c r="O2280">
        <v>5</v>
      </c>
      <c r="P2280">
        <v>5</v>
      </c>
    </row>
    <row r="2281" spans="1:16" x14ac:dyDescent="0.25">
      <c r="A2281">
        <v>22201162</v>
      </c>
      <c r="B2281">
        <v>2022</v>
      </c>
      <c r="C2281" t="s">
        <v>32</v>
      </c>
      <c r="D2281" t="s">
        <v>48</v>
      </c>
      <c r="E2281">
        <v>51</v>
      </c>
      <c r="F2281">
        <v>54</v>
      </c>
      <c r="G2281">
        <v>2</v>
      </c>
      <c r="H2281" s="1">
        <v>1.0300925925925926E-3</v>
      </c>
      <c r="I2281" t="s">
        <v>23</v>
      </c>
      <c r="J2281" s="2" t="str">
        <f>HYPERLINK("https://www.nba.com/stats/events?CFID=&amp;CFPARAMS=&amp;GameEventID=318&amp;GameID=0022201162&amp;Season=2022-23&amp;flag=1&amp;title=Leonard%20cutting%20DUNK%20(12%20PTS)%20(M.%20Plumlee%201%20AST)", "Cutting DUNK (12 PTS) (M. Plumlee 1 AST)")</f>
        <v>Cutting DUNK (12 PTS) (M. Plumlee 1 AST)</v>
      </c>
      <c r="K2281" s="2" t="str">
        <f>HYPERLINK("https://www.nba.com/game/...-vs-...-0022201162/play-by-play?watchFullGame=true", "LAC vs NOP - Q2 01:29.00")</f>
        <v>LAC vs NOP - Q2 01:29.00</v>
      </c>
      <c r="L2281">
        <v>0.69</v>
      </c>
      <c r="M2281">
        <v>93.91</v>
      </c>
      <c r="N2281">
        <v>50.98</v>
      </c>
      <c r="O2281">
        <v>5</v>
      </c>
      <c r="P2281">
        <v>5</v>
      </c>
    </row>
    <row r="2282" spans="1:16" x14ac:dyDescent="0.25">
      <c r="A2282">
        <v>21900251</v>
      </c>
      <c r="B2282">
        <v>2019</v>
      </c>
      <c r="C2282" t="s">
        <v>32</v>
      </c>
      <c r="D2282" t="s">
        <v>65</v>
      </c>
      <c r="E2282">
        <v>30</v>
      </c>
      <c r="F2282">
        <v>44</v>
      </c>
      <c r="G2282">
        <v>2</v>
      </c>
      <c r="H2282" s="1">
        <v>6.3194444444444444E-3</v>
      </c>
      <c r="I2282" t="s">
        <v>23</v>
      </c>
      <c r="J2282" s="2" t="str">
        <f>HYPERLINK("https://www.nba.com/stats/events?CFID=&amp;CFPARAMS=&amp;GameEventID=215&amp;GameID=0021900251&amp;Season=2019-20&amp;flag=1&amp;title=Leonard%20dunk%20(6%20PTS)%20(J.%20Green%201%20AST)", "Dunk (6 PTS) (J. Green 1 AST)")</f>
        <v>Dunk (6 PTS) (J. Green 1 AST)</v>
      </c>
      <c r="K2282" s="2" t="str">
        <f>HYPERLINK("https://www.nba.com/game/...-vs-...-0021900251/play-by-play?watchFullGame=true", "LAC vs DAL - Q2 09:06.00")</f>
        <v>LAC vs DAL - Q2 09:06.00</v>
      </c>
      <c r="L2282">
        <v>1.1599999999999999</v>
      </c>
      <c r="M2282">
        <v>6.13</v>
      </c>
      <c r="N2282">
        <v>49.09</v>
      </c>
      <c r="O2282">
        <v>5</v>
      </c>
      <c r="P2282">
        <v>5</v>
      </c>
    </row>
    <row r="2283" spans="1:16" x14ac:dyDescent="0.25">
      <c r="A2283">
        <v>22400697</v>
      </c>
      <c r="B2283">
        <v>2024</v>
      </c>
      <c r="C2283" t="s">
        <v>32</v>
      </c>
      <c r="D2283" t="s">
        <v>47</v>
      </c>
      <c r="E2283">
        <v>41</v>
      </c>
      <c r="F2283">
        <v>36</v>
      </c>
      <c r="G2283">
        <v>2</v>
      </c>
      <c r="H2283" s="1">
        <v>7.2106481481481483E-3</v>
      </c>
      <c r="I2283" t="s">
        <v>23</v>
      </c>
      <c r="J2283" s="2" t="str">
        <f>HYPERLINK("https://www.nba.com/stats/events?CFID=&amp;CFPARAMS=&amp;GameEventID=172&amp;GameID=0022400697&amp;Season=2024-25&amp;flag=1&amp;title=Leonard%20driving%20finger%20roll%20Layup%20(5%20PTS)", "Driving finger roll Layup (5 PTS)")</f>
        <v>Driving finger roll Layup (5 PTS)</v>
      </c>
      <c r="K2283" s="2" t="str">
        <f>HYPERLINK("https://www.nba.com/game/...-vs-...-0022400697/play-by-play?watchFullGame=true", "LAC vs TOR - Q2 10:23.00")</f>
        <v>LAC vs TOR - Q2 10:23.00</v>
      </c>
      <c r="L2283">
        <v>0.88</v>
      </c>
      <c r="M2283">
        <v>93.64</v>
      </c>
      <c r="N2283">
        <v>50.98</v>
      </c>
      <c r="O2283">
        <v>5</v>
      </c>
      <c r="P2283">
        <v>7</v>
      </c>
    </row>
    <row r="2284" spans="1:16" x14ac:dyDescent="0.25">
      <c r="A2284">
        <v>22000501</v>
      </c>
      <c r="B2284">
        <v>2020</v>
      </c>
      <c r="C2284" t="s">
        <v>32</v>
      </c>
      <c r="D2284" t="s">
        <v>48</v>
      </c>
      <c r="E2284">
        <v>48</v>
      </c>
      <c r="F2284">
        <v>45</v>
      </c>
      <c r="G2284">
        <v>2</v>
      </c>
      <c r="H2284" s="1">
        <v>2.3495370370370371E-3</v>
      </c>
      <c r="I2284" t="s">
        <v>23</v>
      </c>
      <c r="J2284" s="2" t="str">
        <f>HYPERLINK("https://www.nba.com/stats/events?CFID=&amp;CFPARAMS=&amp;GameEventID=259&amp;GameID=0022000501&amp;Season=2020-21&amp;flag=1&amp;title=Leonard%20driving%20DUNK%20(8%20PTS)", "Driving DUNK (8 PTS)")</f>
        <v>Driving DUNK (8 PTS)</v>
      </c>
      <c r="K2284" s="2" t="str">
        <f>HYPERLINK("https://www.nba.com/game/...-vs-...-0022000501/play-by-play?watchFullGame=true", "LAC vs MEM - Q2 03:23.00")</f>
        <v>LAC vs MEM - Q2 03:23.00</v>
      </c>
      <c r="L2284">
        <v>1</v>
      </c>
      <c r="M2284">
        <v>93.51</v>
      </c>
      <c r="N2284">
        <v>51.05</v>
      </c>
      <c r="O2284">
        <v>5</v>
      </c>
      <c r="P2284">
        <v>8</v>
      </c>
    </row>
    <row r="2285" spans="1:16" x14ac:dyDescent="0.25">
      <c r="A2285">
        <v>22000701</v>
      </c>
      <c r="B2285">
        <v>2020</v>
      </c>
      <c r="C2285" t="s">
        <v>32</v>
      </c>
      <c r="D2285" t="s">
        <v>48</v>
      </c>
      <c r="E2285">
        <v>11</v>
      </c>
      <c r="F2285">
        <v>19</v>
      </c>
      <c r="G2285">
        <v>1</v>
      </c>
      <c r="H2285" s="1">
        <v>3.6574074074074074E-3</v>
      </c>
      <c r="I2285" t="s">
        <v>23</v>
      </c>
      <c r="J2285" s="2" t="str">
        <f>HYPERLINK("https://www.nba.com/stats/events?CFID=&amp;CFPARAMS=&amp;GameEventID=87&amp;GameID=0022000701&amp;Season=2020-21&amp;flag=1&amp;title=Leonard%20driving%20DUNK%20(4%20PTS)%20(P.%20Patterson%201%20AST)", "Driving DUNK (4 PTS) (P. Patterson 1 AST)")</f>
        <v>Driving DUNK (4 PTS) (P. Patterson 1 AST)</v>
      </c>
      <c r="K2285" s="2" t="str">
        <f>HYPERLINK("https://www.nba.com/game/...-vs-...-0022000701/play-by-play?watchFullGame=true", "LAC vs PHI - Q1 05:16.00")</f>
        <v>LAC vs PHI - Q1 05:16.00</v>
      </c>
      <c r="L2285">
        <v>1</v>
      </c>
      <c r="M2285">
        <v>6.49</v>
      </c>
      <c r="N2285">
        <v>48.95</v>
      </c>
      <c r="O2285">
        <v>5</v>
      </c>
      <c r="P2285">
        <v>8</v>
      </c>
    </row>
    <row r="2286" spans="1:16" x14ac:dyDescent="0.25">
      <c r="A2286">
        <v>22000328</v>
      </c>
      <c r="B2286">
        <v>2020</v>
      </c>
      <c r="C2286" t="s">
        <v>32</v>
      </c>
      <c r="D2286" t="s">
        <v>47</v>
      </c>
      <c r="E2286">
        <v>11</v>
      </c>
      <c r="F2286">
        <v>18</v>
      </c>
      <c r="G2286">
        <v>1</v>
      </c>
      <c r="H2286" s="1">
        <v>5.0462962962962961E-3</v>
      </c>
      <c r="I2286" t="s">
        <v>23</v>
      </c>
      <c r="J2286" s="2" t="str">
        <f>HYPERLINK("https://www.nba.com/stats/events?CFID=&amp;CFPARAMS=&amp;GameEventID=49&amp;GameID=0022000328&amp;Season=2020-21&amp;flag=1&amp;title=Leonard%20Layup%20(8%20PTS)%20(R.%20Jackson%201%20AST)", "Layup (8 PTS) (R. Jackson 1 AST)")</f>
        <v>Layup (8 PTS) (R. Jackson 1 AST)</v>
      </c>
      <c r="K2286" s="2" t="str">
        <f>HYPERLINK("https://www.nba.com/game/...-vs-...-0022000328/play-by-play?watchFullGame=true", "LAC vs CLE - Q1 07:16.00")</f>
        <v>LAC vs CLE - Q1 07:16.00</v>
      </c>
      <c r="L2286">
        <v>0.89</v>
      </c>
      <c r="M2286">
        <v>6.39</v>
      </c>
      <c r="N2286">
        <v>49.09</v>
      </c>
      <c r="O2286">
        <v>5</v>
      </c>
      <c r="P2286">
        <v>8</v>
      </c>
    </row>
    <row r="2287" spans="1:16" x14ac:dyDescent="0.25">
      <c r="A2287">
        <v>21900603</v>
      </c>
      <c r="B2287">
        <v>2019</v>
      </c>
      <c r="C2287" t="s">
        <v>32</v>
      </c>
      <c r="D2287" t="s">
        <v>65</v>
      </c>
      <c r="E2287">
        <v>83</v>
      </c>
      <c r="F2287">
        <v>62</v>
      </c>
      <c r="G2287">
        <v>3</v>
      </c>
      <c r="H2287" s="1">
        <v>4.8726851851851848E-3</v>
      </c>
      <c r="I2287" t="s">
        <v>23</v>
      </c>
      <c r="J2287" s="2" t="str">
        <f>HYPERLINK("https://www.nba.com/stats/events?CFID=&amp;CFPARAMS=&amp;GameEventID=374&amp;GameID=0021900603&amp;Season=2019-20&amp;flag=1&amp;title=Leonard%20dunk%20(37%20PTS)%20(L.%20Shamet%202%20AST)", "Dunk (37 PTS) (L. Shamet 2 AST)")</f>
        <v>Dunk (37 PTS) (L. Shamet 2 AST)</v>
      </c>
      <c r="K2287" s="2" t="str">
        <f>HYPERLINK("https://www.nba.com/game/...-vs-...-0021900603/play-by-play?watchFullGame=true", "LAC vs CLE - Q3 07:01.00")</f>
        <v>LAC vs CLE - Q3 07:01.00</v>
      </c>
      <c r="L2287">
        <v>1.39</v>
      </c>
      <c r="M2287">
        <v>93.61</v>
      </c>
      <c r="N2287">
        <v>50.91</v>
      </c>
      <c r="O2287">
        <v>5</v>
      </c>
      <c r="P2287">
        <v>8</v>
      </c>
    </row>
    <row r="2288" spans="1:16" x14ac:dyDescent="0.25">
      <c r="A2288">
        <v>22000400</v>
      </c>
      <c r="B2288">
        <v>2020</v>
      </c>
      <c r="C2288" t="s">
        <v>32</v>
      </c>
      <c r="D2288" t="s">
        <v>47</v>
      </c>
      <c r="E2288">
        <v>6</v>
      </c>
      <c r="F2288">
        <v>2</v>
      </c>
      <c r="G2288">
        <v>1</v>
      </c>
      <c r="H2288" s="1">
        <v>7.2685185185185188E-3</v>
      </c>
      <c r="I2288" t="s">
        <v>23</v>
      </c>
      <c r="J2288" s="2" t="str">
        <f>HYPERLINK("https://www.nba.com/stats/events?CFID=&amp;CFPARAMS=&amp;GameEventID=18&amp;GameID=0022000400&amp;Season=2020-21&amp;flag=1&amp;title=Leonard%20driving%20Layup%20(2%20PTS)", "Driving Layup (2 PTS)")</f>
        <v>Driving Layup (2 PTS)</v>
      </c>
      <c r="K2288" s="2" t="str">
        <f>HYPERLINK("https://www.nba.com/game/...-vs-...-0022000400/play-by-play?watchFullGame=true", "LAC vs CHI - Q1 10:28.00")</f>
        <v>LAC vs CHI - Q1 10:28.00</v>
      </c>
      <c r="L2288">
        <v>1</v>
      </c>
      <c r="M2288">
        <v>93.51</v>
      </c>
      <c r="N2288">
        <v>51.05</v>
      </c>
      <c r="O2288">
        <v>5</v>
      </c>
      <c r="P2288">
        <v>8</v>
      </c>
    </row>
    <row r="2289" spans="1:16" x14ac:dyDescent="0.25">
      <c r="A2289">
        <v>22000289</v>
      </c>
      <c r="B2289">
        <v>2020</v>
      </c>
      <c r="C2289" t="s">
        <v>32</v>
      </c>
      <c r="D2289" t="s">
        <v>47</v>
      </c>
      <c r="E2289">
        <v>9</v>
      </c>
      <c r="F2289">
        <v>20</v>
      </c>
      <c r="G2289">
        <v>1</v>
      </c>
      <c r="H2289" s="1">
        <v>2.5694444444444445E-3</v>
      </c>
      <c r="I2289" t="s">
        <v>23</v>
      </c>
      <c r="J2289" s="2" t="str">
        <f>HYPERLINK("https://www.nba.com/stats/events?CFID=&amp;CFPARAMS=&amp;GameEventID=96&amp;GameID=0022000289&amp;Season=2020-21&amp;flag=1&amp;title=Leonard%20driving%20Layup%20(7%20PTS)", "Driving Layup (7 PTS)")</f>
        <v>Driving Layup (7 PTS)</v>
      </c>
      <c r="K2289" s="2" t="str">
        <f>HYPERLINK("https://www.nba.com/game/...-vs-...-0022000289/play-by-play?watchFullGame=true", "LAC vs ORL - Q1 03:42.00")</f>
        <v>LAC vs ORL - Q1 03:42.00</v>
      </c>
      <c r="L2289">
        <v>1</v>
      </c>
      <c r="M2289">
        <v>93.51</v>
      </c>
      <c r="N2289">
        <v>51.05</v>
      </c>
      <c r="O2289">
        <v>5</v>
      </c>
      <c r="P2289">
        <v>8</v>
      </c>
    </row>
    <row r="2290" spans="1:16" x14ac:dyDescent="0.25">
      <c r="A2290">
        <v>22200687</v>
      </c>
      <c r="B2290">
        <v>2022</v>
      </c>
      <c r="C2290" t="s">
        <v>32</v>
      </c>
      <c r="D2290" t="s">
        <v>48</v>
      </c>
      <c r="E2290">
        <v>120</v>
      </c>
      <c r="F2290">
        <v>131</v>
      </c>
      <c r="G2290">
        <v>4</v>
      </c>
      <c r="H2290" s="1">
        <v>5.5324074074074075E-4</v>
      </c>
      <c r="I2290" t="s">
        <v>23</v>
      </c>
      <c r="J2290" s="2" t="str">
        <f>HYPERLINK("https://www.nba.com/stats/events?CFID=&amp;CFPARAMS=&amp;GameEventID=542&amp;GameID=0022200687&amp;Season=2022-23&amp;flag=1&amp;title=Leonard%20driving%20DUNK%20(36%20PTS)", "Driving DUNK (36 PTS)")</f>
        <v>Driving DUNK (36 PTS)</v>
      </c>
      <c r="K2290" s="2" t="str">
        <f>HYPERLINK("https://www.nba.com/game/...-vs-...-0022200687/play-by-play?watchFullGame=true", "LAC vs SAS - Q4 00:47.80")</f>
        <v>LAC vs SAS - Q4 00:47.80</v>
      </c>
      <c r="L2290">
        <v>0.9</v>
      </c>
      <c r="M2290">
        <v>6.39</v>
      </c>
      <c r="N2290">
        <v>49.02</v>
      </c>
      <c r="O2290">
        <v>5</v>
      </c>
      <c r="P2290">
        <v>8</v>
      </c>
    </row>
    <row r="2291" spans="1:16" x14ac:dyDescent="0.25">
      <c r="A2291">
        <v>22301052</v>
      </c>
      <c r="B2291">
        <v>2023</v>
      </c>
      <c r="C2291" t="s">
        <v>32</v>
      </c>
      <c r="D2291" t="s">
        <v>48</v>
      </c>
      <c r="E2291">
        <v>66</v>
      </c>
      <c r="F2291">
        <v>67</v>
      </c>
      <c r="G2291">
        <v>3</v>
      </c>
      <c r="H2291" s="1">
        <v>2.3958333333333331E-3</v>
      </c>
      <c r="I2291" t="s">
        <v>23</v>
      </c>
      <c r="J2291" s="2" t="str">
        <f>HYPERLINK("https://www.nba.com/stats/events?CFID=&amp;CFPARAMS=&amp;GameEventID=432&amp;GameID=0022301052&amp;Season=2023-24&amp;flag=1&amp;title=Leonard%20running%20DUNK%20(7%20PTS)", "Running DUNK (7 PTS)")</f>
        <v>Running DUNK (7 PTS)</v>
      </c>
      <c r="K2291" s="2" t="str">
        <f>HYPERLINK("https://www.nba.com/game/...-vs-...-0022301052/play-by-play?watchFullGame=true", "LAC vs PHI - Q3 03:27.00")</f>
        <v>LAC vs PHI - Q3 03:27.00</v>
      </c>
      <c r="L2291">
        <v>1.2</v>
      </c>
      <c r="M2291">
        <v>6.75</v>
      </c>
      <c r="N2291">
        <v>49.02</v>
      </c>
      <c r="O2291">
        <v>5</v>
      </c>
      <c r="P2291">
        <v>11</v>
      </c>
    </row>
    <row r="2292" spans="1:16" x14ac:dyDescent="0.25">
      <c r="A2292">
        <v>22400793</v>
      </c>
      <c r="B2292">
        <v>2024</v>
      </c>
      <c r="C2292" t="s">
        <v>32</v>
      </c>
      <c r="D2292" t="s">
        <v>47</v>
      </c>
      <c r="E2292">
        <v>67</v>
      </c>
      <c r="F2292">
        <v>72</v>
      </c>
      <c r="G2292">
        <v>3</v>
      </c>
      <c r="H2292" s="1">
        <v>4.1087962962962962E-3</v>
      </c>
      <c r="I2292" t="s">
        <v>23</v>
      </c>
      <c r="J2292" s="2" t="str">
        <f>HYPERLINK("https://www.nba.com/stats/events?CFID=&amp;CFPARAMS=&amp;GameEventID=381&amp;GameID=0022400793&amp;Season=2024-25&amp;flag=1&amp;title=Leonard%20running%20Layup%20(17%20PTS)%20(J.%20Harden%205%20AST)", "Running Layup (17 PTS) (J. Harden 5 AST)")</f>
        <v>Running Layup (17 PTS) (J. Harden 5 AST)</v>
      </c>
      <c r="K2292" s="2" t="str">
        <f>HYPERLINK("https://www.nba.com/game/...-vs-...-0022400793/play-by-play?watchFullGame=true", "LAC vs MIL - Q3 05:55.00")</f>
        <v>LAC vs MIL - Q3 05:55.00</v>
      </c>
      <c r="L2292">
        <v>1.2</v>
      </c>
      <c r="M2292">
        <v>93.25</v>
      </c>
      <c r="N2292">
        <v>50.98</v>
      </c>
      <c r="O2292">
        <v>5</v>
      </c>
      <c r="P2292">
        <v>11</v>
      </c>
    </row>
    <row r="2293" spans="1:16" x14ac:dyDescent="0.25">
      <c r="A2293">
        <v>22000644</v>
      </c>
      <c r="B2293">
        <v>2020</v>
      </c>
      <c r="C2293" t="s">
        <v>32</v>
      </c>
      <c r="D2293" t="s">
        <v>47</v>
      </c>
      <c r="E2293">
        <v>32</v>
      </c>
      <c r="F2293">
        <v>18</v>
      </c>
      <c r="G2293">
        <v>1</v>
      </c>
      <c r="H2293" s="1">
        <v>1.1458333333333333E-3</v>
      </c>
      <c r="I2293" t="s">
        <v>23</v>
      </c>
      <c r="J2293" s="2" t="str">
        <f>HYPERLINK("https://www.nba.com/stats/events?CFID=&amp;CFPARAMS=&amp;GameEventID=117&amp;GameID=0022000644&amp;Season=2020-21&amp;flag=1&amp;title=Leonard%20putback%20Layup%20(4%20PTS)", "Putback Layup (4 PTS)")</f>
        <v>Putback Layup (4 PTS)</v>
      </c>
      <c r="K2293" s="2" t="str">
        <f>HYPERLINK("https://www.nba.com/game/...-vs-...-0022000644/play-by-play?watchFullGame=true", "LAC vs CHA - Q1 01:39.00")</f>
        <v>LAC vs CHA - Q1 01:39.00</v>
      </c>
      <c r="L2293">
        <v>1.22</v>
      </c>
      <c r="M2293">
        <v>93.25</v>
      </c>
      <c r="N2293">
        <v>51.05</v>
      </c>
      <c r="O2293">
        <v>5</v>
      </c>
      <c r="P2293">
        <v>11</v>
      </c>
    </row>
    <row r="2294" spans="1:16" x14ac:dyDescent="0.25">
      <c r="A2294">
        <v>41800402</v>
      </c>
      <c r="B2294" t="s">
        <v>20</v>
      </c>
      <c r="C2294" t="s">
        <v>32</v>
      </c>
      <c r="D2294" t="s">
        <v>49</v>
      </c>
      <c r="E2294">
        <v>80</v>
      </c>
      <c r="F2294">
        <v>88</v>
      </c>
      <c r="G2294">
        <v>3</v>
      </c>
      <c r="H2294" s="1">
        <v>3.3796296296296298E-4</v>
      </c>
      <c r="I2294" t="s">
        <v>21</v>
      </c>
      <c r="J2294" s="2" t="str">
        <f>HYPERLINK("https://www.nba.com/stats/events?CFID=&amp;CFPARAMS=&amp;GameEventID=529&amp;GameID=0041800402&amp;Season=2018-19&amp;flag=1&amp;title=Leonard%201'%20Driving%20Layup%20(28%20PTS)", "Leonard 1' Driving Layup (28 PTS)")</f>
        <v>Leonard 1' Driving Layup (28 PTS)</v>
      </c>
      <c r="K2294" s="2" t="str">
        <f>HYPERLINK("https://www.nba.com/game/...-vs-...-0041800402/play-by-play?watchFullGame=true", "TOR vs GSW - Q3 00:29.20")</f>
        <v>TOR vs GSW - Q3 00:29.20</v>
      </c>
      <c r="L2294">
        <v>1</v>
      </c>
      <c r="M2294">
        <v>5</v>
      </c>
      <c r="N2294">
        <v>11</v>
      </c>
      <c r="O2294">
        <v>5</v>
      </c>
      <c r="P2294">
        <v>11</v>
      </c>
    </row>
    <row r="2295" spans="1:16" x14ac:dyDescent="0.25">
      <c r="A2295">
        <v>21900618</v>
      </c>
      <c r="B2295">
        <v>2019</v>
      </c>
      <c r="C2295" t="s">
        <v>32</v>
      </c>
      <c r="D2295" t="s">
        <v>50</v>
      </c>
      <c r="E2295">
        <v>69</v>
      </c>
      <c r="F2295">
        <v>51</v>
      </c>
      <c r="G2295">
        <v>3</v>
      </c>
      <c r="H2295" s="1">
        <v>7.6504629629629631E-3</v>
      </c>
      <c r="I2295" t="s">
        <v>23</v>
      </c>
      <c r="J2295" s="2" t="str">
        <f>HYPERLINK("https://www.nba.com/stats/events?CFID=&amp;CFPARAMS=&amp;GameEventID=338&amp;GameID=0021900618&amp;Season=2019-20&amp;flag=1&amp;title=Leonard%20layup%20(24%20PTS)%20(L.%20Shamet%201%20AST)", "Layup (24 PTS) (L. Shamet 1 AST)")</f>
        <v>Layup (24 PTS) (L. Shamet 1 AST)</v>
      </c>
      <c r="K2295" s="2" t="str">
        <f>HYPERLINK("https://www.nba.com/game/...-vs-...-0021900618/play-by-play?watchFullGame=true", "LAC vs ORL - Q3 11:01.00")</f>
        <v>LAC vs ORL - Q3 11:01.00</v>
      </c>
      <c r="L2295">
        <v>1.73</v>
      </c>
      <c r="M2295">
        <v>6.75</v>
      </c>
      <c r="N2295">
        <v>48.95</v>
      </c>
      <c r="O2295">
        <v>5</v>
      </c>
      <c r="P2295">
        <v>11</v>
      </c>
    </row>
    <row r="2296" spans="1:16" x14ac:dyDescent="0.25">
      <c r="A2296">
        <v>22000701</v>
      </c>
      <c r="B2296">
        <v>2020</v>
      </c>
      <c r="C2296" t="s">
        <v>32</v>
      </c>
      <c r="D2296" t="s">
        <v>48</v>
      </c>
      <c r="E2296">
        <v>20</v>
      </c>
      <c r="F2296">
        <v>23</v>
      </c>
      <c r="G2296">
        <v>1</v>
      </c>
      <c r="H2296" s="1">
        <v>1.8634259259259259E-3</v>
      </c>
      <c r="I2296" t="s">
        <v>23</v>
      </c>
      <c r="J2296" s="2" t="str">
        <f>HYPERLINK("https://www.nba.com/stats/events?CFID=&amp;CFPARAMS=&amp;GameEventID=115&amp;GameID=0022000701&amp;Season=2020-21&amp;flag=1&amp;title=Leonard%20running%20DUNK%20(6%20PTS)", "Running DUNK (6 PTS)")</f>
        <v>Running DUNK (6 PTS)</v>
      </c>
      <c r="K2296" s="2" t="str">
        <f>HYPERLINK("https://www.nba.com/game/...-vs-...-0022000701/play-by-play?watchFullGame=true", "LAC vs PHI - Q1 02:41.00")</f>
        <v>LAC vs PHI - Q1 02:41.00</v>
      </c>
      <c r="L2296">
        <v>1.22</v>
      </c>
      <c r="M2296">
        <v>6.75</v>
      </c>
      <c r="N2296">
        <v>48.95</v>
      </c>
      <c r="O2296">
        <v>5</v>
      </c>
      <c r="P2296">
        <v>11</v>
      </c>
    </row>
    <row r="2297" spans="1:16" x14ac:dyDescent="0.25">
      <c r="A2297">
        <v>22000142</v>
      </c>
      <c r="B2297">
        <v>2020</v>
      </c>
      <c r="C2297" t="s">
        <v>32</v>
      </c>
      <c r="D2297" t="s">
        <v>47</v>
      </c>
      <c r="E2297">
        <v>126</v>
      </c>
      <c r="F2297">
        <v>119</v>
      </c>
      <c r="G2297">
        <v>4</v>
      </c>
      <c r="H2297" s="1">
        <v>6.5277777777777773E-4</v>
      </c>
      <c r="I2297" t="s">
        <v>23</v>
      </c>
      <c r="J2297" s="2" t="str">
        <f>HYPERLINK("https://www.nba.com/stats/events?CFID=&amp;CFPARAMS=&amp;GameEventID=625&amp;GameID=0022000142&amp;Season=2020-21&amp;flag=1&amp;title=Leonard%20Layup%20(35%20PTS)", "Layup (35 PTS)")</f>
        <v>Layup (35 PTS)</v>
      </c>
      <c r="K2297" s="2" t="str">
        <f>HYPERLINK("https://www.nba.com/game/...-vs-...-0022000142/play-by-play?watchFullGame=true", "LAC vs CHI - Q4 00:56.40")</f>
        <v>LAC vs CHI - Q4 00:56.40</v>
      </c>
      <c r="L2297">
        <v>1.22</v>
      </c>
      <c r="M2297">
        <v>93.25</v>
      </c>
      <c r="N2297">
        <v>51.05</v>
      </c>
      <c r="O2297">
        <v>5</v>
      </c>
      <c r="P2297">
        <v>11</v>
      </c>
    </row>
    <row r="2298" spans="1:16" x14ac:dyDescent="0.25">
      <c r="A2298">
        <v>21900377</v>
      </c>
      <c r="B2298">
        <v>2019</v>
      </c>
      <c r="C2298" t="s">
        <v>32</v>
      </c>
      <c r="D2298" t="s">
        <v>50</v>
      </c>
      <c r="E2298">
        <v>3</v>
      </c>
      <c r="F2298">
        <v>6</v>
      </c>
      <c r="G2298">
        <v>1</v>
      </c>
      <c r="H2298" s="1">
        <v>7.2106481481481483E-3</v>
      </c>
      <c r="I2298" t="s">
        <v>23</v>
      </c>
      <c r="J2298" s="2" t="str">
        <f>HYPERLINK("https://www.nba.com/stats/events?CFID=&amp;CFPARAMS=&amp;GameEventID=24&amp;GameID=0021900377&amp;Season=2019-20&amp;flag=1&amp;title=Leonard%20layup%20(4%20PTS)", "Layup (4 PTS)")</f>
        <v>Layup (4 PTS)</v>
      </c>
      <c r="K2298" s="2" t="str">
        <f>HYPERLINK("https://www.nba.com/game/...-vs-...-0021900377/play-by-play?watchFullGame=true", "LAC vs MIN - Q1 10:23.00")</f>
        <v>LAC vs MIN - Q1 10:23.00</v>
      </c>
      <c r="L2298">
        <v>1.84</v>
      </c>
      <c r="M2298">
        <v>93.12</v>
      </c>
      <c r="N2298">
        <v>51.05</v>
      </c>
      <c r="O2298">
        <v>5</v>
      </c>
      <c r="P2298">
        <v>12</v>
      </c>
    </row>
    <row r="2299" spans="1:16" x14ac:dyDescent="0.25">
      <c r="A2299">
        <v>41800301</v>
      </c>
      <c r="B2299" t="s">
        <v>20</v>
      </c>
      <c r="C2299" t="s">
        <v>32</v>
      </c>
      <c r="D2299" t="s">
        <v>63</v>
      </c>
      <c r="E2299">
        <v>62</v>
      </c>
      <c r="F2299">
        <v>67</v>
      </c>
      <c r="G2299">
        <v>3</v>
      </c>
      <c r="H2299" s="1">
        <v>5.4629629629629629E-3</v>
      </c>
      <c r="I2299" t="s">
        <v>21</v>
      </c>
      <c r="J2299" s="2" t="str">
        <f>HYPERLINK("https://www.nba.com/stats/events?CFID=&amp;CFPARAMS=&amp;GameEventID=375&amp;GameID=0041800301&amp;Season=2018-19&amp;flag=1&amp;title=Leonard%201'%20Running%20Dunk%20(19%20PTS)%20(Gasol%203%20AST)", "Leonard 1' Running Dunk (19 PTS) (Gasol 3 AST)")</f>
        <v>Leonard 1' Running Dunk (19 PTS) (Gasol 3 AST)</v>
      </c>
      <c r="K2299" s="2" t="str">
        <f>HYPERLINK("https://www.nba.com/game/...-vs-...-0041800301/play-by-play?watchFullGame=true", "TOR vs MIL - Q3 07:52.00")</f>
        <v>TOR vs MIL - Q3 07:52.00</v>
      </c>
      <c r="L2299">
        <v>1</v>
      </c>
      <c r="M2299">
        <v>5</v>
      </c>
      <c r="N2299">
        <v>13</v>
      </c>
      <c r="O2299">
        <v>5</v>
      </c>
      <c r="P2299">
        <v>13</v>
      </c>
    </row>
    <row r="2300" spans="1:16" x14ac:dyDescent="0.25">
      <c r="A2300">
        <v>22400671</v>
      </c>
      <c r="B2300">
        <v>2024</v>
      </c>
      <c r="C2300" t="s">
        <v>32</v>
      </c>
      <c r="D2300" t="s">
        <v>48</v>
      </c>
      <c r="E2300">
        <v>110</v>
      </c>
      <c r="F2300">
        <v>123</v>
      </c>
      <c r="G2300">
        <v>4</v>
      </c>
      <c r="H2300" s="1">
        <v>1.0879629629629629E-3</v>
      </c>
      <c r="I2300" t="s">
        <v>23</v>
      </c>
      <c r="J2300" s="2" t="str">
        <f>HYPERLINK("https://www.nba.com/stats/events?CFID=&amp;CFPARAMS=&amp;GameEventID=629&amp;GameID=0022400671&amp;Season=2024-25&amp;flag=1&amp;title=Leonard%20running%20DUNK%20(27%20PTS)%20(J.%20Harden%2011%20AST)", "Running DUNK (27 PTS) (J. Harden 11 AST)")</f>
        <v>Running DUNK (27 PTS) (J. Harden 11 AST)</v>
      </c>
      <c r="K2300" s="2" t="str">
        <f>HYPERLINK("https://www.nba.com/game/...-vs-...-0022400671/play-by-play?watchFullGame=true", "LAC vs SAS - Q4 01:34.00")</f>
        <v>LAC vs SAS - Q4 01:34.00</v>
      </c>
      <c r="L2300">
        <v>1.45</v>
      </c>
      <c r="M2300">
        <v>7.05</v>
      </c>
      <c r="N2300">
        <v>49.02</v>
      </c>
      <c r="O2300">
        <v>5</v>
      </c>
      <c r="P2300">
        <v>14</v>
      </c>
    </row>
    <row r="2301" spans="1:16" x14ac:dyDescent="0.25">
      <c r="A2301">
        <v>22000116</v>
      </c>
      <c r="B2301">
        <v>2020</v>
      </c>
      <c r="C2301" t="s">
        <v>32</v>
      </c>
      <c r="D2301" t="s">
        <v>48</v>
      </c>
      <c r="E2301">
        <v>60</v>
      </c>
      <c r="F2301">
        <v>61</v>
      </c>
      <c r="G2301">
        <v>3</v>
      </c>
      <c r="H2301" s="1">
        <v>5.37037037037037E-3</v>
      </c>
      <c r="I2301" t="s">
        <v>23</v>
      </c>
      <c r="J2301" s="2" t="str">
        <f>HYPERLINK("https://www.nba.com/stats/events?CFID=&amp;CFPARAMS=&amp;GameEventID=389&amp;GameID=0022000116&amp;Season=2020-21&amp;flag=1&amp;title=Leonard%20running%20alley-oop%20DUNK%20(8%20PTS)%20(P.%20George%202%20AST)", "Running alley-oop DUNK (8 PTS) (P. George 2 AST)")</f>
        <v>Running alley-oop DUNK (8 PTS) (P. George 2 AST)</v>
      </c>
      <c r="K2301" s="2" t="str">
        <f>HYPERLINK("https://www.nba.com/game/...-vs-...-0022000116/play-by-play?watchFullGame=true", "LAC vs GSW - Q3 07:44.00")</f>
        <v>LAC vs GSW - Q3 07:44.00</v>
      </c>
      <c r="L2301">
        <v>2.14</v>
      </c>
      <c r="M2301">
        <v>92.2</v>
      </c>
      <c r="N2301">
        <v>51.05</v>
      </c>
      <c r="O2301">
        <v>5</v>
      </c>
      <c r="P2301">
        <v>21</v>
      </c>
    </row>
    <row r="2302" spans="1:16" x14ac:dyDescent="0.25">
      <c r="A2302">
        <v>22300024</v>
      </c>
      <c r="B2302">
        <v>2023</v>
      </c>
      <c r="C2302" t="s">
        <v>32</v>
      </c>
      <c r="D2302" t="s">
        <v>47</v>
      </c>
      <c r="E2302">
        <v>11</v>
      </c>
      <c r="F2302">
        <v>14</v>
      </c>
      <c r="G2302">
        <v>1</v>
      </c>
      <c r="H2302" s="1">
        <v>4.5254629629629629E-3</v>
      </c>
      <c r="I2302" t="s">
        <v>23</v>
      </c>
      <c r="J2302" s="2" t="str">
        <f>HYPERLINK("https://www.nba.com/stats/events?CFID=&amp;CFPARAMS=&amp;GameEventID=69&amp;GameID=0022300024&amp;Season=2023-24&amp;flag=1&amp;title=Leonard%20cutting%20Layup%20(2%20PTS)%20(I.%20Zubac%202%20AST)", "Cutting Layup (2 PTS) (I. Zubac 2 AST)")</f>
        <v>Cutting Layup (2 PTS) (I. Zubac 2 AST)</v>
      </c>
      <c r="K2302" s="2" t="str">
        <f>HYPERLINK("https://www.nba.com/game/...-vs-...-0022300024/play-by-play?watchFullGame=true", "LAC vs DEN - Q1 06:31.00")</f>
        <v>LAC vs DEN - Q1 06:31.00</v>
      </c>
      <c r="L2302">
        <v>2.14</v>
      </c>
      <c r="M2302">
        <v>92.2</v>
      </c>
      <c r="N2302">
        <v>50.98</v>
      </c>
      <c r="O2302">
        <v>5</v>
      </c>
      <c r="P2302">
        <v>21</v>
      </c>
    </row>
    <row r="2303" spans="1:16" x14ac:dyDescent="0.25">
      <c r="A2303">
        <v>21900339</v>
      </c>
      <c r="B2303">
        <v>2019</v>
      </c>
      <c r="C2303" t="s">
        <v>32</v>
      </c>
      <c r="D2303" t="s">
        <v>65</v>
      </c>
      <c r="E2303">
        <v>16</v>
      </c>
      <c r="F2303">
        <v>25</v>
      </c>
      <c r="G2303">
        <v>1</v>
      </c>
      <c r="H2303" s="1">
        <v>3.5879629629629629E-3</v>
      </c>
      <c r="I2303" t="s">
        <v>23</v>
      </c>
      <c r="J2303" s="2" t="str">
        <f>HYPERLINK("https://www.nba.com/stats/events?CFID=&amp;CFPARAMS=&amp;GameEventID=90&amp;GameID=0021900339&amp;Season=2019-20&amp;flag=1&amp;title=Leonard%20dunk%20(8%20PTS)%20(P.%20George%202%20AST)", "Dunk (8 PTS) (P. George 2 AST)")</f>
        <v>Dunk (8 PTS) (P. George 2 AST)</v>
      </c>
      <c r="K2303" s="2" t="str">
        <f>HYPERLINK("https://www.nba.com/game/...-vs-...-0021900339/play-by-play?watchFullGame=true", "LAC vs WAS - Q1 05:10.00")</f>
        <v>LAC vs WAS - Q1 05:10.00</v>
      </c>
      <c r="L2303">
        <v>3.31</v>
      </c>
      <c r="M2303">
        <v>91.51</v>
      </c>
      <c r="N2303">
        <v>50.91</v>
      </c>
      <c r="O2303">
        <v>5</v>
      </c>
      <c r="P2303">
        <v>27</v>
      </c>
    </row>
    <row r="2304" spans="1:16" x14ac:dyDescent="0.25">
      <c r="A2304">
        <v>22300505</v>
      </c>
      <c r="B2304">
        <v>2023</v>
      </c>
      <c r="C2304" t="s">
        <v>32</v>
      </c>
      <c r="D2304" t="s">
        <v>47</v>
      </c>
      <c r="E2304">
        <v>66</v>
      </c>
      <c r="F2304">
        <v>67</v>
      </c>
      <c r="G2304">
        <v>3</v>
      </c>
      <c r="H2304" s="1">
        <v>4.2708333333333331E-3</v>
      </c>
      <c r="I2304" t="s">
        <v>23</v>
      </c>
      <c r="J2304" s="2" t="str">
        <f>HYPERLINK("https://www.nba.com/stats/events?CFID=&amp;CFPARAMS=&amp;GameEventID=375&amp;GameID=0022300505&amp;Season=2023-24&amp;flag=1&amp;title=Leonard%20running%20Layup%20(10%20PTS)%20(J.%20Harden%207%20AST)", "Running Layup (10 PTS) (J. Harden 7 AST)")</f>
        <v>Running Layup (10 PTS) (J. Harden 7 AST)</v>
      </c>
      <c r="K2304" s="2" t="str">
        <f>HYPERLINK("https://www.nba.com/game/...-vs-...-0022300505/play-by-play?watchFullGame=true", "LAC vs LAL - Q3 06:09.00")</f>
        <v>LAC vs LAL - Q3 06:09.00</v>
      </c>
      <c r="L2304">
        <v>3.36</v>
      </c>
      <c r="M2304">
        <v>9.1199999999999992</v>
      </c>
      <c r="N2304">
        <v>49.02</v>
      </c>
      <c r="O2304">
        <v>5</v>
      </c>
      <c r="P2304">
        <v>33</v>
      </c>
    </row>
    <row r="2305" spans="1:16" x14ac:dyDescent="0.25">
      <c r="A2305">
        <v>22400715</v>
      </c>
      <c r="B2305">
        <v>2024</v>
      </c>
      <c r="C2305" t="s">
        <v>32</v>
      </c>
      <c r="D2305" t="s">
        <v>47</v>
      </c>
      <c r="E2305">
        <v>31</v>
      </c>
      <c r="F2305">
        <v>47</v>
      </c>
      <c r="G2305">
        <v>2</v>
      </c>
      <c r="H2305" s="1">
        <v>7.3842592592592597E-3</v>
      </c>
      <c r="I2305" t="s">
        <v>23</v>
      </c>
      <c r="J2305" s="2" t="str">
        <f>HYPERLINK("https://www.nba.com/stats/events?CFID=&amp;CFPARAMS=&amp;GameEventID=181&amp;GameID=0022400715&amp;Season=2024-25&amp;flag=1&amp;title=Leonard%20driving%20reverse%20Layup%20(5%20PTS)%20(Porter%20Jr.%201%20AST)", "Driving reverse Layup (5 PTS) (K. Porter Jr. 1 AST)")</f>
        <v>Driving reverse Layup (5 PTS) (K. Porter Jr. 1 AST)</v>
      </c>
      <c r="K2305" s="2" t="str">
        <f>HYPERLINK("https://www.nba.com/game/...-vs-...-0022400715/play-by-play?watchFullGame=true", "LAC vs LAL - Q2 10:38.00")</f>
        <v>LAC vs LAL - Q2 10:38.00</v>
      </c>
      <c r="L2305">
        <v>3.36</v>
      </c>
      <c r="M2305">
        <v>90.88</v>
      </c>
      <c r="N2305">
        <v>50.98</v>
      </c>
      <c r="O2305">
        <v>5</v>
      </c>
      <c r="P2305">
        <v>33</v>
      </c>
    </row>
    <row r="2306" spans="1:16" x14ac:dyDescent="0.25">
      <c r="A2306">
        <v>21900406</v>
      </c>
      <c r="B2306">
        <v>2019</v>
      </c>
      <c r="C2306" t="s">
        <v>32</v>
      </c>
      <c r="D2306" t="s">
        <v>50</v>
      </c>
      <c r="E2306">
        <v>64</v>
      </c>
      <c r="F2306">
        <v>53</v>
      </c>
      <c r="G2306">
        <v>3</v>
      </c>
      <c r="H2306" s="1">
        <v>5.347222222222222E-3</v>
      </c>
      <c r="I2306" t="s">
        <v>23</v>
      </c>
      <c r="J2306" s="2" t="str">
        <f>HYPERLINK("https://www.nba.com/stats/events?CFID=&amp;CFPARAMS=&amp;GameEventID=416&amp;GameID=0021900406&amp;Season=2019-20&amp;flag=1&amp;title=Leonard%20layup%20(12%20PTS)", "Layup (12 PTS)")</f>
        <v>Layup (12 PTS)</v>
      </c>
      <c r="K2306" s="2" t="str">
        <f>HYPERLINK("https://www.nba.com/game/...-vs-...-0021900406/play-by-play?watchFullGame=true", "LAC vs PHX - Q3 07:42.00")</f>
        <v>LAC vs PHX - Q3 07:42.00</v>
      </c>
      <c r="L2306">
        <v>4.05</v>
      </c>
      <c r="M2306">
        <v>90.72</v>
      </c>
      <c r="N2306">
        <v>50.91</v>
      </c>
      <c r="O2306">
        <v>5</v>
      </c>
      <c r="P2306">
        <v>35</v>
      </c>
    </row>
    <row r="2307" spans="1:16" x14ac:dyDescent="0.25">
      <c r="A2307">
        <v>22200639</v>
      </c>
      <c r="B2307">
        <v>2022</v>
      </c>
      <c r="C2307" t="s">
        <v>32</v>
      </c>
      <c r="D2307" t="s">
        <v>47</v>
      </c>
      <c r="E2307">
        <v>62</v>
      </c>
      <c r="F2307">
        <v>61</v>
      </c>
      <c r="G2307">
        <v>3</v>
      </c>
      <c r="H2307" s="1">
        <v>7.3263888888888892E-3</v>
      </c>
      <c r="I2307" t="s">
        <v>23</v>
      </c>
      <c r="J2307" s="2" t="str">
        <f>HYPERLINK("https://www.nba.com/stats/events?CFID=&amp;CFPARAMS=&amp;GameEventID=291&amp;GameID=0022200639&amp;Season=2022-23&amp;flag=1&amp;title=Leonard%20finger%20roll%20Layup%20(16%20PTS)", "Finger roll Layup (16 PTS)")</f>
        <v>Finger roll Layup (16 PTS)</v>
      </c>
      <c r="K2307" s="2" t="str">
        <f>HYPERLINK("https://www.nba.com/game/...-vs-...-0022200639/play-by-play?watchFullGame=true", "LAC vs DEN - Q3 10:33.00")</f>
        <v>LAC vs DEN - Q3 10:33.00</v>
      </c>
      <c r="L2307">
        <v>3.72</v>
      </c>
      <c r="M2307">
        <v>9.51</v>
      </c>
      <c r="N2307">
        <v>49.02</v>
      </c>
      <c r="O2307">
        <v>5</v>
      </c>
      <c r="P2307">
        <v>37</v>
      </c>
    </row>
    <row r="2308" spans="1:16" x14ac:dyDescent="0.25">
      <c r="A2308">
        <v>42000173</v>
      </c>
      <c r="B2308" t="s">
        <v>83</v>
      </c>
      <c r="C2308" t="s">
        <v>32</v>
      </c>
      <c r="D2308" t="s">
        <v>47</v>
      </c>
      <c r="E2308">
        <v>97</v>
      </c>
      <c r="F2308">
        <v>107</v>
      </c>
      <c r="G2308">
        <v>4</v>
      </c>
      <c r="H2308" s="1">
        <v>3.6226851851851854E-3</v>
      </c>
      <c r="I2308" t="s">
        <v>23</v>
      </c>
      <c r="J2308" s="2" t="str">
        <f>HYPERLINK("https://www.nba.com/stats/events?CFID=&amp;CFPARAMS=&amp;GameEventID=517&amp;GameID=0042000173&amp;Season=2020-21&amp;flag=1&amp;title=Leonard%20driving%20Layup%20(32%20PTS)", "Driving Layup (32 PTS)")</f>
        <v>Driving Layup (32 PTS)</v>
      </c>
      <c r="K2308" s="2" t="str">
        <f>HYPERLINK("https://www.nba.com/game/...-vs-...-0042000173/play-by-play?watchFullGame=true", "LAC vs DAL - Q4 05:13.00")</f>
        <v>LAC vs DAL - Q4 05:13.00</v>
      </c>
      <c r="L2308">
        <v>1.94</v>
      </c>
      <c r="M2308">
        <v>5.73</v>
      </c>
      <c r="N2308">
        <v>46.15</v>
      </c>
      <c r="O2308">
        <v>5</v>
      </c>
      <c r="P2308">
        <v>46</v>
      </c>
    </row>
    <row r="2309" spans="1:16" x14ac:dyDescent="0.25">
      <c r="A2309">
        <v>42000172</v>
      </c>
      <c r="B2309" t="s">
        <v>83</v>
      </c>
      <c r="C2309" t="s">
        <v>32</v>
      </c>
      <c r="D2309" t="s">
        <v>48</v>
      </c>
      <c r="E2309">
        <v>111</v>
      </c>
      <c r="F2309">
        <v>118</v>
      </c>
      <c r="G2309">
        <v>4</v>
      </c>
      <c r="H2309" s="1">
        <v>1.6666666666666668E-3</v>
      </c>
      <c r="I2309" t="s">
        <v>23</v>
      </c>
      <c r="J2309" s="2" t="str">
        <f>HYPERLINK("https://www.nba.com/stats/events?CFID=&amp;CFPARAMS=&amp;GameEventID=589&amp;GameID=0042000172&amp;Season=2020-21&amp;flag=1&amp;title=Leonard%20driving%20DUNK%20(38%20PTS)", "Driving DUNK (38 PTS)")</f>
        <v>Driving DUNK (38 PTS)</v>
      </c>
      <c r="K2309" s="2" t="str">
        <f>HYPERLINK("https://www.nba.com/game/...-vs-...-0042000172/play-by-play?watchFullGame=true", "LAC vs DAL - Q4 02:24.00")</f>
        <v>LAC vs DAL - Q4 02:24.00</v>
      </c>
      <c r="L2309">
        <v>0.57999999999999996</v>
      </c>
      <c r="M2309">
        <v>5.6</v>
      </c>
      <c r="N2309">
        <v>48.84</v>
      </c>
      <c r="O2309">
        <v>5</v>
      </c>
      <c r="P2309">
        <v>48</v>
      </c>
    </row>
    <row r="2310" spans="1:16" x14ac:dyDescent="0.25">
      <c r="A2310">
        <v>22000701</v>
      </c>
      <c r="B2310">
        <v>2020</v>
      </c>
      <c r="C2310" t="s">
        <v>32</v>
      </c>
      <c r="D2310" t="s">
        <v>48</v>
      </c>
      <c r="E2310">
        <v>64</v>
      </c>
      <c r="F2310">
        <v>59</v>
      </c>
      <c r="G2310">
        <v>2</v>
      </c>
      <c r="H2310" s="1">
        <v>7.291666666666667E-4</v>
      </c>
      <c r="I2310" t="s">
        <v>23</v>
      </c>
      <c r="J2310" s="2" t="str">
        <f>HYPERLINK("https://www.nba.com/stats/events?CFID=&amp;CFPARAMS=&amp;GameEventID=291&amp;GameID=0022000701&amp;Season=2020-21&amp;flag=1&amp;title=Leonard%20driving%20DUNK%20(19%20PTS)%20(P.%20George%205%20AST)", "Driving DUNK (19 PTS) (P. George 5 AST)")</f>
        <v>Driving DUNK (19 PTS) (P. George 5 AST)</v>
      </c>
      <c r="K2310" s="2" t="str">
        <f>HYPERLINK("https://www.nba.com/game/...-vs-...-0022000701/play-by-play?watchFullGame=true", "LAC vs PHI - Q2 01:03.00")</f>
        <v>LAC vs PHI - Q2 01:03.00</v>
      </c>
      <c r="L2310">
        <v>0.04</v>
      </c>
      <c r="M2310">
        <v>5.57</v>
      </c>
      <c r="N2310">
        <v>49.93</v>
      </c>
      <c r="O2310">
        <v>5</v>
      </c>
      <c r="P2310">
        <v>49</v>
      </c>
    </row>
    <row r="2311" spans="1:16" x14ac:dyDescent="0.25">
      <c r="A2311">
        <v>22300658</v>
      </c>
      <c r="B2311">
        <v>2023</v>
      </c>
      <c r="C2311" t="s">
        <v>32</v>
      </c>
      <c r="D2311" t="s">
        <v>47</v>
      </c>
      <c r="E2311">
        <v>62</v>
      </c>
      <c r="F2311">
        <v>61</v>
      </c>
      <c r="G2311">
        <v>3</v>
      </c>
      <c r="H2311" s="1">
        <v>5.7407407407407407E-3</v>
      </c>
      <c r="I2311" t="s">
        <v>23</v>
      </c>
      <c r="J2311" s="2" t="str">
        <f>HYPERLINK("https://www.nba.com/stats/events?CFID=&amp;CFPARAMS=&amp;GameEventID=382&amp;GameID=0022300658&amp;Season=2023-24&amp;flag=1&amp;title=Leonard%20putback%20Layup%20(16%20PTS)", "Putback Layup (16 PTS)")</f>
        <v>Putback Layup (16 PTS)</v>
      </c>
      <c r="K2311" s="2" t="str">
        <f>HYPERLINK("https://www.nba.com/game/...-vs-...-0022300658/play-by-play?watchFullGame=true", "LAC vs CLE - Q3 08:16.00")</f>
        <v>LAC vs CLE - Q3 08:16.00</v>
      </c>
      <c r="L2311" t="s">
        <v>82</v>
      </c>
      <c r="M2311">
        <v>5.59</v>
      </c>
      <c r="N2311">
        <v>50</v>
      </c>
      <c r="O2311">
        <v>5</v>
      </c>
      <c r="P2311">
        <v>50</v>
      </c>
    </row>
    <row r="2312" spans="1:16" x14ac:dyDescent="0.25">
      <c r="A2312">
        <v>22300956</v>
      </c>
      <c r="B2312">
        <v>2023</v>
      </c>
      <c r="C2312" t="s">
        <v>32</v>
      </c>
      <c r="D2312" t="s">
        <v>47</v>
      </c>
      <c r="E2312">
        <v>17</v>
      </c>
      <c r="F2312">
        <v>30</v>
      </c>
      <c r="G2312">
        <v>1</v>
      </c>
      <c r="H2312" s="1">
        <v>1.5972222222222223E-3</v>
      </c>
      <c r="I2312" t="s">
        <v>23</v>
      </c>
      <c r="J2312" s="2" t="str">
        <f>HYPERLINK("https://www.nba.com/stats/events?CFID=&amp;CFPARAMS=&amp;GameEventID=105&amp;GameID=0022300956&amp;Season=2023-24&amp;flag=1&amp;title=Leonard%20tip%20Layup%20(10%20PTS)", "Tip Layup (10 PTS)")</f>
        <v>Tip Layup (10 PTS)</v>
      </c>
      <c r="K2312" s="2" t="str">
        <f>HYPERLINK("https://www.nba.com/game/...-vs-...-0022300956/play-by-play?watchFullGame=true", "LAC vs CHI - Q1 02:18.00")</f>
        <v>LAC vs CHI - Q1 02:18.00</v>
      </c>
      <c r="L2312" t="s">
        <v>82</v>
      </c>
      <c r="M2312">
        <v>5.59</v>
      </c>
      <c r="N2312">
        <v>50</v>
      </c>
      <c r="O2312">
        <v>5</v>
      </c>
      <c r="P2312">
        <v>50</v>
      </c>
    </row>
    <row r="2313" spans="1:16" x14ac:dyDescent="0.25">
      <c r="A2313">
        <v>42300173</v>
      </c>
      <c r="B2313" t="s">
        <v>84</v>
      </c>
      <c r="C2313" t="s">
        <v>32</v>
      </c>
      <c r="D2313" t="s">
        <v>48</v>
      </c>
      <c r="E2313">
        <v>63</v>
      </c>
      <c r="F2313">
        <v>51</v>
      </c>
      <c r="G2313">
        <v>3</v>
      </c>
      <c r="H2313" s="1">
        <v>4.6527777777777774E-3</v>
      </c>
      <c r="I2313" t="s">
        <v>23</v>
      </c>
      <c r="J2313" s="2" t="str">
        <f>HYPERLINK("https://www.nba.com/stats/events?CFID=&amp;CFPARAMS=&amp;GameEventID=389&amp;GameID=0042300173&amp;Season=2023-24&amp;flag=1&amp;title=Leonard%20running%20alley-oop%20DUNK%20(7%20PTS)%20(P.%20George%203%20AST)", "Running alley-oop DUNK (7 PTS) (P. George 3 AST)")</f>
        <v>Running alley-oop DUNK (7 PTS) (P. George 3 AST)</v>
      </c>
      <c r="K2313" s="2" t="str">
        <f>HYPERLINK("https://www.nba.com/game/...-vs-...-0042300173/play-by-play?watchFullGame=true", "LAC vs DAL - Q3 06:42.00")</f>
        <v>LAC vs DAL - Q3 06:42.00</v>
      </c>
      <c r="L2313">
        <v>0.41</v>
      </c>
      <c r="M2313">
        <v>6</v>
      </c>
      <c r="N2313">
        <v>50.25</v>
      </c>
      <c r="O2313">
        <v>5</v>
      </c>
      <c r="P2313">
        <v>50</v>
      </c>
    </row>
    <row r="2314" spans="1:16" x14ac:dyDescent="0.25">
      <c r="A2314">
        <v>22300085</v>
      </c>
      <c r="B2314">
        <v>2023</v>
      </c>
      <c r="C2314" t="s">
        <v>32</v>
      </c>
      <c r="D2314" t="s">
        <v>47</v>
      </c>
      <c r="E2314">
        <v>113</v>
      </c>
      <c r="F2314">
        <v>113</v>
      </c>
      <c r="G2314">
        <v>4</v>
      </c>
      <c r="H2314" s="1">
        <v>1.5972222222222223E-3</v>
      </c>
      <c r="I2314" t="s">
        <v>23</v>
      </c>
      <c r="J2314" s="2" t="str">
        <f>HYPERLINK("https://www.nba.com/stats/events?CFID=&amp;CFPARAMS=&amp;GameEventID=627&amp;GameID=0022300085&amp;Season=2023-24&amp;flag=1&amp;title=Leonard%20tip%20Layup%20(25%20PTS)", "Tip Layup (25 PTS)")</f>
        <v>Tip Layup (25 PTS)</v>
      </c>
      <c r="K2314" s="2" t="str">
        <f>HYPERLINK("https://www.nba.com/game/...-vs-...-0022300085/play-by-play?watchFullGame=true", "LAC vs UTA - Q4 02:18.00")</f>
        <v>LAC vs UTA - Q4 02:18.00</v>
      </c>
      <c r="L2314" t="s">
        <v>82</v>
      </c>
      <c r="M2314">
        <v>5.59</v>
      </c>
      <c r="N2314">
        <v>50</v>
      </c>
      <c r="O2314">
        <v>5</v>
      </c>
      <c r="P2314">
        <v>50</v>
      </c>
    </row>
    <row r="2315" spans="1:16" x14ac:dyDescent="0.25">
      <c r="A2315">
        <v>42000177</v>
      </c>
      <c r="B2315" t="s">
        <v>83</v>
      </c>
      <c r="C2315" t="s">
        <v>32</v>
      </c>
      <c r="D2315" t="s">
        <v>47</v>
      </c>
      <c r="E2315">
        <v>93</v>
      </c>
      <c r="F2315">
        <v>83</v>
      </c>
      <c r="G2315">
        <v>3</v>
      </c>
      <c r="H2315" s="1">
        <v>1.3773148148148147E-3</v>
      </c>
      <c r="I2315" t="s">
        <v>23</v>
      </c>
      <c r="J2315" s="2" t="str">
        <f>HYPERLINK("https://www.nba.com/stats/events?CFID=&amp;CFPARAMS=&amp;GameEventID=447&amp;GameID=0042000177&amp;Season=2020-21&amp;flag=1&amp;title=Leonard%20putback%20Layup%20(21%20PTS)", "Putback Layup (21 PTS)")</f>
        <v>Putback Layup (21 PTS)</v>
      </c>
      <c r="K2315" s="2" t="str">
        <f>HYPERLINK("https://www.nba.com/game/...-vs-...-0042000177/play-by-play?watchFullGame=true", "LAC vs DAL - Q3 01:59.00")</f>
        <v>LAC vs DAL - Q3 01:59.00</v>
      </c>
      <c r="L2315" t="s">
        <v>82</v>
      </c>
      <c r="M2315">
        <v>5.59</v>
      </c>
      <c r="N2315">
        <v>50</v>
      </c>
      <c r="O2315">
        <v>5</v>
      </c>
      <c r="P2315">
        <v>50</v>
      </c>
    </row>
    <row r="2316" spans="1:16" x14ac:dyDescent="0.25">
      <c r="A2316">
        <v>22200352</v>
      </c>
      <c r="B2316">
        <v>2022</v>
      </c>
      <c r="C2316" t="s">
        <v>32</v>
      </c>
      <c r="D2316" t="s">
        <v>47</v>
      </c>
      <c r="E2316">
        <v>117</v>
      </c>
      <c r="F2316">
        <v>117</v>
      </c>
      <c r="G2316">
        <v>4</v>
      </c>
      <c r="H2316" s="1">
        <v>4.5949074074074078E-4</v>
      </c>
      <c r="I2316" t="s">
        <v>23</v>
      </c>
      <c r="J2316" s="2" t="str">
        <f>HYPERLINK("https://www.nba.com/stats/events?CFID=&amp;CFPARAMS=&amp;GameEventID=663&amp;GameID=0022200352&amp;Season=2022-23&amp;flag=1&amp;title=Leonard%20putback%20Layup%20(14%20PTS)", "Putback Layup (14 PTS)")</f>
        <v>Putback Layup (14 PTS)</v>
      </c>
      <c r="K2316" s="2" t="str">
        <f>HYPERLINK("https://www.nba.com/game/...-vs-...-0022200352/play-by-play?watchFullGame=true", "LAC vs CHA - Q4 00:39.70")</f>
        <v>LAC vs CHA - Q4 00:39.70</v>
      </c>
      <c r="L2316" t="s">
        <v>82</v>
      </c>
      <c r="M2316">
        <v>5.59</v>
      </c>
      <c r="N2316">
        <v>50</v>
      </c>
      <c r="O2316">
        <v>5</v>
      </c>
      <c r="P2316">
        <v>50</v>
      </c>
    </row>
    <row r="2317" spans="1:16" x14ac:dyDescent="0.25">
      <c r="A2317">
        <v>22400500</v>
      </c>
      <c r="B2317">
        <v>2024</v>
      </c>
      <c r="C2317" t="s">
        <v>32</v>
      </c>
      <c r="D2317" t="s">
        <v>47</v>
      </c>
      <c r="E2317">
        <v>7</v>
      </c>
      <c r="F2317">
        <v>15</v>
      </c>
      <c r="G2317">
        <v>1</v>
      </c>
      <c r="H2317" s="1">
        <v>3.7847222222222223E-3</v>
      </c>
      <c r="I2317" t="s">
        <v>23</v>
      </c>
      <c r="J2317" s="2" t="str">
        <f>HYPERLINK("https://www.nba.com/stats/events?CFID=&amp;CFPARAMS=&amp;GameEventID=94&amp;GameID=0022400500&amp;Season=2024-25&amp;flag=1&amp;title=Leonard%20tip%20Layup%20(5%20PTS)", "Tip Layup (5 PTS)")</f>
        <v>Tip Layup (5 PTS)</v>
      </c>
      <c r="K2317" s="2" t="str">
        <f>HYPERLINK("https://www.nba.com/game/...-vs-...-0022400500/play-by-play?watchFullGame=true", "LAC vs MIN - Q1 05:27.00")</f>
        <v>LAC vs MIN - Q1 05:27.00</v>
      </c>
      <c r="L2317" t="s">
        <v>82</v>
      </c>
      <c r="M2317">
        <v>5.59</v>
      </c>
      <c r="N2317">
        <v>50</v>
      </c>
      <c r="O2317">
        <v>5</v>
      </c>
      <c r="P2317">
        <v>50</v>
      </c>
    </row>
    <row r="2318" spans="1:16" x14ac:dyDescent="0.25">
      <c r="A2318">
        <v>42300172</v>
      </c>
      <c r="B2318" t="s">
        <v>84</v>
      </c>
      <c r="C2318" t="s">
        <v>32</v>
      </c>
      <c r="D2318" t="s">
        <v>47</v>
      </c>
      <c r="E2318">
        <v>53</v>
      </c>
      <c r="F2318">
        <v>55</v>
      </c>
      <c r="G2318">
        <v>3</v>
      </c>
      <c r="H2318" s="1">
        <v>4.178240740740741E-3</v>
      </c>
      <c r="I2318" t="s">
        <v>23</v>
      </c>
      <c r="J2318" s="2" t="str">
        <f>HYPERLINK("https://www.nba.com/stats/events?CFID=&amp;CFPARAMS=&amp;GameEventID=417&amp;GameID=0042300172&amp;Season=2023-24&amp;flag=1&amp;title=Leonard%20putback%20Layup%20(10%20PTS)", "Putback Layup (10 PTS)")</f>
        <v>Putback Layup (10 PTS)</v>
      </c>
      <c r="K2318" s="2" t="str">
        <f>HYPERLINK("https://www.nba.com/game/...-vs-...-0042300172/play-by-play?watchFullGame=true", "LAC vs DAL - Q3 06:01.00")</f>
        <v>LAC vs DAL - Q3 06:01.00</v>
      </c>
      <c r="L2318" t="s">
        <v>82</v>
      </c>
      <c r="M2318">
        <v>5.59</v>
      </c>
      <c r="N2318">
        <v>50</v>
      </c>
      <c r="O2318">
        <v>5</v>
      </c>
      <c r="P2318">
        <v>50</v>
      </c>
    </row>
    <row r="2319" spans="1:16" x14ac:dyDescent="0.25">
      <c r="A2319">
        <v>22000105</v>
      </c>
      <c r="B2319">
        <v>2020</v>
      </c>
      <c r="C2319" t="s">
        <v>32</v>
      </c>
      <c r="D2319" t="s">
        <v>47</v>
      </c>
      <c r="E2319">
        <v>42</v>
      </c>
      <c r="F2319">
        <v>60</v>
      </c>
      <c r="G2319">
        <v>2</v>
      </c>
      <c r="H2319" s="1">
        <v>1.1342592592592593E-3</v>
      </c>
      <c r="I2319" t="s">
        <v>23</v>
      </c>
      <c r="J2319" s="2" t="str">
        <f>HYPERLINK("https://www.nba.com/stats/events?CFID=&amp;CFPARAMS=&amp;GameEventID=295&amp;GameID=0022000105&amp;Season=2020-21&amp;flag=1&amp;title=Leonard%20putback%20Layup%20(15%20PTS)", "Putback Layup (15 PTS)")</f>
        <v>Putback Layup (15 PTS)</v>
      </c>
      <c r="K2319" s="2" t="str">
        <f>HYPERLINK("https://www.nba.com/game/...-vs-...-0022000105/play-by-play?watchFullGame=true", "LAC vs SAS - Q2 01:38.00")</f>
        <v>LAC vs SAS - Q2 01:38.00</v>
      </c>
      <c r="L2319" t="s">
        <v>82</v>
      </c>
      <c r="M2319">
        <v>5.59</v>
      </c>
      <c r="N2319">
        <v>50</v>
      </c>
      <c r="O2319">
        <v>5</v>
      </c>
      <c r="P2319">
        <v>50</v>
      </c>
    </row>
    <row r="2320" spans="1:16" x14ac:dyDescent="0.25">
      <c r="A2320">
        <v>22300917</v>
      </c>
      <c r="B2320">
        <v>2023</v>
      </c>
      <c r="C2320" t="s">
        <v>32</v>
      </c>
      <c r="D2320" t="s">
        <v>47</v>
      </c>
      <c r="E2320">
        <v>17</v>
      </c>
      <c r="F2320">
        <v>25</v>
      </c>
      <c r="G2320">
        <v>1</v>
      </c>
      <c r="H2320" s="1">
        <v>1.1921296296296296E-3</v>
      </c>
      <c r="I2320" t="s">
        <v>23</v>
      </c>
      <c r="J2320" s="2" t="str">
        <f>HYPERLINK("https://www.nba.com/stats/events?CFID=&amp;CFPARAMS=&amp;GameEventID=128&amp;GameID=0022300917&amp;Season=2023-24&amp;flag=1&amp;title=Leonard%20putback%20Layup%20(5%20PTS)", "Putback Layup (5 PTS)")</f>
        <v>Putback Layup (5 PTS)</v>
      </c>
      <c r="K2320" s="2" t="str">
        <f>HYPERLINK("https://www.nba.com/game/...-vs-...-0022300917/play-by-play?watchFullGame=true", "LAC vs CHI - Q1 01:43.00")</f>
        <v>LAC vs CHI - Q1 01:43.00</v>
      </c>
      <c r="L2320" t="s">
        <v>82</v>
      </c>
      <c r="M2320">
        <v>5.59</v>
      </c>
      <c r="N2320">
        <v>50</v>
      </c>
      <c r="O2320">
        <v>5</v>
      </c>
      <c r="P2320">
        <v>50</v>
      </c>
    </row>
    <row r="2321" spans="1:16" x14ac:dyDescent="0.25">
      <c r="A2321">
        <v>22400911</v>
      </c>
      <c r="B2321">
        <v>2024</v>
      </c>
      <c r="C2321" t="s">
        <v>32</v>
      </c>
      <c r="D2321" t="s">
        <v>47</v>
      </c>
      <c r="E2321">
        <v>62</v>
      </c>
      <c r="F2321">
        <v>59</v>
      </c>
      <c r="G2321">
        <v>3</v>
      </c>
      <c r="H2321" s="1">
        <v>6.9675925925925929E-3</v>
      </c>
      <c r="I2321" t="s">
        <v>23</v>
      </c>
      <c r="J2321" s="2" t="str">
        <f>HYPERLINK("https://www.nba.com/stats/events?CFID=&amp;CFPARAMS=&amp;GameEventID=322&amp;GameID=0022400911&amp;Season=2024-25&amp;flag=1&amp;title=Leonard%20tip%20Layup%20(11%20PTS)", "Tip Layup (11 PTS)")</f>
        <v>Tip Layup (11 PTS)</v>
      </c>
      <c r="K2321" s="2" t="str">
        <f>HYPERLINK("https://www.nba.com/game/...-vs-...-0022400911/play-by-play?watchFullGame=true", "LAC vs NYK - Q3 10:02.00")</f>
        <v>LAC vs NYK - Q3 10:02.00</v>
      </c>
      <c r="L2321" t="s">
        <v>82</v>
      </c>
      <c r="M2321">
        <v>5.59</v>
      </c>
      <c r="N2321">
        <v>50</v>
      </c>
      <c r="O2321">
        <v>5</v>
      </c>
      <c r="P2321">
        <v>50</v>
      </c>
    </row>
    <row r="2322" spans="1:16" x14ac:dyDescent="0.25">
      <c r="A2322">
        <v>22300865</v>
      </c>
      <c r="B2322">
        <v>2023</v>
      </c>
      <c r="C2322" t="s">
        <v>32</v>
      </c>
      <c r="D2322" t="s">
        <v>48</v>
      </c>
      <c r="E2322">
        <v>94</v>
      </c>
      <c r="F2322">
        <v>69</v>
      </c>
      <c r="G2322">
        <v>3</v>
      </c>
      <c r="H2322" s="1">
        <v>4.0393518518518521E-3</v>
      </c>
      <c r="I2322" t="s">
        <v>23</v>
      </c>
      <c r="J2322" s="2" t="str">
        <f>HYPERLINK("https://www.nba.com/stats/events?CFID=&amp;CFPARAMS=&amp;GameEventID=398&amp;GameID=0022300865&amp;Season=2023-24&amp;flag=1&amp;title=Leonard%20tip%20DUNK%20(15%20PTS)", "Tip DUNK (15 PTS)")</f>
        <v>Tip DUNK (15 PTS)</v>
      </c>
      <c r="K2322" s="2" t="str">
        <f>HYPERLINK("https://www.nba.com/game/...-vs-...-0022300865/play-by-play?watchFullGame=true", "LAC vs WAS - Q3 05:49.00")</f>
        <v>LAC vs WAS - Q3 05:49.00</v>
      </c>
      <c r="L2322" t="s">
        <v>82</v>
      </c>
      <c r="M2322">
        <v>5.59</v>
      </c>
      <c r="N2322">
        <v>50</v>
      </c>
      <c r="O2322">
        <v>5</v>
      </c>
      <c r="P2322">
        <v>50</v>
      </c>
    </row>
    <row r="2323" spans="1:16" x14ac:dyDescent="0.25">
      <c r="A2323">
        <v>22000625</v>
      </c>
      <c r="B2323">
        <v>2020</v>
      </c>
      <c r="C2323" t="s">
        <v>32</v>
      </c>
      <c r="D2323" t="s">
        <v>48</v>
      </c>
      <c r="E2323">
        <v>82</v>
      </c>
      <c r="F2323">
        <v>73</v>
      </c>
      <c r="G2323">
        <v>4</v>
      </c>
      <c r="H2323" s="1">
        <v>6.1574074074074074E-3</v>
      </c>
      <c r="I2323" t="s">
        <v>23</v>
      </c>
      <c r="J2323" s="2" t="str">
        <f>HYPERLINK("https://www.nba.com/stats/events?CFID=&amp;CFPARAMS=&amp;GameEventID=525&amp;GameID=0022000625&amp;Season=2020-21&amp;flag=1&amp;title=Leonard%20driving%20DUNK%20(16%20PTS)%20(P.%20George%205%20AST)", "Driving DUNK (16 PTS) (P. George 5 AST)")</f>
        <v>Driving DUNK (16 PTS) (P. George 5 AST)</v>
      </c>
      <c r="K2323" s="2" t="str">
        <f>HYPERLINK("https://www.nba.com/game/...-vs-...-0022000625/play-by-play?watchFullGame=true", "LAC vs DAL - Q4 08:52.00")</f>
        <v>LAC vs DAL - Q4 08:52.00</v>
      </c>
      <c r="L2323">
        <v>0.04</v>
      </c>
      <c r="M2323">
        <v>5.6</v>
      </c>
      <c r="N2323">
        <v>50.07</v>
      </c>
      <c r="O2323">
        <v>5</v>
      </c>
      <c r="P2323">
        <v>50</v>
      </c>
    </row>
    <row r="2324" spans="1:16" x14ac:dyDescent="0.25">
      <c r="A2324">
        <v>22300956</v>
      </c>
      <c r="B2324">
        <v>2023</v>
      </c>
      <c r="C2324" t="s">
        <v>32</v>
      </c>
      <c r="D2324" t="s">
        <v>48</v>
      </c>
      <c r="E2324">
        <v>5</v>
      </c>
      <c r="F2324">
        <v>11</v>
      </c>
      <c r="G2324">
        <v>1</v>
      </c>
      <c r="H2324" s="1">
        <v>4.8958333333333336E-3</v>
      </c>
      <c r="I2324" t="s">
        <v>23</v>
      </c>
      <c r="J2324" s="2" t="str">
        <f>HYPERLINK("https://www.nba.com/stats/events?CFID=&amp;CFPARAMS=&amp;GameEventID=51&amp;GameID=0022300956&amp;Season=2023-24&amp;flag=1&amp;title=Leonard%20tip%20DUNK%20(4%20PTS)", "Tip DUNK (4 PTS)")</f>
        <v>Tip DUNK (4 PTS)</v>
      </c>
      <c r="K2324" s="2" t="str">
        <f>HYPERLINK("https://www.nba.com/game/...-vs-...-0022300956/play-by-play?watchFullGame=true", "LAC vs CHI - Q1 07:03.00")</f>
        <v>LAC vs CHI - Q1 07:03.00</v>
      </c>
      <c r="L2324" t="s">
        <v>82</v>
      </c>
      <c r="M2324">
        <v>5.59</v>
      </c>
      <c r="N2324">
        <v>50</v>
      </c>
      <c r="O2324">
        <v>5</v>
      </c>
      <c r="P2324">
        <v>50</v>
      </c>
    </row>
    <row r="2325" spans="1:16" x14ac:dyDescent="0.25">
      <c r="A2325">
        <v>22000202</v>
      </c>
      <c r="B2325">
        <v>2020</v>
      </c>
      <c r="C2325" t="s">
        <v>32</v>
      </c>
      <c r="D2325" t="s">
        <v>47</v>
      </c>
      <c r="E2325">
        <v>100</v>
      </c>
      <c r="F2325">
        <v>75</v>
      </c>
      <c r="G2325">
        <v>3</v>
      </c>
      <c r="H2325" s="1">
        <v>9.2592592592592591E-6</v>
      </c>
      <c r="I2325" t="s">
        <v>23</v>
      </c>
      <c r="J2325" s="2" t="str">
        <f>HYPERLINK("https://www.nba.com/stats/events?CFID=&amp;CFPARAMS=&amp;GameEventID=456&amp;GameID=0022000202&amp;Season=2020-21&amp;flag=1&amp;title=Leonard%20tip%20Layup%20(17%20PTS)", "Tip Layup (17 PTS)")</f>
        <v>Tip Layup (17 PTS)</v>
      </c>
      <c r="K2325" s="2" t="str">
        <f>HYPERLINK("https://www.nba.com/game/...-vs-...-0022000202/play-by-play?watchFullGame=true", "LAC vs IND - Q3 00:00.80")</f>
        <v>LAC vs IND - Q3 00:00.80</v>
      </c>
      <c r="L2325" t="s">
        <v>82</v>
      </c>
      <c r="M2325">
        <v>5.59</v>
      </c>
      <c r="N2325">
        <v>50</v>
      </c>
      <c r="O2325">
        <v>5</v>
      </c>
      <c r="P2325">
        <v>50</v>
      </c>
    </row>
    <row r="2326" spans="1:16" x14ac:dyDescent="0.25">
      <c r="A2326">
        <v>22000605</v>
      </c>
      <c r="B2326">
        <v>2020</v>
      </c>
      <c r="C2326" t="s">
        <v>32</v>
      </c>
      <c r="D2326" t="s">
        <v>47</v>
      </c>
      <c r="E2326">
        <v>99</v>
      </c>
      <c r="F2326">
        <v>105</v>
      </c>
      <c r="G2326">
        <v>4</v>
      </c>
      <c r="H2326" s="1">
        <v>1.4814814814814814E-3</v>
      </c>
      <c r="I2326" t="s">
        <v>23</v>
      </c>
      <c r="J2326" s="2" t="str">
        <f>HYPERLINK("https://www.nba.com/stats/events?CFID=&amp;CFPARAMS=&amp;GameEventID=526&amp;GameID=0022000605&amp;Season=2020-21&amp;flag=1&amp;title=Leonard%20putback%20Layup%20(21%20PTS)", "Putback Layup (21 PTS)")</f>
        <v>Putback Layup (21 PTS)</v>
      </c>
      <c r="K2326" s="2" t="str">
        <f>HYPERLINK("https://www.nba.com/game/...-vs-...-0022000605/play-by-play?watchFullGame=true", "LAC vs DAL - Q4 02:08.00")</f>
        <v>LAC vs DAL - Q4 02:08.00</v>
      </c>
      <c r="L2326" t="s">
        <v>82</v>
      </c>
      <c r="M2326">
        <v>5.59</v>
      </c>
      <c r="N2326">
        <v>50</v>
      </c>
      <c r="O2326">
        <v>5</v>
      </c>
      <c r="P2326">
        <v>50</v>
      </c>
    </row>
    <row r="2327" spans="1:16" x14ac:dyDescent="0.25">
      <c r="A2327">
        <v>22300807</v>
      </c>
      <c r="B2327">
        <v>2023</v>
      </c>
      <c r="C2327" t="s">
        <v>32</v>
      </c>
      <c r="D2327" t="s">
        <v>47</v>
      </c>
      <c r="E2327">
        <v>16</v>
      </c>
      <c r="F2327">
        <v>20</v>
      </c>
      <c r="G2327">
        <v>1</v>
      </c>
      <c r="H2327" s="1">
        <v>3.6574074074074074E-3</v>
      </c>
      <c r="I2327" t="s">
        <v>23</v>
      </c>
      <c r="J2327" s="2" t="str">
        <f>HYPERLINK("https://www.nba.com/stats/events?CFID=&amp;CFPARAMS=&amp;GameEventID=76&amp;GameID=0022300807&amp;Season=2023-24&amp;flag=1&amp;title=Leonard%20tip%20Layup%20(6%20PTS)", "Tip Layup (6 PTS)")</f>
        <v>Tip Layup (6 PTS)</v>
      </c>
      <c r="K2327" s="2" t="str">
        <f>HYPERLINK("https://www.nba.com/game/...-vs-...-0022300807/play-by-play?watchFullGame=true", "LAC vs MEM - Q1 05:16.00")</f>
        <v>LAC vs MEM - Q1 05:16.00</v>
      </c>
      <c r="L2327" t="s">
        <v>82</v>
      </c>
      <c r="M2327">
        <v>5.59</v>
      </c>
      <c r="N2327">
        <v>50</v>
      </c>
      <c r="O2327">
        <v>5</v>
      </c>
      <c r="P2327">
        <v>50</v>
      </c>
    </row>
    <row r="2328" spans="1:16" x14ac:dyDescent="0.25">
      <c r="A2328">
        <v>22200509</v>
      </c>
      <c r="B2328">
        <v>2022</v>
      </c>
      <c r="C2328" t="s">
        <v>32</v>
      </c>
      <c r="D2328" t="s">
        <v>47</v>
      </c>
      <c r="E2328">
        <v>107</v>
      </c>
      <c r="F2328">
        <v>121</v>
      </c>
      <c r="G2328">
        <v>4</v>
      </c>
      <c r="H2328" s="1">
        <v>1.5393518518518519E-3</v>
      </c>
      <c r="I2328" t="s">
        <v>23</v>
      </c>
      <c r="J2328" s="2" t="str">
        <f>HYPERLINK("https://www.nba.com/stats/events?CFID=&amp;CFPARAMS=&amp;GameEventID=619&amp;GameID=0022200509&amp;Season=2022-23&amp;flag=1&amp;title=Leonard%20tip%20Layup%20(15%20PTS)", "Tip Layup (15 PTS)")</f>
        <v>Tip Layup (15 PTS)</v>
      </c>
      <c r="K2328" s="2" t="str">
        <f>HYPERLINK("https://www.nba.com/game/...-vs-...-0022200509/play-by-play?watchFullGame=true", "LAC vs TOR - Q4 02:13.00")</f>
        <v>LAC vs TOR - Q4 02:13.00</v>
      </c>
      <c r="L2328" t="s">
        <v>82</v>
      </c>
      <c r="M2328">
        <v>5.59</v>
      </c>
      <c r="N2328">
        <v>50</v>
      </c>
      <c r="O2328">
        <v>5</v>
      </c>
      <c r="P2328">
        <v>50</v>
      </c>
    </row>
    <row r="2329" spans="1:16" x14ac:dyDescent="0.25">
      <c r="A2329">
        <v>22400874</v>
      </c>
      <c r="B2329">
        <v>2024</v>
      </c>
      <c r="C2329" t="s">
        <v>32</v>
      </c>
      <c r="D2329" t="s">
        <v>47</v>
      </c>
      <c r="E2329">
        <v>67</v>
      </c>
      <c r="F2329">
        <v>55</v>
      </c>
      <c r="G2329">
        <v>3</v>
      </c>
      <c r="H2329" s="1">
        <v>4.7685185185185183E-3</v>
      </c>
      <c r="I2329" t="s">
        <v>23</v>
      </c>
      <c r="J2329" s="2" t="str">
        <f>HYPERLINK("https://www.nba.com/stats/events?CFID=&amp;CFPARAMS=&amp;GameEventID=364&amp;GameID=0022400874&amp;Season=2024-25&amp;flag=1&amp;title=Leonard%20tip%20Layup%20(23%20PTS)", "Tip Layup (23 PTS)")</f>
        <v>Tip Layup (23 PTS)</v>
      </c>
      <c r="K2329" s="2" t="str">
        <f>HYPERLINK("https://www.nba.com/game/...-vs-...-0022400874/play-by-play?watchFullGame=true", "LAC vs LAL - Q3 06:52.00")</f>
        <v>LAC vs LAL - Q3 06:52.00</v>
      </c>
      <c r="L2329" t="s">
        <v>82</v>
      </c>
      <c r="M2329">
        <v>5.59</v>
      </c>
      <c r="N2329">
        <v>50</v>
      </c>
      <c r="O2329">
        <v>5</v>
      </c>
      <c r="P2329">
        <v>50</v>
      </c>
    </row>
    <row r="2330" spans="1:16" x14ac:dyDescent="0.25">
      <c r="A2330">
        <v>42000174</v>
      </c>
      <c r="B2330" t="s">
        <v>83</v>
      </c>
      <c r="C2330" t="s">
        <v>32</v>
      </c>
      <c r="D2330" t="s">
        <v>47</v>
      </c>
      <c r="E2330">
        <v>64</v>
      </c>
      <c r="F2330">
        <v>88</v>
      </c>
      <c r="G2330">
        <v>4</v>
      </c>
      <c r="H2330" s="1">
        <v>6.1111111111111114E-3</v>
      </c>
      <c r="I2330" t="s">
        <v>23</v>
      </c>
      <c r="J2330" s="2" t="str">
        <f>HYPERLINK("https://www.nba.com/stats/events?CFID=&amp;CFPARAMS=&amp;GameEventID=538&amp;GameID=0042000174&amp;Season=2020-21&amp;flag=1&amp;title=Leonard%20driving%20reverse%20Layup%20(29%20PTS)", "Driving reverse Layup (29 PTS)")</f>
        <v>Driving reverse Layup (29 PTS)</v>
      </c>
      <c r="K2330" s="2" t="str">
        <f>HYPERLINK("https://www.nba.com/game/...-vs-...-0042000174/play-by-play?watchFullGame=true", "LAC vs DAL - Q4 08:48.00")</f>
        <v>LAC vs DAL - Q4 08:48.00</v>
      </c>
      <c r="L2330">
        <v>0.78</v>
      </c>
      <c r="M2330">
        <v>5.73</v>
      </c>
      <c r="N2330">
        <v>51.54</v>
      </c>
      <c r="O2330">
        <v>5</v>
      </c>
      <c r="P2330">
        <v>51</v>
      </c>
    </row>
    <row r="2331" spans="1:16" x14ac:dyDescent="0.25">
      <c r="A2331">
        <v>42000176</v>
      </c>
      <c r="B2331" t="s">
        <v>83</v>
      </c>
      <c r="C2331" t="s">
        <v>32</v>
      </c>
      <c r="D2331" t="s">
        <v>48</v>
      </c>
      <c r="E2331">
        <v>62</v>
      </c>
      <c r="F2331">
        <v>60</v>
      </c>
      <c r="G2331">
        <v>3</v>
      </c>
      <c r="H2331" s="1">
        <v>4.9305555555555552E-3</v>
      </c>
      <c r="I2331" t="s">
        <v>23</v>
      </c>
      <c r="J2331" s="2" t="str">
        <f>HYPERLINK("https://www.nba.com/stats/events?CFID=&amp;CFPARAMS=&amp;GameEventID=374&amp;GameID=0042000176&amp;Season=2020-21&amp;flag=1&amp;title=Leonard%20reverse%20DUNK%20(20%20PTS)%20(N.%20Batum%203%20AST)", "Reverse DUNK (20 PTS) (N. Batum 3 AST)")</f>
        <v>Reverse DUNK (20 PTS) (N. Batum 3 AST)</v>
      </c>
      <c r="K2331" s="2" t="str">
        <f>HYPERLINK("https://www.nba.com/game/...-vs-...-0042000176/play-by-play?watchFullGame=true", "LAC vs DAL - Q3 07:06.00")</f>
        <v>LAC vs DAL - Q3 07:06.00</v>
      </c>
      <c r="L2331">
        <v>0.69</v>
      </c>
      <c r="M2331">
        <v>5.34</v>
      </c>
      <c r="N2331">
        <v>51.29</v>
      </c>
      <c r="O2331">
        <v>5</v>
      </c>
      <c r="P2331">
        <v>51</v>
      </c>
    </row>
    <row r="2332" spans="1:16" x14ac:dyDescent="0.25">
      <c r="A2332">
        <v>22000701</v>
      </c>
      <c r="B2332">
        <v>2020</v>
      </c>
      <c r="C2332" t="s">
        <v>32</v>
      </c>
      <c r="D2332" t="s">
        <v>44</v>
      </c>
      <c r="E2332">
        <v>50</v>
      </c>
      <c r="F2332">
        <v>48</v>
      </c>
      <c r="G2332">
        <v>2</v>
      </c>
      <c r="H2332" s="1">
        <v>3.8657407407407408E-3</v>
      </c>
      <c r="I2332" t="s">
        <v>23</v>
      </c>
      <c r="J2332" s="2" t="str">
        <f>HYPERLINK("https://www.nba.com/stats/events?CFID=&amp;CFPARAMS=&amp;GameEventID=249&amp;GameID=0022000701&amp;Season=2020-21&amp;flag=1&amp;title=Leonard%20turnaround%20Hook%20(9%20PTS)", "Turnaround Hook (9 PTS)")</f>
        <v>Turnaround Hook (9 PTS)</v>
      </c>
      <c r="K2332" s="2" t="str">
        <f>HYPERLINK("https://www.nba.com/game/...-vs-...-0022000701/play-by-play?watchFullGame=true", "LAC vs PHI - Q2 05:34.00")</f>
        <v>LAC vs PHI - Q2 05:34.00</v>
      </c>
      <c r="L2332">
        <v>5.81</v>
      </c>
      <c r="M2332">
        <v>11.74</v>
      </c>
      <c r="N2332">
        <v>48.95</v>
      </c>
      <c r="O2332">
        <v>5</v>
      </c>
      <c r="P2332">
        <v>58</v>
      </c>
    </row>
    <row r="2333" spans="1:16" x14ac:dyDescent="0.25">
      <c r="A2333">
        <v>42000176</v>
      </c>
      <c r="B2333" t="s">
        <v>83</v>
      </c>
      <c r="C2333" t="s">
        <v>32</v>
      </c>
      <c r="D2333" t="s">
        <v>19</v>
      </c>
      <c r="E2333">
        <v>53</v>
      </c>
      <c r="F2333">
        <v>54</v>
      </c>
      <c r="G2333">
        <v>3</v>
      </c>
      <c r="H2333" s="1">
        <v>6.2962962962962964E-3</v>
      </c>
      <c r="I2333" t="s">
        <v>23</v>
      </c>
      <c r="J2333" s="2" t="str">
        <f>HYPERLINK("https://www.nba.com/stats/events?CFID=&amp;CFPARAMS=&amp;GameEventID=357&amp;GameID=0042000176&amp;Season=2020-21&amp;flag=1&amp;title=Leonard%2011'%20Jump%20Shot%20(18%20PTS)%20(P.%20George%203%20AST)", "11' Jump Shot (18 PTS) (P. George 3 AST)")</f>
        <v>11' Jump Shot (18 PTS) (P. George 3 AST)</v>
      </c>
      <c r="K2333" s="2" t="str">
        <f>HYPERLINK("https://www.nba.com/game/...-vs-...-0042000176/play-by-play?watchFullGame=true", "LAC vs DAL - Q3 09:04.00")</f>
        <v>LAC vs DAL - Q3 09:04.00</v>
      </c>
      <c r="L2333">
        <v>11.92</v>
      </c>
      <c r="M2333">
        <v>5.34</v>
      </c>
      <c r="N2333">
        <v>73.84</v>
      </c>
      <c r="O2333">
        <v>5</v>
      </c>
      <c r="P2333">
        <v>73</v>
      </c>
    </row>
    <row r="2334" spans="1:16" x14ac:dyDescent="0.25">
      <c r="A2334">
        <v>22201069</v>
      </c>
      <c r="B2334">
        <v>2022</v>
      </c>
      <c r="C2334" t="s">
        <v>32</v>
      </c>
      <c r="D2334" t="s">
        <v>19</v>
      </c>
      <c r="E2334">
        <v>11</v>
      </c>
      <c r="F2334">
        <v>16</v>
      </c>
      <c r="G2334">
        <v>1</v>
      </c>
      <c r="H2334" s="1">
        <v>4.7453703703703703E-3</v>
      </c>
      <c r="I2334" t="s">
        <v>23</v>
      </c>
      <c r="J2334" s="2" t="str">
        <f>HYPERLINK("https://www.nba.com/stats/events?CFID=&amp;CFPARAMS=&amp;GameEventID=58&amp;GameID=0022201069&amp;Season=2022-23&amp;flag=1&amp;title=Leonard%207'%20driving%20floating%20Jump%20Shot%20(2%20PTS)", "7' driving floating Jump Shot (2 PTS)")</f>
        <v>7' driving floating Jump Shot (2 PTS)</v>
      </c>
      <c r="K2334" s="2" t="str">
        <f>HYPERLINK("https://www.nba.com/game/...-vs-...-0022201069/play-by-play?watchFullGame=true", "LAC vs POR - Q1 06:50.00")</f>
        <v>LAC vs POR - Q1 06:50.00</v>
      </c>
      <c r="L2334">
        <v>7.29</v>
      </c>
      <c r="M2334">
        <v>86.68</v>
      </c>
      <c r="N2334">
        <v>50.98</v>
      </c>
      <c r="O2334">
        <v>5</v>
      </c>
      <c r="P2334">
        <v>73</v>
      </c>
    </row>
    <row r="2335" spans="1:16" x14ac:dyDescent="0.25">
      <c r="A2335">
        <v>22300372</v>
      </c>
      <c r="B2335">
        <v>2023</v>
      </c>
      <c r="C2335" t="s">
        <v>32</v>
      </c>
      <c r="D2335" t="s">
        <v>19</v>
      </c>
      <c r="E2335">
        <v>11</v>
      </c>
      <c r="F2335">
        <v>10</v>
      </c>
      <c r="G2335">
        <v>1</v>
      </c>
      <c r="H2335" s="1">
        <v>5.185185185185185E-3</v>
      </c>
      <c r="I2335" t="s">
        <v>23</v>
      </c>
      <c r="J2335" s="2" t="str">
        <f>HYPERLINK("https://www.nba.com/stats/events?CFID=&amp;CFPARAMS=&amp;GameEventID=47&amp;GameID=0022300372&amp;Season=2023-24&amp;flag=1&amp;title=Leonard%207'%20driving%20floating%20Jump%20Shot%20(2%20PTS)%20(J.%20Harden%203%20AST)", "7' driving floating Jump Shot (2 PTS) (J. Harden 3 AST)")</f>
        <v>7' driving floating Jump Shot (2 PTS) (J. Harden 3 AST)</v>
      </c>
      <c r="K2335" s="2" t="str">
        <f>HYPERLINK("https://www.nba.com/game/...-vs-...-0022300372/play-by-play?watchFullGame=true", "LAC vs DAL - Q1 07:28.00")</f>
        <v>LAC vs DAL - Q1 07:28.00</v>
      </c>
      <c r="L2335">
        <v>7.42</v>
      </c>
      <c r="M2335">
        <v>86.55</v>
      </c>
      <c r="N2335">
        <v>50.98</v>
      </c>
      <c r="O2335">
        <v>5</v>
      </c>
      <c r="P2335">
        <v>74</v>
      </c>
    </row>
    <row r="2336" spans="1:16" x14ac:dyDescent="0.25">
      <c r="A2336">
        <v>41800111</v>
      </c>
      <c r="B2336" t="s">
        <v>20</v>
      </c>
      <c r="C2336" t="s">
        <v>32</v>
      </c>
      <c r="D2336" t="s">
        <v>34</v>
      </c>
      <c r="E2336">
        <v>92</v>
      </c>
      <c r="F2336">
        <v>89</v>
      </c>
      <c r="G2336">
        <v>4</v>
      </c>
      <c r="H2336" s="1">
        <v>3.1944444444444446E-3</v>
      </c>
      <c r="I2336" t="s">
        <v>21</v>
      </c>
      <c r="J2336" s="2" t="str">
        <f>HYPERLINK("https://www.nba.com/stats/events?CFID=&amp;CFPARAMS=&amp;GameEventID=565&amp;GameID=0041800111&amp;Season=2018-19&amp;flag=1&amp;title=Leonard%207'%20Turnaround%20Fadeaway%20(20%20PTS)", "Leonard 7' Turnaround Fadeaway (20 PTS)")</f>
        <v>Leonard 7' Turnaround Fadeaway (20 PTS)</v>
      </c>
      <c r="K2336" s="2" t="str">
        <f>HYPERLINK("https://www.nba.com/game/...-vs-...-0041800111/play-by-play?watchFullGame=true", "TOR vs ORL - Q4 04:36.00")</f>
        <v>TOR vs ORL - Q4 04:36.00</v>
      </c>
      <c r="L2336">
        <v>7</v>
      </c>
      <c r="M2336">
        <v>5</v>
      </c>
      <c r="N2336">
        <v>74</v>
      </c>
      <c r="O2336">
        <v>5</v>
      </c>
      <c r="P2336">
        <v>74</v>
      </c>
    </row>
    <row r="2337" spans="1:16" x14ac:dyDescent="0.25">
      <c r="A2337">
        <v>22301064</v>
      </c>
      <c r="B2337">
        <v>2023</v>
      </c>
      <c r="C2337" t="s">
        <v>32</v>
      </c>
      <c r="D2337" t="s">
        <v>19</v>
      </c>
      <c r="E2337">
        <v>68</v>
      </c>
      <c r="F2337">
        <v>70</v>
      </c>
      <c r="G2337">
        <v>3</v>
      </c>
      <c r="H2337" s="1">
        <v>2.4305555555555556E-3</v>
      </c>
      <c r="I2337" t="s">
        <v>23</v>
      </c>
      <c r="J2337" s="2" t="str">
        <f>HYPERLINK("https://www.nba.com/stats/events?CFID=&amp;CFPARAMS=&amp;GameEventID=417&amp;GameID=0022301064&amp;Season=2023-24&amp;flag=1&amp;title=Leonard%207'%20floating%20Jump%20Shot%20(17%20PTS)", "7' floating Jump Shot (17 PTS)")</f>
        <v>7' floating Jump Shot (17 PTS)</v>
      </c>
      <c r="K2337" s="2" t="str">
        <f>HYPERLINK("https://www.nba.com/game/...-vs-...-0022301064/play-by-play?watchFullGame=true", "LAC vs ORL - Q3 03:30.00")</f>
        <v>LAC vs ORL - Q3 03:30.00</v>
      </c>
      <c r="L2337">
        <v>7.66</v>
      </c>
      <c r="M2337">
        <v>86.28</v>
      </c>
      <c r="N2337">
        <v>50.98</v>
      </c>
      <c r="O2337">
        <v>5</v>
      </c>
      <c r="P2337">
        <v>76</v>
      </c>
    </row>
    <row r="2338" spans="1:16" x14ac:dyDescent="0.25">
      <c r="A2338">
        <v>41800403</v>
      </c>
      <c r="B2338" t="s">
        <v>20</v>
      </c>
      <c r="C2338" t="s">
        <v>32</v>
      </c>
      <c r="D2338" t="s">
        <v>43</v>
      </c>
      <c r="E2338">
        <v>67</v>
      </c>
      <c r="F2338">
        <v>78</v>
      </c>
      <c r="G2338">
        <v>3</v>
      </c>
      <c r="H2338" s="1">
        <v>3.9930555555555552E-3</v>
      </c>
      <c r="I2338" t="s">
        <v>21</v>
      </c>
      <c r="J2338" s="2" t="str">
        <f>HYPERLINK("https://www.nba.com/stats/events?CFID=&amp;CFPARAMS=&amp;GameEventID=420&amp;GameID=0041800403&amp;Season=2018-19&amp;flag=1&amp;title=Leonard%208'%20Turnaround%20Hook%20Shot%20(17%20PTS)", "Leonard 8' Turnaround Hook Shot (17 PTS)")</f>
        <v>Leonard 8' Turnaround Hook Shot (17 PTS)</v>
      </c>
      <c r="K2338" s="2" t="str">
        <f>HYPERLINK("https://www.nba.com/game/...-vs-...-0041800403/play-by-play?watchFullGame=true", "TOR vs GSW - Q3 05:45.00")</f>
        <v>TOR vs GSW - Q3 05:45.00</v>
      </c>
      <c r="L2338">
        <v>8</v>
      </c>
      <c r="M2338">
        <v>5</v>
      </c>
      <c r="N2338">
        <v>82</v>
      </c>
      <c r="O2338">
        <v>5</v>
      </c>
      <c r="P2338">
        <v>82</v>
      </c>
    </row>
    <row r="2339" spans="1:16" x14ac:dyDescent="0.25">
      <c r="A2339">
        <v>22300511</v>
      </c>
      <c r="B2339">
        <v>2023</v>
      </c>
      <c r="C2339" t="s">
        <v>32</v>
      </c>
      <c r="D2339" t="s">
        <v>19</v>
      </c>
      <c r="E2339">
        <v>105</v>
      </c>
      <c r="F2339">
        <v>96</v>
      </c>
      <c r="G2339">
        <v>4</v>
      </c>
      <c r="H2339" s="1">
        <v>7.0023148148148145E-3</v>
      </c>
      <c r="I2339" t="s">
        <v>23</v>
      </c>
      <c r="J2339" s="2" t="str">
        <f>HYPERLINK("https://www.nba.com/stats/events?CFID=&amp;CFPARAMS=&amp;GameEventID=492&amp;GameID=0022300511&amp;Season=2023-24&amp;flag=1&amp;title=Leonard%209'%20pullup%20Jump%20Shot%20(15%20PTS)", "9' pullup Jump Shot (15 PTS)")</f>
        <v>9' pullup Jump Shot (15 PTS)</v>
      </c>
      <c r="K2339" s="2" t="str">
        <f>HYPERLINK("https://www.nba.com/game/...-vs-...-0022300511/play-by-play?watchFullGame=true", "LAC vs PHX - Q4 10:05.00")</f>
        <v>LAC vs PHX - Q4 10:05.00</v>
      </c>
      <c r="L2339">
        <v>9.1300000000000008</v>
      </c>
      <c r="M2339">
        <v>15.29</v>
      </c>
      <c r="N2339">
        <v>49.02</v>
      </c>
      <c r="O2339">
        <v>5</v>
      </c>
      <c r="P2339">
        <v>91</v>
      </c>
    </row>
    <row r="2340" spans="1:16" x14ac:dyDescent="0.25">
      <c r="A2340">
        <v>21900305</v>
      </c>
      <c r="B2340">
        <v>2019</v>
      </c>
      <c r="C2340" t="s">
        <v>32</v>
      </c>
      <c r="D2340" t="s">
        <v>22</v>
      </c>
      <c r="E2340">
        <v>57</v>
      </c>
      <c r="F2340">
        <v>51</v>
      </c>
      <c r="G2340">
        <v>2</v>
      </c>
      <c r="H2340" s="1">
        <v>2.1759259259259258E-3</v>
      </c>
      <c r="I2340" t="s">
        <v>23</v>
      </c>
      <c r="J2340" s="2" t="str">
        <f>HYPERLINK("https://www.nba.com/stats/events?CFID=&amp;CFPARAMS=&amp;GameEventID=271&amp;GameID=0021900305&amp;Season=2019-20&amp;flag=1&amp;title=Leonard%2012'%20jumpshot%20(7%20PTS)", "12' jumpshot (7 PTS)")</f>
        <v>12' jumpshot (7 PTS)</v>
      </c>
      <c r="K2340" s="2" t="str">
        <f>HYPERLINK("https://www.nba.com/game/...-vs-...-0021900305/play-by-play?watchFullGame=true", "LAC vs POR - Q2 03:08.00")</f>
        <v>LAC vs POR - Q2 03:08.00</v>
      </c>
      <c r="L2340">
        <v>11.69</v>
      </c>
      <c r="M2340">
        <v>82.57</v>
      </c>
      <c r="N2340">
        <v>50.91</v>
      </c>
      <c r="O2340">
        <v>5</v>
      </c>
      <c r="P2340">
        <v>111</v>
      </c>
    </row>
    <row r="2341" spans="1:16" x14ac:dyDescent="0.25">
      <c r="A2341">
        <v>21900589</v>
      </c>
      <c r="B2341">
        <v>2019</v>
      </c>
      <c r="C2341" t="s">
        <v>32</v>
      </c>
      <c r="D2341" t="s">
        <v>22</v>
      </c>
      <c r="E2341">
        <v>62</v>
      </c>
      <c r="F2341">
        <v>49</v>
      </c>
      <c r="G2341">
        <v>2</v>
      </c>
      <c r="H2341" s="1">
        <v>8.4490740740740739E-4</v>
      </c>
      <c r="I2341" t="s">
        <v>23</v>
      </c>
      <c r="J2341" s="2" t="str">
        <f>HYPERLINK("https://www.nba.com/stats/events?CFID=&amp;CFPARAMS=&amp;GameEventID=300&amp;GameID=0021900589&amp;Season=2019-20&amp;flag=1&amp;title=Leonard%2012'%20jumpshot%20(15%20PTS)", "12' jumpshot (15 PTS)")</f>
        <v>12' jumpshot (15 PTS)</v>
      </c>
      <c r="K2341" s="2" t="str">
        <f>HYPERLINK("https://www.nba.com/game/...-vs-...-0021900589/play-by-play?watchFullGame=true", "LAC vs DEN - Q2 01:13.00")</f>
        <v>LAC vs DEN - Q2 01:13.00</v>
      </c>
      <c r="L2341">
        <v>12.43</v>
      </c>
      <c r="M2341">
        <v>18.22</v>
      </c>
      <c r="N2341">
        <v>49.09</v>
      </c>
      <c r="O2341">
        <v>5</v>
      </c>
      <c r="P2341">
        <v>119</v>
      </c>
    </row>
    <row r="2342" spans="1:16" x14ac:dyDescent="0.25">
      <c r="A2342">
        <v>21900377</v>
      </c>
      <c r="B2342">
        <v>2019</v>
      </c>
      <c r="C2342" t="s">
        <v>32</v>
      </c>
      <c r="D2342" t="s">
        <v>22</v>
      </c>
      <c r="E2342">
        <v>3</v>
      </c>
      <c r="F2342">
        <v>4</v>
      </c>
      <c r="G2342">
        <v>1</v>
      </c>
      <c r="H2342" s="1">
        <v>7.7314814814814815E-3</v>
      </c>
      <c r="I2342" t="s">
        <v>23</v>
      </c>
      <c r="J2342" s="2" t="str">
        <f>HYPERLINK("https://www.nba.com/stats/events?CFID=&amp;CFPARAMS=&amp;GameEventID=16&amp;GameID=0021900377&amp;Season=2019-20&amp;flag=1&amp;title=Leonard%2015'%20jumpshot%20(2%20PTS)", "15' jumpshot (2 PTS)")</f>
        <v>15' jumpshot (2 PTS)</v>
      </c>
      <c r="K2342" s="2" t="str">
        <f>HYPERLINK("https://www.nba.com/game/...-vs-...-0021900377/play-by-play?watchFullGame=true", "LAC vs MIN - Q1 11:08.00")</f>
        <v>LAC vs MIN - Q1 11:08.00</v>
      </c>
      <c r="L2342">
        <v>14.75</v>
      </c>
      <c r="M2342">
        <v>79.319999999999993</v>
      </c>
      <c r="N2342">
        <v>51.05</v>
      </c>
      <c r="O2342">
        <v>5</v>
      </c>
      <c r="P2342">
        <v>142</v>
      </c>
    </row>
    <row r="2343" spans="1:16" x14ac:dyDescent="0.25">
      <c r="A2343">
        <v>22300676</v>
      </c>
      <c r="B2343">
        <v>2023</v>
      </c>
      <c r="C2343" t="s">
        <v>32</v>
      </c>
      <c r="D2343" t="s">
        <v>19</v>
      </c>
      <c r="E2343">
        <v>55</v>
      </c>
      <c r="F2343">
        <v>62</v>
      </c>
      <c r="G2343">
        <v>2</v>
      </c>
      <c r="H2343" s="1">
        <v>1.1226851851851851E-3</v>
      </c>
      <c r="I2343" t="s">
        <v>23</v>
      </c>
      <c r="J2343" s="2" t="str">
        <f>HYPERLINK("https://www.nba.com/stats/events?CFID=&amp;CFPARAMS=&amp;GameEventID=284&amp;GameID=0022300676&amp;Season=2023-24&amp;flag=1&amp;title=Leonard%2021'%20pullup%20Jump%20Shot%20(17%20PTS)", "21' pullup Jump Shot (17 PTS)")</f>
        <v>21' pullup Jump Shot (17 PTS)</v>
      </c>
      <c r="K2343" s="2" t="str">
        <f>HYPERLINK("https://www.nba.com/game/...-vs-...-0022300676/play-by-play?watchFullGame=true", "LAC vs WAS - Q2 01:37.00")</f>
        <v>LAC vs WAS - Q2 01:37.00</v>
      </c>
      <c r="L2343">
        <v>21.24</v>
      </c>
      <c r="M2343">
        <v>71.83</v>
      </c>
      <c r="N2343">
        <v>50.98</v>
      </c>
      <c r="O2343">
        <v>5</v>
      </c>
      <c r="P2343">
        <v>212</v>
      </c>
    </row>
    <row r="2344" spans="1:16" x14ac:dyDescent="0.25">
      <c r="A2344">
        <v>22400793</v>
      </c>
      <c r="B2344">
        <v>2024</v>
      </c>
      <c r="C2344" t="s">
        <v>16</v>
      </c>
      <c r="D2344" t="s">
        <v>19</v>
      </c>
      <c r="E2344">
        <v>67</v>
      </c>
      <c r="F2344">
        <v>68</v>
      </c>
      <c r="G2344">
        <v>3</v>
      </c>
      <c r="H2344" s="1">
        <v>4.9884259259259257E-3</v>
      </c>
      <c r="I2344" t="s">
        <v>23</v>
      </c>
      <c r="J2344" s="2" t="str">
        <f>HYPERLINK("https://www.nba.com/stats/events?CFID=&amp;CFPARAMS=&amp;GameEventID=363&amp;GameID=0022400793&amp;Season=2024-25&amp;flag=1&amp;title=Leonard%2025'%203PT%20%20(13%20PTS)%20(Dunn%204%20AST)", "25' 3PT  (13 PTS) (K. Dunn 4 AST)")</f>
        <v>25' 3PT  (13 PTS) (K. Dunn 4 AST)</v>
      </c>
      <c r="K2344" s="2" t="str">
        <f>HYPERLINK("https://www.nba.com/game/...-vs-...-0022400793/play-by-play?watchFullGame=true", "LAC vs MIL - Q3 07:11.00")</f>
        <v>LAC vs MIL - Q3 07:11.00</v>
      </c>
      <c r="L2344">
        <v>25.76</v>
      </c>
      <c r="M2344">
        <v>67.010000000000005</v>
      </c>
      <c r="N2344">
        <v>51</v>
      </c>
      <c r="O2344">
        <v>5</v>
      </c>
      <c r="P2344">
        <v>258</v>
      </c>
    </row>
    <row r="2345" spans="1:16" x14ac:dyDescent="0.25">
      <c r="A2345">
        <v>41800215</v>
      </c>
      <c r="B2345" t="s">
        <v>20</v>
      </c>
      <c r="C2345" t="s">
        <v>32</v>
      </c>
      <c r="D2345" t="s">
        <v>61</v>
      </c>
      <c r="E2345">
        <v>27</v>
      </c>
      <c r="F2345">
        <v>23</v>
      </c>
      <c r="G2345">
        <v>1</v>
      </c>
      <c r="H2345" s="1">
        <v>9.2592592592592588E-5</v>
      </c>
      <c r="I2345" t="s">
        <v>21</v>
      </c>
      <c r="J2345" s="2" t="str">
        <f>HYPERLINK("https://www.nba.com/stats/events?CFID=&amp;CFPARAMS=&amp;GameEventID=184&amp;GameID=0041800215&amp;Season=2018-19&amp;flag=1&amp;title=Leonard%201'%20Driving%20Finger%20Roll%20Layup%20(5%20PTS)", "Leonard 1' Driving Finger Roll Layup (5 PTS)")</f>
        <v>Leonard 1' Driving Finger Roll Layup (5 PTS)</v>
      </c>
      <c r="K2345" s="2" t="str">
        <f>HYPERLINK("https://www.nba.com/game/...-vs-...-0041800215/play-by-play?watchFullGame=true", "TOR vs PHI - Q1 00:08.00")</f>
        <v>TOR vs PHI - Q1 00:08.00</v>
      </c>
      <c r="L2345">
        <v>1</v>
      </c>
      <c r="M2345">
        <v>6</v>
      </c>
      <c r="N2345">
        <v>-6</v>
      </c>
      <c r="O2345">
        <v>6</v>
      </c>
      <c r="P2345">
        <v>-6</v>
      </c>
    </row>
    <row r="2346" spans="1:16" x14ac:dyDescent="0.25">
      <c r="A2346">
        <v>41200406</v>
      </c>
      <c r="B2346" t="s">
        <v>27</v>
      </c>
      <c r="C2346" t="s">
        <v>32</v>
      </c>
      <c r="D2346" t="s">
        <v>72</v>
      </c>
      <c r="E2346">
        <v>44</v>
      </c>
      <c r="F2346">
        <v>50</v>
      </c>
      <c r="G2346">
        <v>2</v>
      </c>
      <c r="H2346" s="1">
        <v>1.5046296296296297E-5</v>
      </c>
      <c r="I2346" t="s">
        <v>18</v>
      </c>
      <c r="J2346" s="2" t="str">
        <f>HYPERLINK("https://www.nba.com/stats/events?CFID=&amp;CFPARAMS=&amp;GameEventID=223&amp;GameID=0041200406&amp;Season=2012-13&amp;flag=1&amp;title=Leonard%201'%20Tip%20Shot%20(10%20PTS)", "Leonard 1' Tip Shot (10 PTS)")</f>
        <v>Leonard 1' Tip Shot (10 PTS)</v>
      </c>
      <c r="K2346" s="2" t="str">
        <f>HYPERLINK("https://www.nba.com/game/...-vs-...-0041200406/play-by-play?watchFullGame=true", "SAS vs MIA - Q2 00:01.30")</f>
        <v>SAS vs MIA - Q2 00:01.30</v>
      </c>
      <c r="L2346">
        <v>1</v>
      </c>
      <c r="M2346">
        <v>6</v>
      </c>
      <c r="N2346">
        <v>-5</v>
      </c>
      <c r="O2346">
        <v>6</v>
      </c>
      <c r="P2346">
        <v>-5</v>
      </c>
    </row>
    <row r="2347" spans="1:16" x14ac:dyDescent="0.25">
      <c r="A2347">
        <v>21500090</v>
      </c>
      <c r="B2347">
        <v>2015</v>
      </c>
      <c r="C2347" t="s">
        <v>32</v>
      </c>
      <c r="D2347" t="s">
        <v>49</v>
      </c>
      <c r="E2347">
        <v>98</v>
      </c>
      <c r="F2347">
        <v>79</v>
      </c>
      <c r="G2347">
        <v>4</v>
      </c>
      <c r="H2347" s="1">
        <v>6.3310185185185188E-3</v>
      </c>
      <c r="I2347" t="s">
        <v>18</v>
      </c>
      <c r="J2347" s="2" t="str">
        <f>HYPERLINK("https://www.nba.com/stats/events?CFID=&amp;CFPARAMS=&amp;GameEventID=410&amp;GameID=0021500090&amp;Season=2015-16&amp;flag=1&amp;title=Leonard%201'%20Driving%20Layup%20(19%20PTS)%20(Aldridge%202%20AST)", "Leonard 1' Driving Layup (19 PTS) (Aldridge 2 AST)")</f>
        <v>Leonard 1' Driving Layup (19 PTS) (Aldridge 2 AST)</v>
      </c>
      <c r="K2347" s="2" t="str">
        <f>HYPERLINK("https://www.nba.com/game/...-vs-...-0021500090/play-by-play?watchFullGame=true", "SAS vs CHA - Q4 09:07.00")</f>
        <v>SAS vs CHA - Q4 09:07.00</v>
      </c>
      <c r="L2347">
        <v>1</v>
      </c>
      <c r="M2347">
        <v>6</v>
      </c>
      <c r="N2347">
        <v>-1</v>
      </c>
      <c r="O2347">
        <v>6</v>
      </c>
      <c r="P2347">
        <v>-1</v>
      </c>
    </row>
    <row r="2348" spans="1:16" x14ac:dyDescent="0.25">
      <c r="A2348">
        <v>21900436</v>
      </c>
      <c r="B2348">
        <v>2019</v>
      </c>
      <c r="C2348" t="s">
        <v>32</v>
      </c>
      <c r="D2348" t="s">
        <v>65</v>
      </c>
      <c r="E2348">
        <v>75</v>
      </c>
      <c r="F2348">
        <v>100</v>
      </c>
      <c r="G2348">
        <v>3</v>
      </c>
      <c r="H2348" s="1">
        <v>2.8587962962962963E-3</v>
      </c>
      <c r="I2348" t="s">
        <v>23</v>
      </c>
      <c r="J2348" s="2" t="str">
        <f>HYPERLINK("https://www.nba.com/stats/events?CFID=&amp;CFPARAMS=&amp;GameEventID=437&amp;GameID=0021900436&amp;Season=2019-20&amp;flag=1&amp;title=Leonard%20dunk%20(26%20PTS)%20(L.%20Williams%202%20AST)", "Dunk (26 PTS) (L. Williams 2 AST)")</f>
        <v>Dunk (26 PTS) (L. Williams 2 AST)</v>
      </c>
      <c r="K2348" s="2" t="str">
        <f>HYPERLINK("https://www.nba.com/game/...-vs-...-0021900436/play-by-play?watchFullGame=true", "LAC vs SAS - Q3 04:07.00")</f>
        <v>LAC vs SAS - Q3 04:07.00</v>
      </c>
      <c r="L2348">
        <v>0.93</v>
      </c>
      <c r="M2348">
        <v>94.3</v>
      </c>
      <c r="N2348">
        <v>51.29</v>
      </c>
      <c r="O2348">
        <v>6</v>
      </c>
      <c r="P2348">
        <v>1</v>
      </c>
    </row>
    <row r="2349" spans="1:16" x14ac:dyDescent="0.25">
      <c r="A2349">
        <v>22201069</v>
      </c>
      <c r="B2349">
        <v>2022</v>
      </c>
      <c r="C2349" t="s">
        <v>32</v>
      </c>
      <c r="D2349" t="s">
        <v>47</v>
      </c>
      <c r="E2349">
        <v>15</v>
      </c>
      <c r="F2349">
        <v>20</v>
      </c>
      <c r="G2349">
        <v>1</v>
      </c>
      <c r="H2349" s="1">
        <v>3.7962962962962963E-3</v>
      </c>
      <c r="I2349" t="s">
        <v>23</v>
      </c>
      <c r="J2349" s="2" t="str">
        <f>HYPERLINK("https://www.nba.com/stats/events?CFID=&amp;CFPARAMS=&amp;GameEventID=71&amp;GameID=0022201069&amp;Season=2022-23&amp;flag=1&amp;title=Leonard%20driving%20Layup%20(6%20PTS)", "Driving Layup (6 PTS)")</f>
        <v>Driving Layup (6 PTS)</v>
      </c>
      <c r="K2349" s="2" t="str">
        <f>HYPERLINK("https://www.nba.com/game/...-vs-...-0022201069/play-by-play?watchFullGame=true", "LAC vs POR - Q1 05:28.00")</f>
        <v>LAC vs POR - Q1 05:28.00</v>
      </c>
      <c r="L2349">
        <v>0.62</v>
      </c>
      <c r="M2349">
        <v>94.3</v>
      </c>
      <c r="N2349">
        <v>51.23</v>
      </c>
      <c r="O2349">
        <v>6</v>
      </c>
      <c r="P2349">
        <v>1</v>
      </c>
    </row>
    <row r="2350" spans="1:16" x14ac:dyDescent="0.25">
      <c r="A2350">
        <v>21601056</v>
      </c>
      <c r="B2350">
        <v>2016</v>
      </c>
      <c r="C2350" t="s">
        <v>32</v>
      </c>
      <c r="D2350" t="s">
        <v>61</v>
      </c>
      <c r="E2350">
        <v>78</v>
      </c>
      <c r="F2350">
        <v>84</v>
      </c>
      <c r="G2350">
        <v>4</v>
      </c>
      <c r="H2350" s="1">
        <v>5.7060185185185183E-3</v>
      </c>
      <c r="I2350" t="s">
        <v>18</v>
      </c>
      <c r="J2350" s="2" t="str">
        <f>HYPERLINK("https://www.nba.com/stats/events?CFID=&amp;CFPARAMS=&amp;GameEventID=405&amp;GameID=0021601056&amp;Season=2016-17&amp;flag=1&amp;title=Leonard%201'%20Driving%20Finger%20Roll%20Layup%20(16%20PTS)", "Leonard 1' Driving Finger Roll Layup (16 PTS)")</f>
        <v>Leonard 1' Driving Finger Roll Layup (16 PTS)</v>
      </c>
      <c r="K2350" s="2" t="str">
        <f>HYPERLINK("https://www.nba.com/game/...-vs-...-0021601056/play-by-play?watchFullGame=true", "SAS vs MIN - Q4 08:13.00")</f>
        <v>SAS vs MIN - Q4 08:13.00</v>
      </c>
      <c r="L2350">
        <v>1</v>
      </c>
      <c r="M2350">
        <v>6</v>
      </c>
      <c r="N2350">
        <v>2</v>
      </c>
      <c r="O2350">
        <v>6</v>
      </c>
      <c r="P2350">
        <v>2</v>
      </c>
    </row>
    <row r="2351" spans="1:16" x14ac:dyDescent="0.25">
      <c r="A2351">
        <v>21600383</v>
      </c>
      <c r="B2351">
        <v>2016</v>
      </c>
      <c r="C2351" t="s">
        <v>32</v>
      </c>
      <c r="D2351" t="s">
        <v>61</v>
      </c>
      <c r="E2351">
        <v>14</v>
      </c>
      <c r="F2351">
        <v>13</v>
      </c>
      <c r="G2351">
        <v>1</v>
      </c>
      <c r="H2351" s="1">
        <v>4.3287037037037035E-3</v>
      </c>
      <c r="I2351" t="s">
        <v>18</v>
      </c>
      <c r="J2351" s="2" t="str">
        <f>HYPERLINK("https://www.nba.com/stats/events?CFID=&amp;CFPARAMS=&amp;GameEventID=52&amp;GameID=0021600383&amp;Season=2016-17&amp;flag=1&amp;title=Leonard%201'%20Driving%20Finger%20Roll%20Layup%20(5%20PTS)%20(Gasol%201%20AST)", "Leonard 1' Driving Finger Roll Layup (5 PTS) (Gasol 1 AST)")</f>
        <v>Leonard 1' Driving Finger Roll Layup (5 PTS) (Gasol 1 AST)</v>
      </c>
      <c r="K2351" s="2" t="str">
        <f>HYPERLINK("https://www.nba.com/game/...-vs-...-0021600383/play-by-play?watchFullGame=true", "SAS vs BOS - Q1 06:14.00")</f>
        <v>SAS vs BOS - Q1 06:14.00</v>
      </c>
      <c r="L2351">
        <v>1</v>
      </c>
      <c r="M2351">
        <v>6</v>
      </c>
      <c r="N2351">
        <v>3</v>
      </c>
      <c r="O2351">
        <v>6</v>
      </c>
      <c r="P2351">
        <v>3</v>
      </c>
    </row>
    <row r="2352" spans="1:16" x14ac:dyDescent="0.25">
      <c r="A2352">
        <v>21501201</v>
      </c>
      <c r="B2352">
        <v>2015</v>
      </c>
      <c r="C2352" t="s">
        <v>32</v>
      </c>
      <c r="D2352" t="s">
        <v>57</v>
      </c>
      <c r="E2352">
        <v>67</v>
      </c>
      <c r="F2352">
        <v>68</v>
      </c>
      <c r="G2352">
        <v>4</v>
      </c>
      <c r="H2352" s="1">
        <v>6.4004629629629628E-3</v>
      </c>
      <c r="I2352" t="s">
        <v>18</v>
      </c>
      <c r="J2352" s="2" t="str">
        <f>HYPERLINK("https://www.nba.com/stats/events?CFID=&amp;CFPARAMS=&amp;GameEventID=424&amp;GameID=0021501201&amp;Season=2015-16&amp;flag=1&amp;title=Leonard%201'%20Layup%20(13%20PTS)", "Leonard 1' Layup (13 PTS)")</f>
        <v>Leonard 1' Layup (13 PTS)</v>
      </c>
      <c r="K2352" s="2" t="str">
        <f>HYPERLINK("https://www.nba.com/game/...-vs-...-0021501201/play-by-play?watchFullGame=true", "SAS vs GSW - Q4 09:13.00")</f>
        <v>SAS vs GSW - Q4 09:13.00</v>
      </c>
      <c r="L2352">
        <v>1</v>
      </c>
      <c r="M2352">
        <v>6</v>
      </c>
      <c r="N2352">
        <v>3</v>
      </c>
      <c r="O2352">
        <v>6</v>
      </c>
      <c r="P2352">
        <v>3</v>
      </c>
    </row>
    <row r="2353" spans="1:16" x14ac:dyDescent="0.25">
      <c r="A2353">
        <v>41400163</v>
      </c>
      <c r="B2353" t="s">
        <v>28</v>
      </c>
      <c r="C2353" t="s">
        <v>32</v>
      </c>
      <c r="D2353" t="s">
        <v>57</v>
      </c>
      <c r="E2353">
        <v>46</v>
      </c>
      <c r="F2353">
        <v>33</v>
      </c>
      <c r="G2353">
        <v>2</v>
      </c>
      <c r="H2353" s="1">
        <v>1.0995370370370371E-3</v>
      </c>
      <c r="I2353" t="s">
        <v>18</v>
      </c>
      <c r="J2353" s="2" t="str">
        <f>HYPERLINK("https://www.nba.com/stats/events?CFID=&amp;CFPARAMS=&amp;GameEventID=213&amp;GameID=0041400163&amp;Season=2014-15&amp;flag=1&amp;title=Leonard%201'%20Layup%20(16%20PTS)%20(Parker%202%20AST)", "Leonard 1' Layup (16 PTS) (Parker 2 AST)")</f>
        <v>Leonard 1' Layup (16 PTS) (Parker 2 AST)</v>
      </c>
      <c r="K2353" s="2" t="str">
        <f>HYPERLINK("https://www.nba.com/game/...-vs-...-0041400163/play-by-play?watchFullGame=true", "SAS vs LAC - Q2 01:35.00")</f>
        <v>SAS vs LAC - Q2 01:35.00</v>
      </c>
      <c r="L2353">
        <v>1</v>
      </c>
      <c r="M2353">
        <v>6</v>
      </c>
      <c r="N2353">
        <v>6</v>
      </c>
      <c r="O2353">
        <v>6</v>
      </c>
      <c r="P2353">
        <v>6</v>
      </c>
    </row>
    <row r="2354" spans="1:16" x14ac:dyDescent="0.25">
      <c r="A2354">
        <v>41200403</v>
      </c>
      <c r="B2354" t="s">
        <v>27</v>
      </c>
      <c r="C2354" t="s">
        <v>32</v>
      </c>
      <c r="D2354" t="s">
        <v>62</v>
      </c>
      <c r="E2354">
        <v>88</v>
      </c>
      <c r="F2354">
        <v>63</v>
      </c>
      <c r="G2354">
        <v>4</v>
      </c>
      <c r="H2354" s="1">
        <v>7.060185185185185E-3</v>
      </c>
      <c r="I2354" t="s">
        <v>18</v>
      </c>
      <c r="J2354" s="2" t="str">
        <f>HYPERLINK("https://www.nba.com/stats/events?CFID=&amp;CFPARAMS=&amp;GameEventID=386&amp;GameID=0041200403&amp;Season=2012-13&amp;flag=1&amp;title=Leonard%201'%20Dunk%20(14%20PTS)%20(Neal%202%20AST)", "Leonard 1' Dunk (14 PTS) (Neal 2 AST)")</f>
        <v>Leonard 1' Dunk (14 PTS) (Neal 2 AST)</v>
      </c>
      <c r="K2354" s="2" t="str">
        <f>HYPERLINK("https://www.nba.com/game/...-vs-...-0041200403/play-by-play?watchFullGame=true", "SAS vs MIA - Q4 10:10.00")</f>
        <v>SAS vs MIA - Q4 10:10.00</v>
      </c>
      <c r="L2354">
        <v>1</v>
      </c>
      <c r="M2354">
        <v>6</v>
      </c>
      <c r="N2354">
        <v>7</v>
      </c>
      <c r="O2354">
        <v>6</v>
      </c>
      <c r="P2354">
        <v>7</v>
      </c>
    </row>
    <row r="2355" spans="1:16" x14ac:dyDescent="0.25">
      <c r="A2355">
        <v>41200236</v>
      </c>
      <c r="B2355" t="s">
        <v>27</v>
      </c>
      <c r="C2355" t="s">
        <v>32</v>
      </c>
      <c r="D2355" t="s">
        <v>57</v>
      </c>
      <c r="E2355">
        <v>45</v>
      </c>
      <c r="F2355">
        <v>55</v>
      </c>
      <c r="G2355">
        <v>3</v>
      </c>
      <c r="H2355" s="1">
        <v>5.0000000000000001E-3</v>
      </c>
      <c r="I2355" t="s">
        <v>18</v>
      </c>
      <c r="J2355" s="2" t="str">
        <f>HYPERLINK("https://www.nba.com/stats/events?CFID=&amp;CFPARAMS=&amp;GameEventID=271&amp;GameID=0041200236&amp;Season=2012-13&amp;flag=1&amp;title=Leonard%201'%20Layup%20(6%20PTS)", "Leonard 1' Layup (6 PTS)")</f>
        <v>Leonard 1' Layup (6 PTS)</v>
      </c>
      <c r="K2355" s="2" t="str">
        <f>HYPERLINK("https://www.nba.com/game/...-vs-...-0041200236/play-by-play?watchFullGame=true", "SAS vs GSW - Q3 07:12.00")</f>
        <v>SAS vs GSW - Q3 07:12.00</v>
      </c>
      <c r="L2355">
        <v>1</v>
      </c>
      <c r="M2355">
        <v>6</v>
      </c>
      <c r="N2355">
        <v>7</v>
      </c>
      <c r="O2355">
        <v>6</v>
      </c>
      <c r="P2355">
        <v>7</v>
      </c>
    </row>
    <row r="2356" spans="1:16" x14ac:dyDescent="0.25">
      <c r="A2356">
        <v>41200406</v>
      </c>
      <c r="B2356" t="s">
        <v>27</v>
      </c>
      <c r="C2356" t="s">
        <v>32</v>
      </c>
      <c r="D2356" t="s">
        <v>57</v>
      </c>
      <c r="E2356">
        <v>95</v>
      </c>
      <c r="F2356">
        <v>97</v>
      </c>
      <c r="G2356">
        <v>5</v>
      </c>
      <c r="H2356" s="1">
        <v>3.0787037037037037E-3</v>
      </c>
      <c r="I2356" t="s">
        <v>18</v>
      </c>
      <c r="J2356" s="2" t="str">
        <f>HYPERLINK("https://www.nba.com/stats/events?CFID=&amp;CFPARAMS=&amp;GameEventID=522&amp;GameID=0041200406&amp;Season=2012-13&amp;flag=1&amp;title=Leonard%201'%20Layup%20(20%20PTS)%20(Parker%208%20AST)", "Leonard 1' Layup (20 PTS) (Parker 8 AST)")</f>
        <v>Leonard 1' Layup (20 PTS) (Parker 8 AST)</v>
      </c>
      <c r="K2356" s="2" t="str">
        <f>HYPERLINK("https://www.nba.com/game/...-vs-...-0041200406/play-by-play?watchFullGame=true", "SAS vs MIA - Q5 04:26.00")</f>
        <v>SAS vs MIA - Q5 04:26.00</v>
      </c>
      <c r="L2356">
        <v>1</v>
      </c>
      <c r="M2356">
        <v>6</v>
      </c>
      <c r="N2356">
        <v>7</v>
      </c>
      <c r="O2356">
        <v>6</v>
      </c>
      <c r="P2356">
        <v>7</v>
      </c>
    </row>
    <row r="2357" spans="1:16" x14ac:dyDescent="0.25">
      <c r="A2357">
        <v>22000224</v>
      </c>
      <c r="B2357">
        <v>2020</v>
      </c>
      <c r="C2357" t="s">
        <v>32</v>
      </c>
      <c r="D2357" t="s">
        <v>47</v>
      </c>
      <c r="E2357">
        <v>73</v>
      </c>
      <c r="F2357">
        <v>63</v>
      </c>
      <c r="G2357">
        <v>3</v>
      </c>
      <c r="H2357" s="1">
        <v>5.7870370370370367E-3</v>
      </c>
      <c r="I2357" t="s">
        <v>23</v>
      </c>
      <c r="J2357" s="2" t="str">
        <f>HYPERLINK("https://www.nba.com/stats/events?CFID=&amp;CFPARAMS=&amp;GameEventID=356&amp;GameID=0022000224&amp;Season=2020-21&amp;flag=1&amp;title=Leonard%20running%20Layup%20(21%20PTS)%20(P.%20George%2011%20AST)", "Running Layup (21 PTS) (P. George 11 AST)")</f>
        <v>Running Layup (21 PTS) (P. George 11 AST)</v>
      </c>
      <c r="K2357" s="2" t="str">
        <f>HYPERLINK("https://www.nba.com/game/...-vs-...-0022000224/play-by-play?watchFullGame=true", "LAC vs SAC - Q3 08:20.00")</f>
        <v>LAC vs SAC - Q3 08:20.00</v>
      </c>
      <c r="L2357">
        <v>0.76</v>
      </c>
      <c r="M2357">
        <v>6.39</v>
      </c>
      <c r="N2357">
        <v>50.07</v>
      </c>
      <c r="O2357">
        <v>6</v>
      </c>
      <c r="P2357">
        <v>8</v>
      </c>
    </row>
    <row r="2358" spans="1:16" x14ac:dyDescent="0.25">
      <c r="A2358">
        <v>21900068</v>
      </c>
      <c r="B2358">
        <v>2019</v>
      </c>
      <c r="C2358" t="s">
        <v>32</v>
      </c>
      <c r="D2358" t="s">
        <v>65</v>
      </c>
      <c r="E2358">
        <v>62</v>
      </c>
      <c r="F2358">
        <v>54</v>
      </c>
      <c r="G2358">
        <v>3</v>
      </c>
      <c r="H2358" s="1">
        <v>4.9537037037037041E-3</v>
      </c>
      <c r="I2358" t="s">
        <v>23</v>
      </c>
      <c r="J2358" s="2" t="str">
        <f>HYPERLINK("https://www.nba.com/stats/events?CFID=&amp;CFPARAMS=&amp;GameEventID=391&amp;GameID=0021900068&amp;Season=2019-20&amp;flag=1&amp;title=[LAC]%20Leonard%20dunk:%20Made%20(21%20PTS)", "[LAC] Leonard dunk: Made (21 PTS)")</f>
        <v>[LAC] Leonard dunk: Made (21 PTS)</v>
      </c>
      <c r="K2358" s="2" t="str">
        <f>HYPERLINK("https://www.nba.com/game/...-vs-...-0021900068/play-by-play?watchFullGame=true", "LAC vs SAS - Q3 07:08.00")</f>
        <v>LAC vs SAS - Q3 07:08.00</v>
      </c>
      <c r="L2358">
        <v>1.54</v>
      </c>
      <c r="M2358">
        <v>93.48</v>
      </c>
      <c r="N2358">
        <v>51.16</v>
      </c>
      <c r="O2358">
        <v>6</v>
      </c>
      <c r="P2358">
        <v>9</v>
      </c>
    </row>
    <row r="2359" spans="1:16" x14ac:dyDescent="0.25">
      <c r="A2359">
        <v>21900436</v>
      </c>
      <c r="B2359">
        <v>2019</v>
      </c>
      <c r="C2359" t="s">
        <v>32</v>
      </c>
      <c r="D2359" t="s">
        <v>65</v>
      </c>
      <c r="E2359">
        <v>49</v>
      </c>
      <c r="F2359">
        <v>60</v>
      </c>
      <c r="G2359">
        <v>2</v>
      </c>
      <c r="H2359" s="1">
        <v>3.0439814814814813E-3</v>
      </c>
      <c r="I2359" t="s">
        <v>23</v>
      </c>
      <c r="J2359" s="2" t="str">
        <f>HYPERLINK("https://www.nba.com/stats/events?CFID=&amp;CFPARAMS=&amp;GameEventID=258&amp;GameID=0021900436&amp;Season=2019-20&amp;flag=1&amp;title=Leonard%20dunk%20(14%20PTS)", "Dunk (14 PTS)")</f>
        <v>Dunk (14 PTS)</v>
      </c>
      <c r="K2359" s="2" t="str">
        <f>HYPERLINK("https://www.nba.com/game/...-vs-...-0021900436/play-by-play?watchFullGame=true", "LAC vs SAS - Q2 04:23.00")</f>
        <v>LAC vs SAS - Q2 04:23.00</v>
      </c>
      <c r="L2359">
        <v>1.43</v>
      </c>
      <c r="M2359">
        <v>6.52</v>
      </c>
      <c r="N2359">
        <v>50.07</v>
      </c>
      <c r="O2359">
        <v>6</v>
      </c>
      <c r="P2359">
        <v>9</v>
      </c>
    </row>
    <row r="2360" spans="1:16" x14ac:dyDescent="0.25">
      <c r="A2360">
        <v>21901291</v>
      </c>
      <c r="B2360">
        <v>2019</v>
      </c>
      <c r="C2360" t="s">
        <v>32</v>
      </c>
      <c r="D2360" t="s">
        <v>65</v>
      </c>
      <c r="E2360">
        <v>107</v>
      </c>
      <c r="F2360">
        <v>116</v>
      </c>
      <c r="G2360">
        <v>4</v>
      </c>
      <c r="H2360" s="1">
        <v>2.7199074074074074E-3</v>
      </c>
      <c r="I2360" t="s">
        <v>23</v>
      </c>
      <c r="J2360" s="2" t="str">
        <f>HYPERLINK("https://www.nba.com/stats/events?CFID=&amp;CFPARAMS=&amp;GameEventID=624&amp;GameID=0021901291&amp;Season=2019-20&amp;flag=1&amp;title=Leonard%20dunk%20(32%20PTS)", "Dunk (32 PTS)")</f>
        <v>Dunk (32 PTS)</v>
      </c>
      <c r="K2360" s="2" t="str">
        <f>HYPERLINK("https://www.nba.com/game/...-vs-...-0021901291/play-by-play?watchFullGame=true", "LAC vs BKN - Q4 03:55.00")</f>
        <v>LAC vs BKN - Q4 03:55.00</v>
      </c>
      <c r="L2360">
        <v>1.65</v>
      </c>
      <c r="M2360">
        <v>6.65</v>
      </c>
      <c r="N2360">
        <v>48.84</v>
      </c>
      <c r="O2360">
        <v>6</v>
      </c>
      <c r="P2360">
        <v>10</v>
      </c>
    </row>
    <row r="2361" spans="1:16" x14ac:dyDescent="0.25">
      <c r="A2361">
        <v>21500854</v>
      </c>
      <c r="B2361">
        <v>2015</v>
      </c>
      <c r="C2361" t="s">
        <v>32</v>
      </c>
      <c r="D2361" t="s">
        <v>57</v>
      </c>
      <c r="E2361">
        <v>74</v>
      </c>
      <c r="F2361">
        <v>93</v>
      </c>
      <c r="G2361">
        <v>4</v>
      </c>
      <c r="H2361" s="1">
        <v>4.7453703703703703E-3</v>
      </c>
      <c r="I2361" t="s">
        <v>18</v>
      </c>
      <c r="J2361" s="2" t="str">
        <f>HYPERLINK("https://www.nba.com/stats/events?CFID=&amp;CFPARAMS=&amp;GameEventID=424&amp;GameID=0021500854&amp;Season=2015-16&amp;flag=1&amp;title=Leonard%201'%20Layup%20(14%20PTS)%20(Parker%206%20AST)", "Leonard 1' Layup (14 PTS) (Parker 6 AST)")</f>
        <v>Leonard 1' Layup (14 PTS) (Parker 6 AST)</v>
      </c>
      <c r="K2361" s="2" t="str">
        <f>HYPERLINK("https://www.nba.com/game/...-vs-...-0021500854/play-by-play?watchFullGame=true", "SAS vs SAC - Q4 06:50.00")</f>
        <v>SAS vs SAC - Q4 06:50.00</v>
      </c>
      <c r="L2361">
        <v>1</v>
      </c>
      <c r="M2361">
        <v>6</v>
      </c>
      <c r="N2361">
        <v>11</v>
      </c>
      <c r="O2361">
        <v>6</v>
      </c>
      <c r="P2361">
        <v>11</v>
      </c>
    </row>
    <row r="2362" spans="1:16" x14ac:dyDescent="0.25">
      <c r="A2362">
        <v>21300100</v>
      </c>
      <c r="B2362">
        <v>2013</v>
      </c>
      <c r="C2362" t="s">
        <v>32</v>
      </c>
      <c r="D2362" t="s">
        <v>57</v>
      </c>
      <c r="E2362">
        <v>38</v>
      </c>
      <c r="F2362">
        <v>59</v>
      </c>
      <c r="G2362">
        <v>3</v>
      </c>
      <c r="H2362" s="1">
        <v>8.1134259259259267E-3</v>
      </c>
      <c r="I2362" t="s">
        <v>18</v>
      </c>
      <c r="J2362" s="2" t="str">
        <f>HYPERLINK("https://www.nba.com/stats/events?CFID=&amp;CFPARAMS=&amp;GameEventID=229&amp;GameID=0021300100&amp;Season=2013-14&amp;flag=1&amp;title=Leonard%201'%20Layup%20(4%20PTS)%20(Parker%206%20AST)", "Leonard 1' Layup (4 PTS) (Parker 6 AST)")</f>
        <v>Leonard 1' Layup (4 PTS) (Parker 6 AST)</v>
      </c>
      <c r="K2362" s="2" t="str">
        <f>HYPERLINK("https://www.nba.com/game/...-vs-...-0021300100/play-by-play?watchFullGame=true", "SAS vs PHI - Q3 11:41.00")</f>
        <v>SAS vs PHI - Q3 11:41.00</v>
      </c>
      <c r="L2362">
        <v>1</v>
      </c>
      <c r="M2362">
        <v>6</v>
      </c>
      <c r="N2362">
        <v>11</v>
      </c>
      <c r="O2362">
        <v>6</v>
      </c>
      <c r="P2362">
        <v>11</v>
      </c>
    </row>
    <row r="2363" spans="1:16" x14ac:dyDescent="0.25">
      <c r="A2363">
        <v>21300465</v>
      </c>
      <c r="B2363">
        <v>2013</v>
      </c>
      <c r="C2363" t="s">
        <v>32</v>
      </c>
      <c r="D2363" t="s">
        <v>62</v>
      </c>
      <c r="E2363">
        <v>18</v>
      </c>
      <c r="F2363">
        <v>6</v>
      </c>
      <c r="G2363">
        <v>1</v>
      </c>
      <c r="H2363" s="1">
        <v>4.2592592592592595E-3</v>
      </c>
      <c r="I2363" t="s">
        <v>18</v>
      </c>
      <c r="J2363" s="2" t="str">
        <f>HYPERLINK("https://www.nba.com/stats/events?CFID=&amp;CFPARAMS=&amp;GameEventID=61&amp;GameID=0021300465&amp;Season=2013-14&amp;flag=1&amp;title=Leonard%201'%20Dunk%20(2%20PTS)%20(Splitter%201%20AST)", "Leonard 1' Dunk (2 PTS) (Splitter 1 AST)")</f>
        <v>Leonard 1' Dunk (2 PTS) (Splitter 1 AST)</v>
      </c>
      <c r="K2363" s="2" t="str">
        <f>HYPERLINK("https://www.nba.com/game/...-vs-...-0021300465/play-by-play?watchFullGame=true", "SAS vs BKN - Q1 06:08.00")</f>
        <v>SAS vs BKN - Q1 06:08.00</v>
      </c>
      <c r="L2363">
        <v>1</v>
      </c>
      <c r="M2363">
        <v>6</v>
      </c>
      <c r="N2363">
        <v>12</v>
      </c>
      <c r="O2363">
        <v>6</v>
      </c>
      <c r="P2363">
        <v>12</v>
      </c>
    </row>
    <row r="2364" spans="1:16" x14ac:dyDescent="0.25">
      <c r="A2364">
        <v>22000788</v>
      </c>
      <c r="B2364">
        <v>2020</v>
      </c>
      <c r="C2364" t="s">
        <v>32</v>
      </c>
      <c r="D2364" t="s">
        <v>48</v>
      </c>
      <c r="E2364">
        <v>112</v>
      </c>
      <c r="F2364">
        <v>96</v>
      </c>
      <c r="G2364">
        <v>4</v>
      </c>
      <c r="H2364" s="1">
        <v>9.7222222222222219E-4</v>
      </c>
      <c r="I2364" t="s">
        <v>23</v>
      </c>
      <c r="J2364" s="2" t="str">
        <f>HYPERLINK("https://www.nba.com/stats/events?CFID=&amp;CFPARAMS=&amp;GameEventID=566&amp;GameID=0022000788&amp;Season=2020-21&amp;flag=1&amp;title=Leonard%20cutting%20DUNK%20(26%20PTS)%20(R.%20Rondo%209%20AST)", "Cutting DUNK (26 PTS) (R. Rondo 9 AST)")</f>
        <v>Cutting DUNK (26 PTS) (R. Rondo 9 AST)</v>
      </c>
      <c r="K2364" s="2" t="str">
        <f>HYPERLINK("https://www.nba.com/game/...-vs-...-0022000788/play-by-play?watchFullGame=true", "LAC vs PHX - Q4 01:24.00")</f>
        <v>LAC vs PHX - Q4 01:24.00</v>
      </c>
      <c r="L2364">
        <v>1.38</v>
      </c>
      <c r="M2364">
        <v>93.12</v>
      </c>
      <c r="N2364">
        <v>51.29</v>
      </c>
      <c r="O2364">
        <v>6</v>
      </c>
      <c r="P2364">
        <v>12</v>
      </c>
    </row>
    <row r="2365" spans="1:16" x14ac:dyDescent="0.25">
      <c r="A2365">
        <v>41300316</v>
      </c>
      <c r="B2365" t="s">
        <v>26</v>
      </c>
      <c r="C2365" t="s">
        <v>32</v>
      </c>
      <c r="D2365" t="s">
        <v>49</v>
      </c>
      <c r="E2365">
        <v>2</v>
      </c>
      <c r="F2365">
        <v>6</v>
      </c>
      <c r="G2365">
        <v>1</v>
      </c>
      <c r="H2365" s="1">
        <v>7.2453703703703708E-3</v>
      </c>
      <c r="I2365" t="s">
        <v>18</v>
      </c>
      <c r="J2365" s="2" t="str">
        <f>HYPERLINK("https://www.nba.com/stats/events?CFID=&amp;CFPARAMS=&amp;GameEventID=12&amp;GameID=0041300316&amp;Season=2013-14&amp;flag=1&amp;title=Leonard%201'%20Driving%20Layup%20(4%20PTS)", "Leonard 1' Driving Layup (4 PTS)")</f>
        <v>Leonard 1' Driving Layup (4 PTS)</v>
      </c>
      <c r="K2365" s="2" t="str">
        <f>HYPERLINK("https://www.nba.com/game/...-vs-...-0041300316/play-by-play?watchFullGame=true", "SAS vs OKC - Q1 10:26.00")</f>
        <v>SAS vs OKC - Q1 10:26.00</v>
      </c>
      <c r="L2365">
        <v>1</v>
      </c>
      <c r="M2365">
        <v>6</v>
      </c>
      <c r="N2365">
        <v>12</v>
      </c>
      <c r="O2365">
        <v>6</v>
      </c>
      <c r="P2365">
        <v>12</v>
      </c>
    </row>
    <row r="2366" spans="1:16" x14ac:dyDescent="0.25">
      <c r="A2366">
        <v>21300952</v>
      </c>
      <c r="B2366">
        <v>2013</v>
      </c>
      <c r="C2366" t="s">
        <v>32</v>
      </c>
      <c r="D2366" t="s">
        <v>74</v>
      </c>
      <c r="E2366">
        <v>35</v>
      </c>
      <c r="F2366">
        <v>63</v>
      </c>
      <c r="G2366">
        <v>3</v>
      </c>
      <c r="H2366" s="1">
        <v>7.1990740740740739E-3</v>
      </c>
      <c r="I2366" t="s">
        <v>18</v>
      </c>
      <c r="J2366" s="2" t="str">
        <f>HYPERLINK("https://www.nba.com/stats/events?CFID=&amp;CFPARAMS=&amp;GameEventID=237&amp;GameID=0021300952&amp;Season=2013-14&amp;flag=1&amp;title=Leonard%201'%20Slam%20Dunk%20(12%20PTS)%20(Diaw%201%20AST)", "Leonard 1' Slam Dunk (12 PTS) (Diaw 1 AST)")</f>
        <v>Leonard 1' Slam Dunk (12 PTS) (Diaw 1 AST)</v>
      </c>
      <c r="K2366" s="2" t="str">
        <f>HYPERLINK("https://www.nba.com/game/...-vs-...-0021300952/play-by-play?watchFullGame=true", "SAS vs CHI - Q3 10:22.00")</f>
        <v>SAS vs CHI - Q3 10:22.00</v>
      </c>
      <c r="L2366">
        <v>1</v>
      </c>
      <c r="M2366">
        <v>6</v>
      </c>
      <c r="N2366">
        <v>12</v>
      </c>
      <c r="O2366">
        <v>6</v>
      </c>
      <c r="P2366">
        <v>12</v>
      </c>
    </row>
    <row r="2367" spans="1:16" x14ac:dyDescent="0.25">
      <c r="A2367">
        <v>21600744</v>
      </c>
      <c r="B2367">
        <v>2016</v>
      </c>
      <c r="C2367" t="s">
        <v>32</v>
      </c>
      <c r="D2367" t="s">
        <v>73</v>
      </c>
      <c r="E2367">
        <v>81</v>
      </c>
      <c r="F2367">
        <v>75</v>
      </c>
      <c r="G2367">
        <v>4</v>
      </c>
      <c r="H2367" s="1">
        <v>7.6273148148148151E-3</v>
      </c>
      <c r="I2367" t="s">
        <v>18</v>
      </c>
      <c r="J2367" s="2" t="str">
        <f>HYPERLINK("https://www.nba.com/stats/events?CFID=&amp;CFPARAMS=&amp;GameEventID=472&amp;GameID=0021600744&amp;Season=2016-17&amp;flag=1&amp;title=Leonard%201'%20Running%20Finger%20Roll%20Layup%20(18%20PTS)", "Leonard 1' Running Finger Roll Layup (18 PTS)")</f>
        <v>Leonard 1' Running Finger Roll Layup (18 PTS)</v>
      </c>
      <c r="K2367" s="2" t="str">
        <f>HYPERLINK("https://www.nba.com/game/...-vs-...-0021600744/play-by-play?watchFullGame=true", "SAS vs PHI - Q4 10:59.00")</f>
        <v>SAS vs PHI - Q4 10:59.00</v>
      </c>
      <c r="L2367">
        <v>1</v>
      </c>
      <c r="M2367">
        <v>6</v>
      </c>
      <c r="N2367">
        <v>13</v>
      </c>
      <c r="O2367">
        <v>6</v>
      </c>
      <c r="P2367">
        <v>13</v>
      </c>
    </row>
    <row r="2368" spans="1:16" x14ac:dyDescent="0.25">
      <c r="A2368">
        <v>41800212</v>
      </c>
      <c r="B2368" t="s">
        <v>20</v>
      </c>
      <c r="C2368" t="s">
        <v>32</v>
      </c>
      <c r="D2368" t="s">
        <v>59</v>
      </c>
      <c r="E2368">
        <v>72</v>
      </c>
      <c r="F2368">
        <v>83</v>
      </c>
      <c r="G2368">
        <v>4</v>
      </c>
      <c r="H2368" s="1">
        <v>3.6921296296296298E-3</v>
      </c>
      <c r="I2368" t="s">
        <v>21</v>
      </c>
      <c r="J2368" s="2" t="str">
        <f>HYPERLINK("https://www.nba.com/stats/events?CFID=&amp;CFPARAMS=&amp;GameEventID=581&amp;GameID=0041800212&amp;Season=2018-19&amp;flag=1&amp;title=Leonard%201'%20Putback%20Layup%20(31%20PTS)", "Leonard 1' Putback Layup (31 PTS)")</f>
        <v>Leonard 1' Putback Layup (31 PTS)</v>
      </c>
      <c r="K2368" s="2" t="str">
        <f>HYPERLINK("https://www.nba.com/game/...-vs-...-0041800212/play-by-play?watchFullGame=true", "TOR vs PHI - Q4 05:19.00")</f>
        <v>TOR vs PHI - Q4 05:19.00</v>
      </c>
      <c r="L2368">
        <v>1</v>
      </c>
      <c r="M2368">
        <v>6</v>
      </c>
      <c r="N2368">
        <v>13</v>
      </c>
      <c r="O2368">
        <v>6</v>
      </c>
      <c r="P2368">
        <v>13</v>
      </c>
    </row>
    <row r="2369" spans="1:16" x14ac:dyDescent="0.25">
      <c r="A2369">
        <v>21900051</v>
      </c>
      <c r="B2369">
        <v>2019</v>
      </c>
      <c r="C2369" t="s">
        <v>32</v>
      </c>
      <c r="D2369" t="s">
        <v>50</v>
      </c>
      <c r="E2369">
        <v>40</v>
      </c>
      <c r="F2369">
        <v>40</v>
      </c>
      <c r="G2369">
        <v>2</v>
      </c>
      <c r="H2369" s="1">
        <v>5.162037037037037E-3</v>
      </c>
      <c r="I2369" t="s">
        <v>23</v>
      </c>
      <c r="J2369" s="2" t="str">
        <f>HYPERLINK("https://www.nba.com/stats/events?CFID=&amp;CFPARAMS=&amp;GameEventID=217&amp;GameID=0021900051&amp;Season=2019-20&amp;flag=1&amp;title=[LAC]%20Leonard%20layup:%20Made%20(12%20PTS)%20assist:%20Williams%20(2%20AST)", "[LAC] Leonard layup: Made (12 PTS) assist: Williams (2 AST)")</f>
        <v>[LAC] Leonard layup: Made (12 PTS) assist: Williams (2 AST)</v>
      </c>
      <c r="K2369" s="2" t="str">
        <f>HYPERLINK("https://www.nba.com/game/...-vs-...-0021900051/play-by-play?watchFullGame=true", "LAC vs CHA - Q2 07:26.00")</f>
        <v>LAC vs CHA - Q2 07:26.00</v>
      </c>
      <c r="L2369">
        <v>2.0099999999999998</v>
      </c>
      <c r="M2369">
        <v>92.95</v>
      </c>
      <c r="N2369">
        <v>51.16</v>
      </c>
      <c r="O2369">
        <v>6</v>
      </c>
      <c r="P2369">
        <v>14</v>
      </c>
    </row>
    <row r="2370" spans="1:16" x14ac:dyDescent="0.25">
      <c r="A2370">
        <v>21400139</v>
      </c>
      <c r="B2370">
        <v>2014</v>
      </c>
      <c r="C2370" t="s">
        <v>32</v>
      </c>
      <c r="D2370" t="s">
        <v>49</v>
      </c>
      <c r="E2370">
        <v>78</v>
      </c>
      <c r="F2370">
        <v>72</v>
      </c>
      <c r="G2370">
        <v>4</v>
      </c>
      <c r="H2370" s="1">
        <v>5.4050925925925924E-3</v>
      </c>
      <c r="I2370" t="s">
        <v>18</v>
      </c>
      <c r="J2370" s="2" t="str">
        <f>HYPERLINK("https://www.nba.com/stats/events?CFID=&amp;CFPARAMS=&amp;GameEventID=410&amp;GameID=0021400139&amp;Season=2014-15&amp;flag=1&amp;title=Leonard%202'%20Driving%20Layup%20(13%20PTS)%20(Ginobili%205%20AST)", "Leonard 2' Driving Layup (13 PTS) (Ginobili 5 AST)")</f>
        <v>Leonard 2' Driving Layup (13 PTS) (Ginobili 5 AST)</v>
      </c>
      <c r="K2370" s="2" t="str">
        <f>HYPERLINK("https://www.nba.com/game/...-vs-...-0021400139/play-by-play?watchFullGame=true", "SAS vs SAC - Q4 07:47.00")</f>
        <v>SAS vs SAC - Q4 07:47.00</v>
      </c>
      <c r="L2370">
        <v>2</v>
      </c>
      <c r="M2370">
        <v>6</v>
      </c>
      <c r="N2370">
        <v>14</v>
      </c>
      <c r="O2370">
        <v>6</v>
      </c>
      <c r="P2370">
        <v>14</v>
      </c>
    </row>
    <row r="2371" spans="1:16" x14ac:dyDescent="0.25">
      <c r="A2371">
        <v>21300275</v>
      </c>
      <c r="B2371">
        <v>2013</v>
      </c>
      <c r="C2371" t="s">
        <v>32</v>
      </c>
      <c r="D2371" t="s">
        <v>49</v>
      </c>
      <c r="E2371">
        <v>35</v>
      </c>
      <c r="F2371">
        <v>25</v>
      </c>
      <c r="G2371">
        <v>2</v>
      </c>
      <c r="H2371" s="1">
        <v>6.0185185185185185E-3</v>
      </c>
      <c r="I2371" t="s">
        <v>18</v>
      </c>
      <c r="J2371" s="2" t="str">
        <f>HYPERLINK("https://www.nba.com/stats/events?CFID=&amp;CFPARAMS=&amp;GameEventID=166&amp;GameID=0021300275&amp;Season=2013-14&amp;flag=1&amp;title=Leonard%202'%20Driving%20Layup%20(6%20PTS)", "Leonard 2' Driving Layup (6 PTS)")</f>
        <v>Leonard 2' Driving Layup (6 PTS)</v>
      </c>
      <c r="K2371" s="2" t="str">
        <f>HYPERLINK("https://www.nba.com/game/...-vs-...-0021300275/play-by-play?watchFullGame=true", "SAS vs MIN - Q2 08:40.00")</f>
        <v>SAS vs MIN - Q2 08:40.00</v>
      </c>
      <c r="L2371">
        <v>2</v>
      </c>
      <c r="M2371">
        <v>6</v>
      </c>
      <c r="N2371">
        <v>14</v>
      </c>
      <c r="O2371">
        <v>6</v>
      </c>
      <c r="P2371">
        <v>14</v>
      </c>
    </row>
    <row r="2372" spans="1:16" x14ac:dyDescent="0.25">
      <c r="A2372">
        <v>41300225</v>
      </c>
      <c r="B2372" t="s">
        <v>26</v>
      </c>
      <c r="C2372" t="s">
        <v>32</v>
      </c>
      <c r="D2372" t="s">
        <v>62</v>
      </c>
      <c r="E2372">
        <v>59</v>
      </c>
      <c r="F2372">
        <v>44</v>
      </c>
      <c r="G2372">
        <v>3</v>
      </c>
      <c r="H2372" s="1">
        <v>7.3263888888888892E-3</v>
      </c>
      <c r="I2372" t="s">
        <v>18</v>
      </c>
      <c r="J2372" s="2" t="str">
        <f>HYPERLINK("https://www.nba.com/stats/events?CFID=&amp;CFPARAMS=&amp;GameEventID=254&amp;GameID=0041300225&amp;Season=2013-14&amp;flag=1&amp;title=Leonard%202'%20Dunk%20(15%20PTS)", "Leonard 2' Dunk (15 PTS)")</f>
        <v>Leonard 2' Dunk (15 PTS)</v>
      </c>
      <c r="K2372" s="2" t="str">
        <f>HYPERLINK("https://www.nba.com/game/...-vs-...-0041300225/play-by-play?watchFullGame=true", "SAS vs POR - Q3 10:33.00")</f>
        <v>SAS vs POR - Q3 10:33.00</v>
      </c>
      <c r="L2372">
        <v>2</v>
      </c>
      <c r="M2372">
        <v>6</v>
      </c>
      <c r="N2372">
        <v>15</v>
      </c>
      <c r="O2372">
        <v>6</v>
      </c>
      <c r="P2372">
        <v>15</v>
      </c>
    </row>
    <row r="2373" spans="1:16" x14ac:dyDescent="0.25">
      <c r="A2373">
        <v>22301079</v>
      </c>
      <c r="B2373">
        <v>2023</v>
      </c>
      <c r="C2373" t="s">
        <v>32</v>
      </c>
      <c r="D2373" t="s">
        <v>48</v>
      </c>
      <c r="E2373">
        <v>19</v>
      </c>
      <c r="F2373">
        <v>27</v>
      </c>
      <c r="G2373">
        <v>1</v>
      </c>
      <c r="H2373" s="1">
        <v>9.3749999999999997E-4</v>
      </c>
      <c r="I2373" t="s">
        <v>23</v>
      </c>
      <c r="J2373" s="2" t="str">
        <f>HYPERLINK("https://www.nba.com/stats/events?CFID=&amp;CFPARAMS=&amp;GameEventID=111&amp;GameID=0022301079&amp;Season=2023-24&amp;flag=1&amp;title=Leonard%20driving%20DUNK%20(8%20PTS)", "Driving DUNK (8 PTS)")</f>
        <v>Driving DUNK (8 PTS)</v>
      </c>
      <c r="K2373" s="2" t="str">
        <f>HYPERLINK("https://www.nba.com/game/...-vs-...-0022301079/play-by-play?watchFullGame=true", "LAC vs CHA - Q1 01:21.00")</f>
        <v>LAC vs CHA - Q1 01:21.00</v>
      </c>
      <c r="L2373">
        <v>1.59</v>
      </c>
      <c r="M2373">
        <v>92.85</v>
      </c>
      <c r="N2373">
        <v>51.23</v>
      </c>
      <c r="O2373">
        <v>6</v>
      </c>
      <c r="P2373">
        <v>15</v>
      </c>
    </row>
    <row r="2374" spans="1:16" x14ac:dyDescent="0.25">
      <c r="A2374">
        <v>41200231</v>
      </c>
      <c r="B2374" t="s">
        <v>27</v>
      </c>
      <c r="C2374" t="s">
        <v>32</v>
      </c>
      <c r="D2374" t="s">
        <v>62</v>
      </c>
      <c r="E2374">
        <v>57</v>
      </c>
      <c r="F2374">
        <v>58</v>
      </c>
      <c r="G2374">
        <v>3</v>
      </c>
      <c r="H2374" s="1">
        <v>6.7708333333333336E-3</v>
      </c>
      <c r="I2374" t="s">
        <v>18</v>
      </c>
      <c r="J2374" s="2" t="str">
        <f>HYPERLINK("https://www.nba.com/stats/events?CFID=&amp;CFPARAMS=&amp;GameEventID=290&amp;GameID=0041200231&amp;Season=2012-13&amp;flag=1&amp;title=Leonard%202'%20Dunk%20(5%20PTS)", "Leonard 2' Dunk (5 PTS)")</f>
        <v>Leonard 2' Dunk (5 PTS)</v>
      </c>
      <c r="K2374" s="2" t="str">
        <f>HYPERLINK("https://www.nba.com/game/...-vs-...-0041200231/play-by-play?watchFullGame=true", "SAS vs GSW - Q3 09:45.00")</f>
        <v>SAS vs GSW - Q3 09:45.00</v>
      </c>
      <c r="L2374">
        <v>2</v>
      </c>
      <c r="M2374">
        <v>6</v>
      </c>
      <c r="N2374">
        <v>15</v>
      </c>
      <c r="O2374">
        <v>6</v>
      </c>
      <c r="P2374">
        <v>15</v>
      </c>
    </row>
    <row r="2375" spans="1:16" x14ac:dyDescent="0.25">
      <c r="A2375">
        <v>21401071</v>
      </c>
      <c r="B2375">
        <v>2014</v>
      </c>
      <c r="C2375" t="s">
        <v>32</v>
      </c>
      <c r="D2375" t="s">
        <v>77</v>
      </c>
      <c r="E2375">
        <v>51</v>
      </c>
      <c r="F2375">
        <v>37</v>
      </c>
      <c r="G2375">
        <v>2</v>
      </c>
      <c r="H2375" s="1">
        <v>4.1087962962962962E-3</v>
      </c>
      <c r="I2375" t="s">
        <v>18</v>
      </c>
      <c r="J2375" s="2" t="str">
        <f>HYPERLINK("https://www.nba.com/stats/events?CFID=&amp;CFPARAMS=&amp;GameEventID=185&amp;GameID=0021401071&amp;Season=2014-15&amp;flag=1&amp;title=Leonard%202'%20Finger%20Roll%20Layup%20(6%20PTS)", "Leonard 2' Finger Roll Layup (6 PTS)")</f>
        <v>Leonard 2' Finger Roll Layup (6 PTS)</v>
      </c>
      <c r="K2375" s="2" t="str">
        <f>HYPERLINK("https://www.nba.com/game/...-vs-...-0021401071/play-by-play?watchFullGame=true", "SAS vs OKC - Q2 05:55.00")</f>
        <v>SAS vs OKC - Q2 05:55.00</v>
      </c>
      <c r="L2375">
        <v>2</v>
      </c>
      <c r="M2375">
        <v>6</v>
      </c>
      <c r="N2375">
        <v>19</v>
      </c>
      <c r="O2375">
        <v>6</v>
      </c>
      <c r="P2375">
        <v>19</v>
      </c>
    </row>
    <row r="2376" spans="1:16" x14ac:dyDescent="0.25">
      <c r="A2376">
        <v>21401071</v>
      </c>
      <c r="B2376">
        <v>2014</v>
      </c>
      <c r="C2376" t="s">
        <v>32</v>
      </c>
      <c r="D2376" t="s">
        <v>57</v>
      </c>
      <c r="E2376">
        <v>57</v>
      </c>
      <c r="F2376">
        <v>41</v>
      </c>
      <c r="G2376">
        <v>2</v>
      </c>
      <c r="H2376" s="1">
        <v>2.476851851851852E-3</v>
      </c>
      <c r="I2376" t="s">
        <v>18</v>
      </c>
      <c r="J2376" s="2" t="str">
        <f>HYPERLINK("https://www.nba.com/stats/events?CFID=&amp;CFPARAMS=&amp;GameEventID=206&amp;GameID=0021401071&amp;Season=2014-15&amp;flag=1&amp;title=Leonard%202'%20Layup%20(8%20PTS)%20(Duncan%201%20AST)", "Leonard 2' Layup (8 PTS) (Duncan 1 AST)")</f>
        <v>Leonard 2' Layup (8 PTS) (Duncan 1 AST)</v>
      </c>
      <c r="K2376" s="2" t="str">
        <f>HYPERLINK("https://www.nba.com/game/...-vs-...-0021401071/play-by-play?watchFullGame=true", "SAS vs OKC - Q2 03:34.00")</f>
        <v>SAS vs OKC - Q2 03:34.00</v>
      </c>
      <c r="L2376">
        <v>2</v>
      </c>
      <c r="M2376">
        <v>6</v>
      </c>
      <c r="N2376">
        <v>20</v>
      </c>
      <c r="O2376">
        <v>6</v>
      </c>
      <c r="P2376">
        <v>20</v>
      </c>
    </row>
    <row r="2377" spans="1:16" x14ac:dyDescent="0.25">
      <c r="A2377">
        <v>21600003</v>
      </c>
      <c r="B2377">
        <v>2016</v>
      </c>
      <c r="C2377" t="s">
        <v>32</v>
      </c>
      <c r="D2377" t="s">
        <v>49</v>
      </c>
      <c r="E2377">
        <v>4</v>
      </c>
      <c r="F2377">
        <v>10</v>
      </c>
      <c r="G2377">
        <v>1</v>
      </c>
      <c r="H2377" s="1">
        <v>5.7754629629629631E-3</v>
      </c>
      <c r="I2377" t="s">
        <v>18</v>
      </c>
      <c r="J2377" s="2" t="str">
        <f>HYPERLINK("https://www.nba.com/stats/events?CFID=&amp;CFPARAMS=&amp;GameEventID=27&amp;GameID=0021600003&amp;Season=2016-17&amp;flag=1&amp;title=Leonard%202'%20Driving%20Layup%20(2%20PTS)%20(Parker%202%20AST)", "Leonard 2' Driving Layup (2 PTS) (Parker 2 AST)")</f>
        <v>Leonard 2' Driving Layup (2 PTS) (Parker 2 AST)</v>
      </c>
      <c r="K2377" s="2" t="str">
        <f>HYPERLINK("https://www.nba.com/game/...-vs-...-0021600003/play-by-play?watchFullGame=true", "SAS vs GSW - Q1 08:19.00")</f>
        <v>SAS vs GSW - Q1 08:19.00</v>
      </c>
      <c r="L2377">
        <v>2</v>
      </c>
      <c r="M2377">
        <v>6</v>
      </c>
      <c r="N2377">
        <v>21</v>
      </c>
      <c r="O2377">
        <v>6</v>
      </c>
      <c r="P2377">
        <v>21</v>
      </c>
    </row>
    <row r="2378" spans="1:16" x14ac:dyDescent="0.25">
      <c r="A2378">
        <v>22300257</v>
      </c>
      <c r="B2378">
        <v>2023</v>
      </c>
      <c r="C2378" t="s">
        <v>32</v>
      </c>
      <c r="D2378" t="s">
        <v>47</v>
      </c>
      <c r="E2378">
        <v>58</v>
      </c>
      <c r="F2378">
        <v>58</v>
      </c>
      <c r="G2378">
        <v>3</v>
      </c>
      <c r="H2378" s="1">
        <v>7.7777777777777776E-3</v>
      </c>
      <c r="I2378" t="s">
        <v>23</v>
      </c>
      <c r="J2378" s="2" t="str">
        <f>HYPERLINK("https://www.nba.com/stats/events?CFID=&amp;CFPARAMS=&amp;GameEventID=365&amp;GameID=0022300257&amp;Season=2023-24&amp;flag=1&amp;title=Leonard%20driving%20Layup%20(19%20PTS)", "Driving Layup (19 PTS)")</f>
        <v>Driving Layup (19 PTS)</v>
      </c>
      <c r="K2378" s="2" t="str">
        <f>HYPERLINK("https://www.nba.com/game/...-vs-...-0022300257/play-by-play?watchFullGame=true", "LAC vs DEN - Q3 11:12.00")</f>
        <v>LAC vs DEN - Q3 11:12.00</v>
      </c>
      <c r="L2378">
        <v>2.52</v>
      </c>
      <c r="M2378">
        <v>8.1999999999999993</v>
      </c>
      <c r="N2378">
        <v>48.77</v>
      </c>
      <c r="O2378">
        <v>6</v>
      </c>
      <c r="P2378">
        <v>25</v>
      </c>
    </row>
    <row r="2379" spans="1:16" x14ac:dyDescent="0.25">
      <c r="A2379">
        <v>41800405</v>
      </c>
      <c r="B2379" t="s">
        <v>20</v>
      </c>
      <c r="C2379" t="s">
        <v>32</v>
      </c>
      <c r="D2379" t="s">
        <v>59</v>
      </c>
      <c r="E2379">
        <v>91</v>
      </c>
      <c r="F2379">
        <v>92</v>
      </c>
      <c r="G2379">
        <v>4</v>
      </c>
      <c r="H2379" s="1">
        <v>4.7916666666666663E-3</v>
      </c>
      <c r="I2379" t="s">
        <v>21</v>
      </c>
      <c r="J2379" s="2" t="str">
        <f>HYPERLINK("https://www.nba.com/stats/events?CFID=&amp;CFPARAMS=&amp;GameEventID=567&amp;GameID=0041800405&amp;Season=2018-19&amp;flag=1&amp;title=Leonard%203'%20Putback%20Layup%20(16%20PTS)", "Leonard 3' Putback Layup (16 PTS)")</f>
        <v>Leonard 3' Putback Layup (16 PTS)</v>
      </c>
      <c r="K2379" s="2" t="str">
        <f>HYPERLINK("https://www.nba.com/game/...-vs-...-0041800405/play-by-play?watchFullGame=true", "TOR vs GSW - Q4 06:54.00")</f>
        <v>TOR vs GSW - Q4 06:54.00</v>
      </c>
      <c r="L2379">
        <v>3</v>
      </c>
      <c r="M2379">
        <v>6</v>
      </c>
      <c r="N2379">
        <v>26</v>
      </c>
      <c r="O2379">
        <v>6</v>
      </c>
      <c r="P2379">
        <v>26</v>
      </c>
    </row>
    <row r="2380" spans="1:16" x14ac:dyDescent="0.25">
      <c r="A2380">
        <v>21401071</v>
      </c>
      <c r="B2380">
        <v>2014</v>
      </c>
      <c r="C2380" t="s">
        <v>32</v>
      </c>
      <c r="D2380" t="s">
        <v>57</v>
      </c>
      <c r="E2380">
        <v>16</v>
      </c>
      <c r="F2380">
        <v>12</v>
      </c>
      <c r="G2380">
        <v>1</v>
      </c>
      <c r="H2380" s="1">
        <v>4.3981481481481484E-3</v>
      </c>
      <c r="I2380" t="s">
        <v>18</v>
      </c>
      <c r="J2380" s="2" t="str">
        <f>HYPERLINK("https://www.nba.com/stats/events?CFID=&amp;CFPARAMS=&amp;GameEventID=46&amp;GameID=0021401071&amp;Season=2014-15&amp;flag=1&amp;title=Leonard%203'%20Layup%20(4%20PTS)", "Leonard 3' Layup (4 PTS)")</f>
        <v>Leonard 3' Layup (4 PTS)</v>
      </c>
      <c r="K2380" s="2" t="str">
        <f>HYPERLINK("https://www.nba.com/game/...-vs-...-0021401071/play-by-play?watchFullGame=true", "SAS vs OKC - Q1 06:20.00")</f>
        <v>SAS vs OKC - Q1 06:20.00</v>
      </c>
      <c r="L2380">
        <v>3</v>
      </c>
      <c r="M2380">
        <v>6</v>
      </c>
      <c r="N2380">
        <v>26</v>
      </c>
      <c r="O2380">
        <v>6</v>
      </c>
      <c r="P2380">
        <v>26</v>
      </c>
    </row>
    <row r="2381" spans="1:16" x14ac:dyDescent="0.25">
      <c r="A2381">
        <v>21500860</v>
      </c>
      <c r="B2381">
        <v>2015</v>
      </c>
      <c r="C2381" t="s">
        <v>32</v>
      </c>
      <c r="D2381" t="s">
        <v>37</v>
      </c>
      <c r="E2381">
        <v>14</v>
      </c>
      <c r="F2381">
        <v>12</v>
      </c>
      <c r="G2381">
        <v>1</v>
      </c>
      <c r="H2381" s="1">
        <v>3.9236111111111112E-3</v>
      </c>
      <c r="I2381" t="s">
        <v>18</v>
      </c>
      <c r="J2381" s="2" t="str">
        <f>HYPERLINK("https://www.nba.com/stats/events?CFID=&amp;CFPARAMS=&amp;GameEventID=53&amp;GameID=0021500860&amp;Season=2015-16&amp;flag=1&amp;title=Leonard%203'%20Floating%20Jump%20Shot%20(6%20PTS)", "Leonard 3' Floating Jump Shot (6 PTS)")</f>
        <v>Leonard 3' Floating Jump Shot (6 PTS)</v>
      </c>
      <c r="K2381" s="2" t="str">
        <f>HYPERLINK("https://www.nba.com/game/...-vs-...-0021500860/play-by-play?watchFullGame=true", "SAS vs UTA - Q1 05:39.00")</f>
        <v>SAS vs UTA - Q1 05:39.00</v>
      </c>
      <c r="L2381">
        <v>3</v>
      </c>
      <c r="M2381">
        <v>6</v>
      </c>
      <c r="N2381">
        <v>31</v>
      </c>
      <c r="O2381">
        <v>6</v>
      </c>
      <c r="P2381">
        <v>31</v>
      </c>
    </row>
    <row r="2382" spans="1:16" x14ac:dyDescent="0.25">
      <c r="A2382">
        <v>22000350</v>
      </c>
      <c r="B2382">
        <v>2020</v>
      </c>
      <c r="C2382" t="s">
        <v>32</v>
      </c>
      <c r="D2382" t="s">
        <v>47</v>
      </c>
      <c r="E2382">
        <v>15</v>
      </c>
      <c r="F2382">
        <v>4</v>
      </c>
      <c r="G2382">
        <v>1</v>
      </c>
      <c r="H2382" s="1">
        <v>5.6481481481481478E-3</v>
      </c>
      <c r="I2382" t="s">
        <v>23</v>
      </c>
      <c r="J2382" s="2" t="str">
        <f>HYPERLINK("https://www.nba.com/stats/events?CFID=&amp;CFPARAMS=&amp;GameEventID=58&amp;GameID=0022000350&amp;Season=2020-21&amp;flag=1&amp;title=Leonard%20finger%20roll%20Layup%20(5%20PTS)", "Finger roll Layup (5 PTS)")</f>
        <v>Finger roll Layup (5 PTS)</v>
      </c>
      <c r="K2382" s="2" t="str">
        <f>HYPERLINK("https://www.nba.com/game/...-vs-...-0022000350/play-by-play?watchFullGame=true", "LAC vs BOS - Q1 08:08.00")</f>
        <v>LAC vs BOS - Q1 08:08.00</v>
      </c>
      <c r="L2382">
        <v>3.4</v>
      </c>
      <c r="M2382">
        <v>9.15</v>
      </c>
      <c r="N2382">
        <v>48.84</v>
      </c>
      <c r="O2382">
        <v>6</v>
      </c>
      <c r="P2382">
        <v>34</v>
      </c>
    </row>
    <row r="2383" spans="1:16" x14ac:dyDescent="0.25">
      <c r="A2383">
        <v>22300848</v>
      </c>
      <c r="B2383">
        <v>2023</v>
      </c>
      <c r="C2383" t="s">
        <v>32</v>
      </c>
      <c r="D2383" t="s">
        <v>19</v>
      </c>
      <c r="E2383">
        <v>110</v>
      </c>
      <c r="F2383">
        <v>114</v>
      </c>
      <c r="G2383">
        <v>4</v>
      </c>
      <c r="H2383" s="1">
        <v>8.1018518518518516E-4</v>
      </c>
      <c r="I2383" t="s">
        <v>23</v>
      </c>
      <c r="J2383" s="2" t="str">
        <f>HYPERLINK("https://www.nba.com/stats/events?CFID=&amp;CFPARAMS=&amp;GameEventID=598&amp;GameID=0022300848&amp;Season=2023-24&amp;flag=1&amp;title=Leonard%20driving%20floating%20Jump%20Shot%20(24%20PTS)%20(J.%20Harden%208%20AST)", "Driving floating Jump Shot (24 PTS) (J. Harden 8 AST)")</f>
        <v>Driving floating Jump Shot (24 PTS) (J. Harden 8 AST)</v>
      </c>
      <c r="K2383" s="2" t="str">
        <f>HYPERLINK("https://www.nba.com/game/...-vs-...-0022300848/play-by-play?watchFullGame=true", "LAC vs LAL - Q4 01:10.00")</f>
        <v>LAC vs LAL - Q4 01:10.00</v>
      </c>
      <c r="L2383">
        <v>3.49</v>
      </c>
      <c r="M2383">
        <v>9.25</v>
      </c>
      <c r="N2383">
        <v>48.77</v>
      </c>
      <c r="O2383">
        <v>6</v>
      </c>
      <c r="P2383">
        <v>34</v>
      </c>
    </row>
    <row r="2384" spans="1:16" x14ac:dyDescent="0.25">
      <c r="A2384">
        <v>22300731</v>
      </c>
      <c r="B2384">
        <v>2023</v>
      </c>
      <c r="C2384" t="s">
        <v>32</v>
      </c>
      <c r="D2384" t="s">
        <v>47</v>
      </c>
      <c r="E2384">
        <v>15</v>
      </c>
      <c r="F2384">
        <v>19</v>
      </c>
      <c r="G2384">
        <v>1</v>
      </c>
      <c r="H2384" s="1">
        <v>2.8587962962962963E-3</v>
      </c>
      <c r="I2384" t="s">
        <v>23</v>
      </c>
      <c r="J2384" s="2" t="str">
        <f>HYPERLINK("https://www.nba.com/stats/events?CFID=&amp;CFPARAMS=&amp;GameEventID=86&amp;GameID=0022300731&amp;Season=2023-24&amp;flag=1&amp;title=Leonard%20Layup%20(5%20PTS)", "Layup (5 PTS)")</f>
        <v>Layup (5 PTS)</v>
      </c>
      <c r="K2384" s="2" t="str">
        <f>HYPERLINK("https://www.nba.com/game/...-vs-...-0022300731/play-by-play?watchFullGame=true", "LAC vs NOP - Q1 04:07.00")</f>
        <v>LAC vs NOP - Q1 04:07.00</v>
      </c>
      <c r="L2384">
        <v>3.62</v>
      </c>
      <c r="M2384">
        <v>9.3800000000000008</v>
      </c>
      <c r="N2384">
        <v>48.77</v>
      </c>
      <c r="O2384">
        <v>6</v>
      </c>
      <c r="P2384">
        <v>36</v>
      </c>
    </row>
    <row r="2385" spans="1:16" x14ac:dyDescent="0.25">
      <c r="A2385">
        <v>22000172</v>
      </c>
      <c r="B2385">
        <v>2020</v>
      </c>
      <c r="C2385" t="s">
        <v>32</v>
      </c>
      <c r="D2385" t="s">
        <v>47</v>
      </c>
      <c r="E2385">
        <v>53</v>
      </c>
      <c r="F2385">
        <v>39</v>
      </c>
      <c r="G2385">
        <v>2</v>
      </c>
      <c r="H2385" s="1">
        <v>1.3310185185185185E-3</v>
      </c>
      <c r="I2385" t="s">
        <v>23</v>
      </c>
      <c r="J2385" s="2" t="str">
        <f>HYPERLINK("https://www.nba.com/stats/events?CFID=&amp;CFPARAMS=&amp;GameEventID=271&amp;GameID=0022000172&amp;Season=2020-21&amp;flag=1&amp;title=Leonard%20driving%20Layup%20(8%20PTS)%20(N.%20Batum%203%20AST)", "Driving Layup (8 PTS) (N. Batum 3 AST)")</f>
        <v>Driving Layup (8 PTS) (N. Batum 3 AST)</v>
      </c>
      <c r="K2385" s="2" t="str">
        <f>HYPERLINK("https://www.nba.com/game/...-vs-...-0022000172/play-by-play?watchFullGame=true", "LAC vs NOP - Q2 01:55.00")</f>
        <v>LAC vs NOP - Q2 01:55.00</v>
      </c>
      <c r="L2385">
        <v>4.1100000000000003</v>
      </c>
      <c r="M2385">
        <v>9.9</v>
      </c>
      <c r="N2385">
        <v>48.71</v>
      </c>
      <c r="O2385">
        <v>6</v>
      </c>
      <c r="P2385">
        <v>41</v>
      </c>
    </row>
    <row r="2386" spans="1:16" x14ac:dyDescent="0.25">
      <c r="A2386">
        <v>21500759</v>
      </c>
      <c r="B2386">
        <v>2015</v>
      </c>
      <c r="C2386" t="s">
        <v>32</v>
      </c>
      <c r="D2386" t="s">
        <v>24</v>
      </c>
      <c r="E2386">
        <v>40</v>
      </c>
      <c r="F2386">
        <v>77</v>
      </c>
      <c r="G2386">
        <v>3</v>
      </c>
      <c r="H2386" s="1">
        <v>4.1319444444444442E-3</v>
      </c>
      <c r="I2386" t="s">
        <v>18</v>
      </c>
      <c r="J2386" s="2" t="str">
        <f>HYPERLINK("https://www.nba.com/stats/events?CFID=&amp;CFPARAMS=&amp;GameEventID=303&amp;GameID=0021500759&amp;Season=2015-16&amp;flag=1&amp;title=Leonard%204'%20Turnaround%20Jump%20Shot%20(21%20PTS)", "Leonard 4' Turnaround Jump Shot (21 PTS)")</f>
        <v>Leonard 4' Turnaround Jump Shot (21 PTS)</v>
      </c>
      <c r="K2386" s="2" t="str">
        <f>HYPERLINK("https://www.nba.com/game/...-vs-...-0021500759/play-by-play?watchFullGame=true", "SAS vs DAL - Q3 05:57.00")</f>
        <v>SAS vs DAL - Q3 05:57.00</v>
      </c>
      <c r="L2386">
        <v>4</v>
      </c>
      <c r="M2386">
        <v>6</v>
      </c>
      <c r="N2386">
        <v>41</v>
      </c>
      <c r="O2386">
        <v>6</v>
      </c>
      <c r="P2386">
        <v>41</v>
      </c>
    </row>
    <row r="2387" spans="1:16" x14ac:dyDescent="0.25">
      <c r="A2387">
        <v>42000224</v>
      </c>
      <c r="B2387" t="s">
        <v>85</v>
      </c>
      <c r="C2387" t="s">
        <v>32</v>
      </c>
      <c r="D2387" t="s">
        <v>47</v>
      </c>
      <c r="E2387">
        <v>20</v>
      </c>
      <c r="F2387">
        <v>6</v>
      </c>
      <c r="G2387">
        <v>1</v>
      </c>
      <c r="H2387" s="1">
        <v>3.8194444444444443E-3</v>
      </c>
      <c r="I2387" t="s">
        <v>23</v>
      </c>
      <c r="J2387" s="2" t="str">
        <f>HYPERLINK("https://www.nba.com/stats/events?CFID=&amp;CFPARAMS=&amp;GameEventID=75&amp;GameID=0042000224&amp;Season=2020-21&amp;flag=1&amp;title=Leonard%20driving%20Layup%20(7%20PTS)", "Driving Layup (7 PTS)")</f>
        <v>Driving Layup (7 PTS)</v>
      </c>
      <c r="K2387" s="2" t="str">
        <f>HYPERLINK("https://www.nba.com/game/...-vs-...-0042000224/play-by-play?watchFullGame=true", "LAC vs UTA - Q1 05:30.00")</f>
        <v>LAC vs UTA - Q1 05:30.00</v>
      </c>
      <c r="L2387">
        <v>1.52</v>
      </c>
      <c r="M2387">
        <v>6.49</v>
      </c>
      <c r="N2387">
        <v>47.48</v>
      </c>
      <c r="O2387">
        <v>6</v>
      </c>
      <c r="P2387">
        <v>47</v>
      </c>
    </row>
    <row r="2388" spans="1:16" x14ac:dyDescent="0.25">
      <c r="A2388">
        <v>42300173</v>
      </c>
      <c r="B2388" t="s">
        <v>84</v>
      </c>
      <c r="C2388" t="s">
        <v>32</v>
      </c>
      <c r="D2388" t="s">
        <v>48</v>
      </c>
      <c r="E2388">
        <v>63</v>
      </c>
      <c r="F2388">
        <v>47</v>
      </c>
      <c r="G2388">
        <v>3</v>
      </c>
      <c r="H2388" s="1">
        <v>5.3587962962962964E-3</v>
      </c>
      <c r="I2388" t="s">
        <v>23</v>
      </c>
      <c r="J2388" s="2" t="str">
        <f>HYPERLINK("https://www.nba.com/stats/events?CFID=&amp;CFPARAMS=&amp;GameEventID=381&amp;GameID=0042300173&amp;Season=2023-24&amp;flag=1&amp;title=Leonard%20driving%20DUNK%20(5%20PTS)%20(I.%20Zubac%201%20AST)", "Driving DUNK (5 PTS) (I. Zubac 1 AST)")</f>
        <v>Driving DUNK (5 PTS) (I. Zubac 1 AST)</v>
      </c>
      <c r="K2388" s="2" t="str">
        <f>HYPERLINK("https://www.nba.com/game/...-vs-...-0042300173/play-by-play?watchFullGame=true", "LAC vs DAL - Q3 07:43.00")</f>
        <v>LAC vs DAL - Q3 07:43.00</v>
      </c>
      <c r="L2388">
        <v>1.58</v>
      </c>
      <c r="M2388">
        <v>6.78</v>
      </c>
      <c r="N2388">
        <v>47.79</v>
      </c>
      <c r="O2388">
        <v>6</v>
      </c>
      <c r="P2388">
        <v>47</v>
      </c>
    </row>
    <row r="2389" spans="1:16" x14ac:dyDescent="0.25">
      <c r="A2389">
        <v>42000177</v>
      </c>
      <c r="B2389" t="s">
        <v>83</v>
      </c>
      <c r="C2389" t="s">
        <v>32</v>
      </c>
      <c r="D2389" t="s">
        <v>47</v>
      </c>
      <c r="E2389">
        <v>104</v>
      </c>
      <c r="F2389">
        <v>87</v>
      </c>
      <c r="G2389">
        <v>4</v>
      </c>
      <c r="H2389" s="1">
        <v>7.5115740740740742E-3</v>
      </c>
      <c r="I2389" t="s">
        <v>23</v>
      </c>
      <c r="J2389" s="2" t="str">
        <f>HYPERLINK("https://www.nba.com/stats/events?CFID=&amp;CFPARAMS=&amp;GameEventID=490&amp;GameID=0042000177&amp;Season=2020-21&amp;flag=1&amp;title=Leonard%20driving%20Layup%20(24%20PTS)", "Driving Layup (24 PTS)")</f>
        <v>Driving Layup (24 PTS)</v>
      </c>
      <c r="K2389" s="2" t="str">
        <f>HYPERLINK("https://www.nba.com/game/...-vs-...-0042000177/play-by-play?watchFullGame=true", "LAC vs DAL - Q4 10:49.00")</f>
        <v>LAC vs DAL - Q4 10:49.00</v>
      </c>
      <c r="L2389">
        <v>1.69</v>
      </c>
      <c r="M2389">
        <v>6.52</v>
      </c>
      <c r="N2389">
        <v>47.13</v>
      </c>
      <c r="O2389">
        <v>6</v>
      </c>
      <c r="P2389">
        <v>47</v>
      </c>
    </row>
    <row r="2390" spans="1:16" x14ac:dyDescent="0.25">
      <c r="A2390">
        <v>42000222</v>
      </c>
      <c r="B2390" t="s">
        <v>85</v>
      </c>
      <c r="C2390" t="s">
        <v>32</v>
      </c>
      <c r="D2390" t="s">
        <v>47</v>
      </c>
      <c r="E2390">
        <v>45</v>
      </c>
      <c r="F2390">
        <v>42</v>
      </c>
      <c r="G2390">
        <v>2</v>
      </c>
      <c r="H2390" s="1">
        <v>4.5370370370370373E-3</v>
      </c>
      <c r="I2390" t="s">
        <v>23</v>
      </c>
      <c r="J2390" s="2" t="str">
        <f>HYPERLINK("https://www.nba.com/stats/events?CFID=&amp;CFPARAMS=&amp;GameEventID=222&amp;GameID=0042000222&amp;Season=2020-21&amp;flag=1&amp;title=Leonard%20driving%20finger%20roll%20Layup%20(9%20PTS)", "Driving finger roll Layup (9 PTS)")</f>
        <v>Driving finger roll Layup (9 PTS)</v>
      </c>
      <c r="K2390" s="2" t="str">
        <f>HYPERLINK("https://www.nba.com/game/...-vs-...-0042000222/play-by-play?watchFullGame=true", "LAC vs UTA - Q2 06:32.00")</f>
        <v>LAC vs UTA - Q2 06:32.00</v>
      </c>
      <c r="L2390">
        <v>1.25</v>
      </c>
      <c r="M2390">
        <v>6.92</v>
      </c>
      <c r="N2390">
        <v>49.82</v>
      </c>
      <c r="O2390">
        <v>6</v>
      </c>
      <c r="P2390">
        <v>49</v>
      </c>
    </row>
    <row r="2391" spans="1:16" x14ac:dyDescent="0.25">
      <c r="A2391">
        <v>42300172</v>
      </c>
      <c r="B2391" t="s">
        <v>84</v>
      </c>
      <c r="C2391" t="s">
        <v>32</v>
      </c>
      <c r="D2391" t="s">
        <v>48</v>
      </c>
      <c r="E2391">
        <v>43</v>
      </c>
      <c r="F2391">
        <v>45</v>
      </c>
      <c r="G2391">
        <v>3</v>
      </c>
      <c r="H2391" s="1">
        <v>8.0787037037037043E-3</v>
      </c>
      <c r="I2391" t="s">
        <v>23</v>
      </c>
      <c r="J2391" s="2" t="str">
        <f>HYPERLINK("https://www.nba.com/stats/events?CFID=&amp;CFPARAMS=&amp;GameEventID=352&amp;GameID=0042300172&amp;Season=2023-24&amp;flag=1&amp;title=Leonard%20running%20DUNK%20(6%20PTS)", "Running DUNK (6 PTS)")</f>
        <v>Running DUNK (6 PTS)</v>
      </c>
      <c r="K2391" s="2" t="str">
        <f>HYPERLINK("https://www.nba.com/game/...-vs-...-0042300172/play-by-play?watchFullGame=true", "LAC vs DAL - Q3 11:38.00")</f>
        <v>LAC vs DAL - Q3 11:38.00</v>
      </c>
      <c r="L2391">
        <v>1.23</v>
      </c>
      <c r="M2391">
        <v>6.88</v>
      </c>
      <c r="N2391">
        <v>49.75</v>
      </c>
      <c r="O2391">
        <v>6</v>
      </c>
      <c r="P2391">
        <v>49</v>
      </c>
    </row>
    <row r="2392" spans="1:16" x14ac:dyDescent="0.25">
      <c r="A2392">
        <v>21401028</v>
      </c>
      <c r="B2392">
        <v>2014</v>
      </c>
      <c r="C2392" t="s">
        <v>32</v>
      </c>
      <c r="D2392" t="s">
        <v>17</v>
      </c>
      <c r="E2392">
        <v>71</v>
      </c>
      <c r="F2392">
        <v>56</v>
      </c>
      <c r="G2392">
        <v>3</v>
      </c>
      <c r="H2392" s="1">
        <v>4.2476851851851851E-3</v>
      </c>
      <c r="I2392" t="s">
        <v>18</v>
      </c>
      <c r="J2392" s="2" t="str">
        <f>HYPERLINK("https://www.nba.com/stats/events?CFID=&amp;CFPARAMS=&amp;GameEventID=308&amp;GameID=0021401028&amp;Season=2014-15&amp;flag=1&amp;title=Leonard%205'%20Running%20Jump%20Shot%20(13%20PTS)%20(Parker%205%20AST)", "Leonard 5' Running Jump Shot (13 PTS) (Parker 5 AST)")</f>
        <v>Leonard 5' Running Jump Shot (13 PTS) (Parker 5 AST)</v>
      </c>
      <c r="K2392" s="2" t="str">
        <f>HYPERLINK("https://www.nba.com/game/...-vs-...-0021401028/play-by-play?watchFullGame=true", "SAS vs BOS - Q3 06:07.00")</f>
        <v>SAS vs BOS - Q3 06:07.00</v>
      </c>
      <c r="L2392">
        <v>5</v>
      </c>
      <c r="M2392">
        <v>6</v>
      </c>
      <c r="N2392">
        <v>50</v>
      </c>
      <c r="O2392">
        <v>6</v>
      </c>
      <c r="P2392">
        <v>50</v>
      </c>
    </row>
    <row r="2393" spans="1:16" x14ac:dyDescent="0.25">
      <c r="A2393">
        <v>42000171</v>
      </c>
      <c r="B2393" t="s">
        <v>83</v>
      </c>
      <c r="C2393" t="s">
        <v>32</v>
      </c>
      <c r="D2393" t="s">
        <v>48</v>
      </c>
      <c r="E2393">
        <v>73</v>
      </c>
      <c r="F2393">
        <v>75</v>
      </c>
      <c r="G2393">
        <v>3</v>
      </c>
      <c r="H2393" s="1">
        <v>2.7662037037037039E-3</v>
      </c>
      <c r="I2393" t="s">
        <v>23</v>
      </c>
      <c r="J2393" s="2" t="str">
        <f>HYPERLINK("https://www.nba.com/stats/events?CFID=&amp;CFPARAMS=&amp;GameEventID=396&amp;GameID=0042000171&amp;Season=2020-21&amp;flag=1&amp;title=Leonard%20running%20DUNK%20(21%20PTS)", "Running DUNK (21 PTS)")</f>
        <v>Running DUNK (21 PTS)</v>
      </c>
      <c r="K2393" s="2" t="str">
        <f>HYPERLINK("https://www.nba.com/game/...-vs-...-0042000171/play-by-play?watchFullGame=true", "LAC vs DAL - Q3 03:59.00")</f>
        <v>LAC vs DAL - Q3 03:59.00</v>
      </c>
      <c r="L2393">
        <v>0.53</v>
      </c>
      <c r="M2393">
        <v>6.13</v>
      </c>
      <c r="N2393">
        <v>50.31</v>
      </c>
      <c r="O2393">
        <v>6</v>
      </c>
      <c r="P2393">
        <v>50</v>
      </c>
    </row>
    <row r="2394" spans="1:16" x14ac:dyDescent="0.25">
      <c r="A2394">
        <v>42000173</v>
      </c>
      <c r="B2394" t="s">
        <v>83</v>
      </c>
      <c r="C2394" t="s">
        <v>32</v>
      </c>
      <c r="D2394" t="s">
        <v>48</v>
      </c>
      <c r="E2394">
        <v>77</v>
      </c>
      <c r="F2394">
        <v>82</v>
      </c>
      <c r="G2394">
        <v>3</v>
      </c>
      <c r="H2394" s="1">
        <v>4.0856481481481481E-3</v>
      </c>
      <c r="I2394" t="s">
        <v>23</v>
      </c>
      <c r="J2394" s="2" t="str">
        <f>HYPERLINK("https://www.nba.com/stats/events?CFID=&amp;CFPARAMS=&amp;GameEventID=353&amp;GameID=0042000173&amp;Season=2020-21&amp;flag=1&amp;title=Leonard%20cutting%20DUNK%20(24%20PTS)%20(R.%20Jackson%202%20AST)", "Cutting DUNK (24 PTS) (R. Jackson 2 AST)")</f>
        <v>Cutting DUNK (24 PTS) (R. Jackson 2 AST)</v>
      </c>
      <c r="K2394" s="2" t="str">
        <f>HYPERLINK("https://www.nba.com/game/...-vs-...-0042000173/play-by-play?watchFullGame=true", "LAC vs DAL - Q3 05:53.00")</f>
        <v>LAC vs DAL - Q3 05:53.00</v>
      </c>
      <c r="L2394">
        <v>0.82</v>
      </c>
      <c r="M2394">
        <v>6.26</v>
      </c>
      <c r="N2394">
        <v>51.05</v>
      </c>
      <c r="O2394">
        <v>6</v>
      </c>
      <c r="P2394">
        <v>51</v>
      </c>
    </row>
    <row r="2395" spans="1:16" x14ac:dyDescent="0.25">
      <c r="A2395">
        <v>42000171</v>
      </c>
      <c r="B2395" t="s">
        <v>83</v>
      </c>
      <c r="C2395" t="s">
        <v>32</v>
      </c>
      <c r="D2395" t="s">
        <v>48</v>
      </c>
      <c r="E2395">
        <v>67</v>
      </c>
      <c r="F2395">
        <v>71</v>
      </c>
      <c r="G2395">
        <v>3</v>
      </c>
      <c r="H2395" s="1">
        <v>4.1087962962962962E-3</v>
      </c>
      <c r="I2395" t="s">
        <v>23</v>
      </c>
      <c r="J2395" s="2" t="str">
        <f>HYPERLINK("https://www.nba.com/stats/events?CFID=&amp;CFPARAMS=&amp;GameEventID=376&amp;GameID=0042000171&amp;Season=2020-21&amp;flag=1&amp;title=Leonard%20driving%20DUNK%20(19%20PTS)", "Driving DUNK (19 PTS)")</f>
        <v>Driving DUNK (19 PTS)</v>
      </c>
      <c r="K2395" s="2" t="str">
        <f>HYPERLINK("https://www.nba.com/game/...-vs-...-0042000171/play-by-play?watchFullGame=true", "LAC vs DAL - Q3 05:55.00")</f>
        <v>LAC vs DAL - Q3 05:55.00</v>
      </c>
      <c r="L2395">
        <v>1.26</v>
      </c>
      <c r="M2395">
        <v>6.65</v>
      </c>
      <c r="N2395">
        <v>51.54</v>
      </c>
      <c r="O2395">
        <v>6</v>
      </c>
      <c r="P2395">
        <v>51</v>
      </c>
    </row>
    <row r="2396" spans="1:16" x14ac:dyDescent="0.25">
      <c r="A2396">
        <v>42000177</v>
      </c>
      <c r="B2396" t="s">
        <v>83</v>
      </c>
      <c r="C2396" t="s">
        <v>32</v>
      </c>
      <c r="D2396" t="s">
        <v>48</v>
      </c>
      <c r="E2396">
        <v>83</v>
      </c>
      <c r="F2396">
        <v>81</v>
      </c>
      <c r="G2396">
        <v>3</v>
      </c>
      <c r="H2396" s="1">
        <v>3.9699074074074072E-3</v>
      </c>
      <c r="I2396" t="s">
        <v>23</v>
      </c>
      <c r="J2396" s="2" t="str">
        <f>HYPERLINK("https://www.nba.com/stats/events?CFID=&amp;CFPARAMS=&amp;GameEventID=402&amp;GameID=0042000177&amp;Season=2020-21&amp;flag=1&amp;title=Leonard%20driving%20DUNK%20(17%20PTS)%20(P.%20George%209%20AST)", "Driving DUNK (17 PTS) (P. George 9 AST)")</f>
        <v>Driving DUNK (17 PTS) (P. George 9 AST)</v>
      </c>
      <c r="K2396" s="2" t="str">
        <f>HYPERLINK("https://www.nba.com/game/...-vs-...-0042000177/play-by-play?watchFullGame=true", "LAC vs DAL - Q3 05:43.00")</f>
        <v>LAC vs DAL - Q3 05:43.00</v>
      </c>
      <c r="L2396">
        <v>1.41</v>
      </c>
      <c r="M2396">
        <v>6.92</v>
      </c>
      <c r="N2396">
        <v>51.29</v>
      </c>
      <c r="O2396">
        <v>6</v>
      </c>
      <c r="P2396">
        <v>51</v>
      </c>
    </row>
    <row r="2397" spans="1:16" x14ac:dyDescent="0.25">
      <c r="A2397">
        <v>21300057</v>
      </c>
      <c r="B2397">
        <v>2013</v>
      </c>
      <c r="C2397" t="s">
        <v>32</v>
      </c>
      <c r="D2397" t="s">
        <v>40</v>
      </c>
      <c r="E2397">
        <v>82</v>
      </c>
      <c r="F2397">
        <v>86</v>
      </c>
      <c r="G2397">
        <v>4</v>
      </c>
      <c r="H2397" s="1">
        <v>5.5671296296296293E-3</v>
      </c>
      <c r="I2397" t="s">
        <v>18</v>
      </c>
      <c r="J2397" s="2" t="str">
        <f>HYPERLINK("https://www.nba.com/stats/events?CFID=&amp;CFPARAMS=&amp;GameEventID=452&amp;GameID=0021300057&amp;Season=2013-14&amp;flag=1&amp;title=Leonard%205'%20Hook%20Shot%20(12%20PTS)", "Leonard 5' Hook Shot (12 PTS)")</f>
        <v>Leonard 5' Hook Shot (12 PTS)</v>
      </c>
      <c r="K2397" s="2" t="str">
        <f>HYPERLINK("https://www.nba.com/game/...-vs-...-0021300057/play-by-play?watchFullGame=true", "SAS vs DEN - Q4 08:01.00")</f>
        <v>SAS vs DEN - Q4 08:01.00</v>
      </c>
      <c r="L2397">
        <v>5</v>
      </c>
      <c r="M2397">
        <v>6</v>
      </c>
      <c r="N2397">
        <v>53</v>
      </c>
      <c r="O2397">
        <v>6</v>
      </c>
      <c r="P2397">
        <v>53</v>
      </c>
    </row>
    <row r="2398" spans="1:16" x14ac:dyDescent="0.25">
      <c r="A2398">
        <v>41500234</v>
      </c>
      <c r="B2398" t="s">
        <v>25</v>
      </c>
      <c r="C2398" t="s">
        <v>32</v>
      </c>
      <c r="D2398" t="s">
        <v>29</v>
      </c>
      <c r="E2398">
        <v>62</v>
      </c>
      <c r="F2398">
        <v>67</v>
      </c>
      <c r="G2398">
        <v>3</v>
      </c>
      <c r="H2398" s="1">
        <v>3.5069444444444445E-3</v>
      </c>
      <c r="I2398" t="s">
        <v>18</v>
      </c>
      <c r="J2398" s="2" t="str">
        <f>HYPERLINK("https://www.nba.com/stats/events?CFID=&amp;CFPARAMS=&amp;GameEventID=335&amp;GameID=0041500234&amp;Season=2015-16&amp;flag=1&amp;title=Leonard%206'%20Pullup%20Jump%20Shot%20(19%20PTS)", "Leonard 6' Pullup Jump Shot (19 PTS)")</f>
        <v>Leonard 6' Pullup Jump Shot (19 PTS)</v>
      </c>
      <c r="K2398" s="2" t="str">
        <f>HYPERLINK("https://www.nba.com/game/...-vs-...-0041500234/play-by-play?watchFullGame=true", "SAS vs OKC - Q3 05:03.00")</f>
        <v>SAS vs OKC - Q3 05:03.00</v>
      </c>
      <c r="L2398">
        <v>6</v>
      </c>
      <c r="M2398">
        <v>6</v>
      </c>
      <c r="N2398">
        <v>61</v>
      </c>
      <c r="O2398">
        <v>6</v>
      </c>
      <c r="P2398">
        <v>61</v>
      </c>
    </row>
    <row r="2399" spans="1:16" x14ac:dyDescent="0.25">
      <c r="A2399">
        <v>22301225</v>
      </c>
      <c r="B2399">
        <v>2023</v>
      </c>
      <c r="C2399" t="s">
        <v>32</v>
      </c>
      <c r="D2399" t="s">
        <v>19</v>
      </c>
      <c r="E2399">
        <v>61</v>
      </c>
      <c r="F2399">
        <v>77</v>
      </c>
      <c r="G2399">
        <v>3</v>
      </c>
      <c r="H2399" s="1">
        <v>3.3912037037037036E-3</v>
      </c>
      <c r="I2399" t="s">
        <v>23</v>
      </c>
      <c r="J2399" s="2" t="str">
        <f>HYPERLINK("https://www.nba.com/stats/events?CFID=&amp;CFPARAMS=&amp;GameEventID=425&amp;GameID=0022301225&amp;Season=2023-24&amp;flag=1&amp;title=Leonard%206'%20driving%20floating%20Jump%20Shot%20(26%20PTS)", "6' driving floating Jump Shot (26 PTS)")</f>
        <v>6' driving floating Jump Shot (26 PTS)</v>
      </c>
      <c r="K2399" s="2" t="str">
        <f>HYPERLINK("https://www.nba.com/game/...-vs-...-0022301225/play-by-play?watchFullGame=true", "LAC vs UTA - Q3 04:53.00")</f>
        <v>LAC vs UTA - Q3 04:53.00</v>
      </c>
      <c r="L2399">
        <v>6.72</v>
      </c>
      <c r="M2399">
        <v>12.7</v>
      </c>
      <c r="N2399">
        <v>48.77</v>
      </c>
      <c r="O2399">
        <v>6</v>
      </c>
      <c r="P2399">
        <v>67</v>
      </c>
    </row>
    <row r="2400" spans="1:16" x14ac:dyDescent="0.25">
      <c r="A2400">
        <v>41300221</v>
      </c>
      <c r="B2400" t="s">
        <v>26</v>
      </c>
      <c r="C2400" t="s">
        <v>32</v>
      </c>
      <c r="D2400" t="s">
        <v>17</v>
      </c>
      <c r="E2400">
        <v>58</v>
      </c>
      <c r="F2400">
        <v>32</v>
      </c>
      <c r="G2400">
        <v>2</v>
      </c>
      <c r="H2400" s="1">
        <v>2.2106481481481482E-3</v>
      </c>
      <c r="I2400" t="s">
        <v>18</v>
      </c>
      <c r="J2400" s="2" t="str">
        <f>HYPERLINK("https://www.nba.com/stats/events?CFID=&amp;CFPARAMS=&amp;GameEventID=222&amp;GameID=0041300221&amp;Season=2013-14&amp;flag=1&amp;title=Leonard%208'%20Running%20Jump%20Shot%20(11%20PTS)", "Leonard 8' Running Jump Shot (11 PTS)")</f>
        <v>Leonard 8' Running Jump Shot (11 PTS)</v>
      </c>
      <c r="K2400" s="2" t="str">
        <f>HYPERLINK("https://www.nba.com/game/...-vs-...-0041300221/play-by-play?watchFullGame=true", "SAS vs POR - Q2 03:11.00")</f>
        <v>SAS vs POR - Q2 03:11.00</v>
      </c>
      <c r="L2400">
        <v>8</v>
      </c>
      <c r="M2400">
        <v>6</v>
      </c>
      <c r="N2400">
        <v>75</v>
      </c>
      <c r="O2400">
        <v>6</v>
      </c>
      <c r="P2400">
        <v>75</v>
      </c>
    </row>
    <row r="2401" spans="1:16" x14ac:dyDescent="0.25">
      <c r="A2401">
        <v>42000222</v>
      </c>
      <c r="B2401" t="s">
        <v>85</v>
      </c>
      <c r="C2401" t="s">
        <v>32</v>
      </c>
      <c r="D2401" t="s">
        <v>19</v>
      </c>
      <c r="E2401">
        <v>2</v>
      </c>
      <c r="F2401">
        <v>2</v>
      </c>
      <c r="G2401">
        <v>1</v>
      </c>
      <c r="H2401" s="1">
        <v>8.0092592592592594E-3</v>
      </c>
      <c r="I2401" t="s">
        <v>23</v>
      </c>
      <c r="J2401" s="2" t="str">
        <f>HYPERLINK("https://www.nba.com/stats/events?CFID=&amp;CFPARAMS=&amp;GameEventID=8&amp;GameID=0042000222&amp;Season=2020-21&amp;flag=1&amp;title=Leonard%2012'%20fadeaway%20Jump%20Shot%20(2%20PTS)%20(P.%20George%201%20AST)", "12' fadeaway Jump Shot (2 PTS) (P. George 1 AST)")</f>
        <v>12' fadeaway Jump Shot (2 PTS) (P. George 1 AST)</v>
      </c>
      <c r="K2401" s="2" t="str">
        <f>HYPERLINK("https://www.nba.com/game/...-vs-...-0042000222/play-by-play?watchFullGame=true", "LAC vs UTA - Q1 11:32.00")</f>
        <v>LAC vs UTA - Q1 11:32.00</v>
      </c>
      <c r="L2401">
        <v>12.55</v>
      </c>
      <c r="M2401">
        <v>6.26</v>
      </c>
      <c r="N2401">
        <v>75.069999999999993</v>
      </c>
      <c r="O2401">
        <v>6</v>
      </c>
      <c r="P2401">
        <v>75</v>
      </c>
    </row>
    <row r="2402" spans="1:16" x14ac:dyDescent="0.25">
      <c r="A2402">
        <v>21600782</v>
      </c>
      <c r="B2402">
        <v>2016</v>
      </c>
      <c r="C2402" t="s">
        <v>32</v>
      </c>
      <c r="D2402" t="s">
        <v>24</v>
      </c>
      <c r="E2402">
        <v>64</v>
      </c>
      <c r="F2402">
        <v>74</v>
      </c>
      <c r="G2402">
        <v>3</v>
      </c>
      <c r="H2402" s="1">
        <v>3.1481481481481482E-3</v>
      </c>
      <c r="I2402" t="s">
        <v>18</v>
      </c>
      <c r="J2402" s="2" t="str">
        <f>HYPERLINK("https://www.nba.com/stats/events?CFID=&amp;CFPARAMS=&amp;GameEventID=313&amp;GameID=0021600782&amp;Season=2016-17&amp;flag=1&amp;title=Leonard%208'%20Turnaround%20Jump%20Shot%20(24%20PTS)", "Leonard 8' Turnaround Jump Shot (24 PTS)")</f>
        <v>Leonard 8' Turnaround Jump Shot (24 PTS)</v>
      </c>
      <c r="K2402" s="2" t="str">
        <f>HYPERLINK("https://www.nba.com/game/...-vs-...-0021600782/play-by-play?watchFullGame=true", "SAS vs PHI - Q3 04:32.00")</f>
        <v>SAS vs PHI - Q3 04:32.00</v>
      </c>
      <c r="L2402">
        <v>8</v>
      </c>
      <c r="M2402">
        <v>6</v>
      </c>
      <c r="N2402">
        <v>80</v>
      </c>
      <c r="O2402">
        <v>6</v>
      </c>
      <c r="P2402">
        <v>80</v>
      </c>
    </row>
    <row r="2403" spans="1:16" x14ac:dyDescent="0.25">
      <c r="A2403">
        <v>42000173</v>
      </c>
      <c r="B2403" t="s">
        <v>83</v>
      </c>
      <c r="C2403" t="s">
        <v>32</v>
      </c>
      <c r="D2403" t="s">
        <v>19</v>
      </c>
      <c r="E2403">
        <v>61</v>
      </c>
      <c r="F2403">
        <v>65</v>
      </c>
      <c r="G2403">
        <v>3</v>
      </c>
      <c r="H2403" s="1">
        <v>8.1365740740740738E-3</v>
      </c>
      <c r="I2403" t="s">
        <v>23</v>
      </c>
      <c r="J2403" s="2" t="str">
        <f>HYPERLINK("https://www.nba.com/stats/events?CFID=&amp;CFPARAMS=&amp;GameEventID=298&amp;GameID=0042000173&amp;Season=2020-21&amp;flag=1&amp;title=Leonard%2015'%20Jump%20Shot%20(20%20PTS)%20(N.%20Batum%202%20AST)", "15' Jump Shot (20 PTS) (N. Batum 2 AST)")</f>
        <v>15' Jump Shot (20 PTS) (N. Batum 2 AST)</v>
      </c>
      <c r="K2403" s="2" t="str">
        <f>HYPERLINK("https://www.nba.com/game/...-vs-...-0042000173/play-by-play?watchFullGame=true", "LAC vs DAL - Q3 11:43.00")</f>
        <v>LAC vs DAL - Q3 11:43.00</v>
      </c>
      <c r="L2403">
        <v>15.62</v>
      </c>
      <c r="M2403">
        <v>6.39</v>
      </c>
      <c r="N2403">
        <v>81.2</v>
      </c>
      <c r="O2403">
        <v>6</v>
      </c>
      <c r="P2403">
        <v>81</v>
      </c>
    </row>
    <row r="2404" spans="1:16" x14ac:dyDescent="0.25">
      <c r="A2404">
        <v>22000501</v>
      </c>
      <c r="B2404">
        <v>2020</v>
      </c>
      <c r="C2404" t="s">
        <v>32</v>
      </c>
      <c r="D2404" t="s">
        <v>19</v>
      </c>
      <c r="E2404">
        <v>13</v>
      </c>
      <c r="F2404">
        <v>17</v>
      </c>
      <c r="G2404">
        <v>1</v>
      </c>
      <c r="H2404" s="1">
        <v>2.8009259259259259E-3</v>
      </c>
      <c r="I2404" t="s">
        <v>23</v>
      </c>
      <c r="J2404" s="2" t="str">
        <f>HYPERLINK("https://www.nba.com/stats/events?CFID=&amp;CFPARAMS=&amp;GameEventID=95&amp;GameID=0022000501&amp;Season=2020-21&amp;flag=1&amp;title=Leonard%208'%20fadeaway%20Jump%20Shot%20(6%20PTS)", "8' fadeaway Jump Shot (6 PTS)")</f>
        <v>8' fadeaway Jump Shot (6 PTS)</v>
      </c>
      <c r="K2404" s="2" t="str">
        <f>HYPERLINK("https://www.nba.com/game/...-vs-...-0022000501/play-by-play?watchFullGame=true", "LAC vs MEM - Q1 04:02.00")</f>
        <v>LAC vs MEM - Q1 04:02.00</v>
      </c>
      <c r="L2404">
        <v>8.41</v>
      </c>
      <c r="M2404">
        <v>85.5</v>
      </c>
      <c r="N2404">
        <v>51.29</v>
      </c>
      <c r="O2404">
        <v>6</v>
      </c>
      <c r="P2404">
        <v>84</v>
      </c>
    </row>
    <row r="2405" spans="1:16" x14ac:dyDescent="0.25">
      <c r="A2405">
        <v>21900239</v>
      </c>
      <c r="B2405">
        <v>2019</v>
      </c>
      <c r="C2405" t="s">
        <v>32</v>
      </c>
      <c r="D2405" t="s">
        <v>22</v>
      </c>
      <c r="E2405">
        <v>55</v>
      </c>
      <c r="F2405">
        <v>35</v>
      </c>
      <c r="G2405">
        <v>2</v>
      </c>
      <c r="H2405" s="1">
        <v>5.3587962962962964E-3</v>
      </c>
      <c r="I2405" t="s">
        <v>23</v>
      </c>
      <c r="J2405" s="2" t="str">
        <f>HYPERLINK("https://www.nba.com/stats/events?CFID=&amp;CFPARAMS=&amp;GameEventID=233&amp;GameID=0021900239&amp;Season=2019-20&amp;flag=1&amp;title=Leonard%209'%20jumpshot%20(14%20PTS)", "9' jumpshot (14 PTS)")</f>
        <v>9' jumpshot (14 PTS)</v>
      </c>
      <c r="K2405" s="2" t="str">
        <f>HYPERLINK("https://www.nba.com/game/...-vs-...-0021900239/play-by-play?watchFullGame=true", "LAC vs NOP - Q2 07:43.00")</f>
        <v>LAC vs NOP - Q2 07:43.00</v>
      </c>
      <c r="L2405">
        <v>9.48</v>
      </c>
      <c r="M2405">
        <v>84.94</v>
      </c>
      <c r="N2405">
        <v>51.16</v>
      </c>
      <c r="O2405">
        <v>6</v>
      </c>
      <c r="P2405">
        <v>89</v>
      </c>
    </row>
    <row r="2406" spans="1:16" x14ac:dyDescent="0.25">
      <c r="A2406">
        <v>21900626</v>
      </c>
      <c r="B2406">
        <v>2019</v>
      </c>
      <c r="C2406" t="s">
        <v>32</v>
      </c>
      <c r="D2406" t="s">
        <v>22</v>
      </c>
      <c r="E2406">
        <v>96</v>
      </c>
      <c r="F2406">
        <v>90</v>
      </c>
      <c r="G2406">
        <v>3</v>
      </c>
      <c r="H2406" s="1">
        <v>3.425925925925926E-3</v>
      </c>
      <c r="I2406" t="s">
        <v>23</v>
      </c>
      <c r="J2406" s="2" t="str">
        <f>HYPERLINK("https://www.nba.com/stats/events?CFID=&amp;CFPARAMS=&amp;GameEventID=477&amp;GameID=0021900626&amp;Season=2019-20&amp;flag=1&amp;title=Leonard%2010'%20jumpshot%20(33%20PTS)", "10' jumpshot (33 PTS)")</f>
        <v>10' jumpshot (33 PTS)</v>
      </c>
      <c r="K2406" s="2" t="str">
        <f>HYPERLINK("https://www.nba.com/game/...-vs-...-0021900626/play-by-play?watchFullGame=true", "LAC vs NOP - Q3 04:56.00")</f>
        <v>LAC vs NOP - Q3 04:56.00</v>
      </c>
      <c r="L2406">
        <v>10.07</v>
      </c>
      <c r="M2406">
        <v>84.31</v>
      </c>
      <c r="N2406">
        <v>51.29</v>
      </c>
      <c r="O2406">
        <v>6</v>
      </c>
      <c r="P2406">
        <v>95</v>
      </c>
    </row>
    <row r="2407" spans="1:16" x14ac:dyDescent="0.25">
      <c r="A2407">
        <v>22201229</v>
      </c>
      <c r="B2407">
        <v>2022</v>
      </c>
      <c r="C2407" t="s">
        <v>32</v>
      </c>
      <c r="D2407" t="s">
        <v>19</v>
      </c>
      <c r="E2407">
        <v>53</v>
      </c>
      <c r="F2407">
        <v>55</v>
      </c>
      <c r="G2407">
        <v>3</v>
      </c>
      <c r="H2407" s="1">
        <v>7.3611111111111108E-3</v>
      </c>
      <c r="I2407" t="s">
        <v>23</v>
      </c>
      <c r="J2407" s="2" t="str">
        <f>HYPERLINK("https://www.nba.com/stats/events?CFID=&amp;CFPARAMS=&amp;GameEventID=357&amp;GameID=0022201229&amp;Season=2022-23&amp;flag=1&amp;title=Leonard%2012'%20Jump%20Shot%20(8%20PTS)", "12' Jump Shot (8 PTS)")</f>
        <v>12' Jump Shot (8 PTS)</v>
      </c>
      <c r="K2407" s="2" t="str">
        <f>HYPERLINK("https://www.nba.com/game/...-vs-...-0022201229/play-by-play?watchFullGame=true", "LAC vs PHX - Q3 10:36.00")</f>
        <v>LAC vs PHX - Q3 10:36.00</v>
      </c>
      <c r="L2407">
        <v>12.14</v>
      </c>
      <c r="M2407">
        <v>18.48</v>
      </c>
      <c r="N2407">
        <v>48.77</v>
      </c>
      <c r="O2407">
        <v>6</v>
      </c>
      <c r="P2407">
        <v>121</v>
      </c>
    </row>
    <row r="2408" spans="1:16" x14ac:dyDescent="0.25">
      <c r="A2408">
        <v>41300403</v>
      </c>
      <c r="B2408" t="s">
        <v>26</v>
      </c>
      <c r="C2408" t="s">
        <v>32</v>
      </c>
      <c r="D2408" t="s">
        <v>19</v>
      </c>
      <c r="E2408">
        <v>56</v>
      </c>
      <c r="F2408">
        <v>73</v>
      </c>
      <c r="G2408">
        <v>3</v>
      </c>
      <c r="H2408" s="1">
        <v>7.1412037037037034E-3</v>
      </c>
      <c r="I2408" t="s">
        <v>18</v>
      </c>
      <c r="J2408" s="2" t="str">
        <f>HYPERLINK("https://www.nba.com/stats/events?CFID=&amp;CFPARAMS=&amp;GameEventID=255&amp;GameID=0041300403&amp;Season=2013-14&amp;flag=1&amp;title=Leonard%2013'%20Jump%20Shot%20(20%20PTS)", "Leonard 13' Jump Shot (20 PTS)")</f>
        <v>Leonard 13' Jump Shot (20 PTS)</v>
      </c>
      <c r="K2408" s="2" t="str">
        <f>HYPERLINK("https://www.nba.com/game/...-vs-...-0041300403/play-by-play?watchFullGame=true", "SAS vs MIA - Q3 10:17.00")</f>
        <v>SAS vs MIA - Q3 10:17.00</v>
      </c>
      <c r="L2408">
        <v>13</v>
      </c>
      <c r="M2408">
        <v>6</v>
      </c>
      <c r="N2408">
        <v>127</v>
      </c>
      <c r="O2408">
        <v>6</v>
      </c>
      <c r="P2408">
        <v>127</v>
      </c>
    </row>
    <row r="2409" spans="1:16" x14ac:dyDescent="0.25">
      <c r="A2409">
        <v>22000130</v>
      </c>
      <c r="B2409">
        <v>2020</v>
      </c>
      <c r="C2409" t="s">
        <v>32</v>
      </c>
      <c r="D2409" t="s">
        <v>19</v>
      </c>
      <c r="E2409">
        <v>100</v>
      </c>
      <c r="F2409">
        <v>99</v>
      </c>
      <c r="G2409">
        <v>4</v>
      </c>
      <c r="H2409" s="1">
        <v>3.3680555555555556E-3</v>
      </c>
      <c r="I2409" t="s">
        <v>23</v>
      </c>
      <c r="J2409" s="2" t="str">
        <f>HYPERLINK("https://www.nba.com/stats/events?CFID=&amp;CFPARAMS=&amp;GameEventID=584&amp;GameID=0022000130&amp;Season=2020-21&amp;flag=1&amp;title=Leonard%2012'%20fadeaway%20Jump%20Shot%20(24%20PTS)", "12' fadeaway Jump Shot (24 PTS)")</f>
        <v>12' fadeaway Jump Shot (24 PTS)</v>
      </c>
      <c r="K2409" s="2" t="str">
        <f>HYPERLINK("https://www.nba.com/game/...-vs-...-0022000130/play-by-play?watchFullGame=true", "LAC vs GSW - Q4 04:51.00")</f>
        <v>LAC vs GSW - Q4 04:51.00</v>
      </c>
      <c r="L2409">
        <v>12.73</v>
      </c>
      <c r="M2409">
        <v>80.900000000000006</v>
      </c>
      <c r="N2409">
        <v>51.29</v>
      </c>
      <c r="O2409">
        <v>6</v>
      </c>
      <c r="P2409">
        <v>127</v>
      </c>
    </row>
    <row r="2410" spans="1:16" x14ac:dyDescent="0.25">
      <c r="A2410">
        <v>21401010</v>
      </c>
      <c r="B2410">
        <v>2014</v>
      </c>
      <c r="C2410" t="s">
        <v>32</v>
      </c>
      <c r="D2410" t="s">
        <v>19</v>
      </c>
      <c r="E2410">
        <v>57</v>
      </c>
      <c r="F2410">
        <v>70</v>
      </c>
      <c r="G2410">
        <v>3</v>
      </c>
      <c r="H2410" s="1">
        <v>7.3032407407407404E-3</v>
      </c>
      <c r="I2410" t="s">
        <v>18</v>
      </c>
      <c r="J2410" s="2" t="str">
        <f>HYPERLINK("https://www.nba.com/stats/events?CFID=&amp;CFPARAMS=&amp;GameEventID=281&amp;GameID=0021401010&amp;Season=2014-15&amp;flag=1&amp;title=Leonard%2013'%20Jump%20Shot%20(10%20PTS)", "Leonard 13' Jump Shot (10 PTS)")</f>
        <v>Leonard 13' Jump Shot (10 PTS)</v>
      </c>
      <c r="K2410" s="2" t="str">
        <f>HYPERLINK("https://www.nba.com/game/...-vs-...-0021401010/play-by-play?watchFullGame=true", "SAS vs MIL - Q3 10:31.00")</f>
        <v>SAS vs MIL - Q3 10:31.00</v>
      </c>
      <c r="L2410">
        <v>13</v>
      </c>
      <c r="M2410">
        <v>6</v>
      </c>
      <c r="N2410">
        <v>132</v>
      </c>
      <c r="O2410">
        <v>6</v>
      </c>
      <c r="P2410">
        <v>132</v>
      </c>
    </row>
    <row r="2411" spans="1:16" x14ac:dyDescent="0.25">
      <c r="A2411">
        <v>21600206</v>
      </c>
      <c r="B2411">
        <v>2016</v>
      </c>
      <c r="C2411" t="s">
        <v>32</v>
      </c>
      <c r="D2411" t="s">
        <v>29</v>
      </c>
      <c r="E2411">
        <v>6</v>
      </c>
      <c r="F2411">
        <v>9</v>
      </c>
      <c r="G2411">
        <v>1</v>
      </c>
      <c r="H2411" s="1">
        <v>4.8495370370370368E-3</v>
      </c>
      <c r="I2411" t="s">
        <v>18</v>
      </c>
      <c r="J2411" s="2" t="str">
        <f>HYPERLINK("https://www.nba.com/stats/events?CFID=&amp;CFPARAMS=&amp;GameEventID=29&amp;GameID=0021600206&amp;Season=2016-17&amp;flag=1&amp;title=Leonard%2017'%20Pullup%20Jump%20Shot%20(2%20PTS)", "Leonard 17' Pullup Jump Shot (2 PTS)")</f>
        <v>Leonard 17' Pullup Jump Shot (2 PTS)</v>
      </c>
      <c r="K2411" s="2" t="str">
        <f>HYPERLINK("https://www.nba.com/game/...-vs-...-0021600206/play-by-play?watchFullGame=true", "SAS vs DAL - Q1 06:59.00")</f>
        <v>SAS vs DAL - Q1 06:59.00</v>
      </c>
      <c r="L2411">
        <v>17</v>
      </c>
      <c r="M2411">
        <v>6</v>
      </c>
      <c r="N2411">
        <v>165</v>
      </c>
      <c r="O2411">
        <v>6</v>
      </c>
      <c r="P2411">
        <v>165</v>
      </c>
    </row>
    <row r="2412" spans="1:16" x14ac:dyDescent="0.25">
      <c r="A2412">
        <v>21400314</v>
      </c>
      <c r="B2412">
        <v>2014</v>
      </c>
      <c r="C2412" t="s">
        <v>32</v>
      </c>
      <c r="D2412" t="s">
        <v>19</v>
      </c>
      <c r="E2412">
        <v>67</v>
      </c>
      <c r="F2412">
        <v>64</v>
      </c>
      <c r="G2412">
        <v>3</v>
      </c>
      <c r="H2412" s="1">
        <v>2.3958333333333331E-3</v>
      </c>
      <c r="I2412" t="s">
        <v>18</v>
      </c>
      <c r="J2412" s="2" t="str">
        <f>HYPERLINK("https://www.nba.com/stats/events?CFID=&amp;CFPARAMS=&amp;GameEventID=309&amp;GameID=0021400314&amp;Season=2014-15&amp;flag=1&amp;title=Leonard%2017'%20Jump%20Shot%20(11%20PTS)%20(Bonner%201%20AST)", "Leonard 17' Jump Shot (11 PTS) (Bonner 1 AST)")</f>
        <v>Leonard 17' Jump Shot (11 PTS) (Bonner 1 AST)</v>
      </c>
      <c r="K2412" s="2" t="str">
        <f>HYPERLINK("https://www.nba.com/game/...-vs-...-0021400314/play-by-play?watchFullGame=true", "SAS vs UTA - Q3 03:27.00")</f>
        <v>SAS vs UTA - Q3 03:27.00</v>
      </c>
      <c r="L2412">
        <v>17</v>
      </c>
      <c r="M2412">
        <v>6</v>
      </c>
      <c r="N2412">
        <v>168</v>
      </c>
      <c r="O2412">
        <v>6</v>
      </c>
      <c r="P2412">
        <v>168</v>
      </c>
    </row>
    <row r="2413" spans="1:16" x14ac:dyDescent="0.25">
      <c r="A2413">
        <v>22200639</v>
      </c>
      <c r="B2413">
        <v>2022</v>
      </c>
      <c r="C2413" t="s">
        <v>32</v>
      </c>
      <c r="D2413" t="s">
        <v>19</v>
      </c>
      <c r="E2413">
        <v>50</v>
      </c>
      <c r="F2413">
        <v>45</v>
      </c>
      <c r="G2413">
        <v>2</v>
      </c>
      <c r="H2413" s="1">
        <v>3.8425925925925928E-3</v>
      </c>
      <c r="I2413" t="s">
        <v>23</v>
      </c>
      <c r="J2413" s="2" t="str">
        <f>HYPERLINK("https://www.nba.com/stats/events?CFID=&amp;CFPARAMS=&amp;GameEventID=220&amp;GameID=0022200639&amp;Season=2022-23&amp;flag=1&amp;title=Leonard%2017'%20pullup%20Jump%20Shot%20(12%20PTS)%20(I.%20Zubac%201%20AST)", "17' pullup Jump Shot (12 PTS) (I. Zubac 1 AST)")</f>
        <v>17' pullup Jump Shot (12 PTS) (I. Zubac 1 AST)</v>
      </c>
      <c r="K2413" s="2" t="str">
        <f>HYPERLINK("https://www.nba.com/game/...-vs-...-0022200639/play-by-play?watchFullGame=true", "LAC vs DEN - Q2 05:32.00")</f>
        <v>LAC vs DEN - Q2 05:32.00</v>
      </c>
      <c r="L2413">
        <v>17.690000000000001</v>
      </c>
      <c r="M2413">
        <v>75.61</v>
      </c>
      <c r="N2413">
        <v>51.23</v>
      </c>
      <c r="O2413">
        <v>6</v>
      </c>
      <c r="P2413">
        <v>177</v>
      </c>
    </row>
    <row r="2414" spans="1:16" x14ac:dyDescent="0.25">
      <c r="A2414">
        <v>21400064</v>
      </c>
      <c r="B2414">
        <v>2014</v>
      </c>
      <c r="C2414" t="s">
        <v>32</v>
      </c>
      <c r="D2414" t="s">
        <v>19</v>
      </c>
      <c r="E2414">
        <v>51</v>
      </c>
      <c r="F2414">
        <v>43</v>
      </c>
      <c r="G2414">
        <v>3</v>
      </c>
      <c r="H2414" s="1">
        <v>7.1527777777777779E-3</v>
      </c>
      <c r="I2414" t="s">
        <v>18</v>
      </c>
      <c r="J2414" s="2" t="str">
        <f>HYPERLINK("https://www.nba.com/stats/events?CFID=&amp;CFPARAMS=&amp;GameEventID=262&amp;GameID=0021400064&amp;Season=2014-15&amp;flag=1&amp;title=Leonard%2018'%20Jump%20Shot%20(7%20PTS)%20(Parker%204%20AST)", "Leonard 18' Jump Shot (7 PTS) (Parker 4 AST)")</f>
        <v>Leonard 18' Jump Shot (7 PTS) (Parker 4 AST)</v>
      </c>
      <c r="K2414" s="2" t="str">
        <f>HYPERLINK("https://www.nba.com/game/...-vs-...-0021400064/play-by-play?watchFullGame=true", "SAS vs ATL - Q3 10:18.00")</f>
        <v>SAS vs ATL - Q3 10:18.00</v>
      </c>
      <c r="L2414">
        <v>18</v>
      </c>
      <c r="M2414">
        <v>6</v>
      </c>
      <c r="N2414">
        <v>184</v>
      </c>
      <c r="O2414">
        <v>6</v>
      </c>
      <c r="P2414">
        <v>184</v>
      </c>
    </row>
    <row r="2415" spans="1:16" x14ac:dyDescent="0.25">
      <c r="A2415">
        <v>21300993</v>
      </c>
      <c r="B2415">
        <v>2013</v>
      </c>
      <c r="C2415" t="s">
        <v>16</v>
      </c>
      <c r="D2415" t="s">
        <v>19</v>
      </c>
      <c r="E2415">
        <v>43</v>
      </c>
      <c r="F2415">
        <v>38</v>
      </c>
      <c r="G2415">
        <v>2</v>
      </c>
      <c r="H2415" s="1">
        <v>3.9583333333333337E-3</v>
      </c>
      <c r="I2415" t="s">
        <v>18</v>
      </c>
      <c r="J2415" s="2" t="str">
        <f>HYPERLINK("https://www.nba.com/stats/events?CFID=&amp;CFPARAMS=&amp;GameEventID=155&amp;GameID=0021300993&amp;Season=2013-14&amp;flag=1&amp;title=Leonard%2025'%203PT%20Jump%20Shot%20(6%20PTS)%20(Belinelli%201%20AST)", "Leonard 25' 3PT Jump Shot (6 PTS) (Belinelli 1 AST)")</f>
        <v>Leonard 25' 3PT Jump Shot (6 PTS) (Belinelli 1 AST)</v>
      </c>
      <c r="K2415" s="2" t="str">
        <f>HYPERLINK("https://www.nba.com/game/...-vs-...-0021300993/play-by-play?watchFullGame=true", "SAS vs UTA - Q2 05:42.00")</f>
        <v>SAS vs UTA - Q2 05:42.00</v>
      </c>
      <c r="L2415">
        <v>25</v>
      </c>
      <c r="M2415">
        <v>6</v>
      </c>
      <c r="N2415">
        <v>246</v>
      </c>
      <c r="O2415">
        <v>6</v>
      </c>
      <c r="P2415">
        <v>246</v>
      </c>
    </row>
    <row r="2416" spans="1:16" x14ac:dyDescent="0.25">
      <c r="A2416">
        <v>22200735</v>
      </c>
      <c r="B2416">
        <v>2022</v>
      </c>
      <c r="C2416" t="s">
        <v>16</v>
      </c>
      <c r="D2416" t="s">
        <v>19</v>
      </c>
      <c r="E2416">
        <v>41</v>
      </c>
      <c r="F2416">
        <v>25</v>
      </c>
      <c r="G2416">
        <v>1</v>
      </c>
      <c r="H2416" s="1">
        <v>3.472222222222222E-6</v>
      </c>
      <c r="I2416" t="s">
        <v>23</v>
      </c>
      <c r="J2416" s="2" t="str">
        <f>HYPERLINK("https://www.nba.com/stats/events?CFID=&amp;CFPARAMS=&amp;GameEventID=153&amp;GameID=0022200735&amp;Season=2022-23&amp;flag=1&amp;title=Leonard%2026'%203PT%20pullup%20(12%20PTS)", "26' 3PT pullup (12 PTS)")</f>
        <v>26' 3PT pullup (12 PTS)</v>
      </c>
      <c r="K2416" s="2" t="str">
        <f>HYPERLINK("https://www.nba.com/game/...-vs-...-0022200735/play-by-play?watchFullGame=true", "LAC vs SAS - Q1 00:00.30")</f>
        <v>LAC vs SAS - Q1 00:00.30</v>
      </c>
      <c r="L2416">
        <v>26.34</v>
      </c>
      <c r="M2416">
        <v>66.41</v>
      </c>
      <c r="N2416">
        <v>51.23</v>
      </c>
      <c r="O2416">
        <v>6</v>
      </c>
      <c r="P2416">
        <v>263</v>
      </c>
    </row>
    <row r="2417" spans="1:16" x14ac:dyDescent="0.25">
      <c r="A2417">
        <v>41200152</v>
      </c>
      <c r="B2417" t="s">
        <v>27</v>
      </c>
      <c r="C2417" t="s">
        <v>32</v>
      </c>
      <c r="D2417" t="s">
        <v>60</v>
      </c>
      <c r="E2417">
        <v>35</v>
      </c>
      <c r="F2417">
        <v>32</v>
      </c>
      <c r="G2417">
        <v>2</v>
      </c>
      <c r="H2417" s="1">
        <v>5.5208333333333333E-3</v>
      </c>
      <c r="I2417" t="s">
        <v>18</v>
      </c>
      <c r="J2417" s="2" t="str">
        <f>HYPERLINK("https://www.nba.com/stats/events?CFID=&amp;CFPARAMS=&amp;GameEventID=157&amp;GameID=0041200152&amp;Season=2012-13&amp;flag=1&amp;title=Leonard%201'%20Alley%20Oop%20Dunk%20(10%20PTS)%20(Parker%203%20AST)", "Leonard 1' Alley Oop Dunk (10 PTS) (Parker 3 AST)")</f>
        <v>Leonard 1' Alley Oop Dunk (10 PTS) (Parker 3 AST)</v>
      </c>
      <c r="K2417" s="2" t="str">
        <f>HYPERLINK("https://www.nba.com/game/...-vs-...-0041200152/play-by-play?watchFullGame=true", "SAS vs LAL - Q2 07:57.00")</f>
        <v>SAS vs LAL - Q2 07:57.00</v>
      </c>
      <c r="L2417">
        <v>1</v>
      </c>
      <c r="M2417">
        <v>7</v>
      </c>
      <c r="N2417">
        <v>-3</v>
      </c>
      <c r="O2417">
        <v>7</v>
      </c>
      <c r="P2417">
        <v>-3</v>
      </c>
    </row>
    <row r="2418" spans="1:16" x14ac:dyDescent="0.25">
      <c r="A2418">
        <v>21300554</v>
      </c>
      <c r="B2418">
        <v>2013</v>
      </c>
      <c r="C2418" t="s">
        <v>32</v>
      </c>
      <c r="D2418" t="s">
        <v>57</v>
      </c>
      <c r="E2418">
        <v>81</v>
      </c>
      <c r="F2418">
        <v>70</v>
      </c>
      <c r="G2418">
        <v>3</v>
      </c>
      <c r="H2418" s="1">
        <v>5.8564814814814818E-4</v>
      </c>
      <c r="I2418" t="s">
        <v>18</v>
      </c>
      <c r="J2418" s="2" t="str">
        <f>HYPERLINK("https://www.nba.com/stats/events?CFID=&amp;CFPARAMS=&amp;GameEventID=348&amp;GameID=0021300554&amp;Season=2013-14&amp;flag=1&amp;title=Leonard%201'%20Layup%20(13%20PTS)%20(Baynes%201%20AST)", "Leonard 1' Layup (13 PTS) (Baynes 1 AST)")</f>
        <v>Leonard 1' Layup (13 PTS) (Baynes 1 AST)</v>
      </c>
      <c r="K2418" s="2" t="str">
        <f>HYPERLINK("https://www.nba.com/game/...-vs-...-0021300554/play-by-play?watchFullGame=true", "SAS vs MIN - Q3 00:50.60")</f>
        <v>SAS vs MIN - Q3 00:50.60</v>
      </c>
      <c r="L2418">
        <v>1</v>
      </c>
      <c r="M2418">
        <v>7</v>
      </c>
      <c r="N2418">
        <v>-2</v>
      </c>
      <c r="O2418">
        <v>7</v>
      </c>
      <c r="P2418">
        <v>-2</v>
      </c>
    </row>
    <row r="2419" spans="1:16" x14ac:dyDescent="0.25">
      <c r="A2419">
        <v>21300338</v>
      </c>
      <c r="B2419">
        <v>2013</v>
      </c>
      <c r="C2419" t="s">
        <v>32</v>
      </c>
      <c r="D2419" t="s">
        <v>62</v>
      </c>
      <c r="E2419">
        <v>64</v>
      </c>
      <c r="F2419">
        <v>54</v>
      </c>
      <c r="G2419">
        <v>3</v>
      </c>
      <c r="H2419" s="1">
        <v>8.1365740740740738E-3</v>
      </c>
      <c r="I2419" t="s">
        <v>18</v>
      </c>
      <c r="J2419" s="2" t="str">
        <f>HYPERLINK("https://www.nba.com/stats/events?CFID=&amp;CFPARAMS=&amp;GameEventID=252&amp;GameID=0021300338&amp;Season=2013-14&amp;flag=1&amp;title=Leonard%201'%20Dunk%20(10%20PTS)", "Leonard 1' Dunk (10 PTS)")</f>
        <v>Leonard 1' Dunk (10 PTS)</v>
      </c>
      <c r="K2419" s="2" t="str">
        <f>HYPERLINK("https://www.nba.com/game/...-vs-...-0021300338/play-by-play?watchFullGame=true", "SAS vs MIN - Q3 11:43.00")</f>
        <v>SAS vs MIN - Q3 11:43.00</v>
      </c>
      <c r="L2419">
        <v>1</v>
      </c>
      <c r="M2419">
        <v>7</v>
      </c>
      <c r="N2419">
        <v>1</v>
      </c>
      <c r="O2419">
        <v>7</v>
      </c>
      <c r="P2419">
        <v>1</v>
      </c>
    </row>
    <row r="2420" spans="1:16" x14ac:dyDescent="0.25">
      <c r="A2420">
        <v>21300133</v>
      </c>
      <c r="B2420">
        <v>2013</v>
      </c>
      <c r="C2420" t="s">
        <v>32</v>
      </c>
      <c r="D2420" t="s">
        <v>57</v>
      </c>
      <c r="E2420">
        <v>11</v>
      </c>
      <c r="F2420">
        <v>10</v>
      </c>
      <c r="G2420">
        <v>1</v>
      </c>
      <c r="H2420" s="1">
        <v>3.6921296296296298E-3</v>
      </c>
      <c r="I2420" t="s">
        <v>18</v>
      </c>
      <c r="J2420" s="2" t="str">
        <f>HYPERLINK("https://www.nba.com/stats/events?CFID=&amp;CFPARAMS=&amp;GameEventID=55&amp;GameID=0021300133&amp;Season=2013-14&amp;flag=1&amp;title=Leonard%201'%20Layup%20(2%20PTS)%20(Duncan%202%20AST)", "Leonard 1' Layup (2 PTS) (Duncan 2 AST)")</f>
        <v>Leonard 1' Layup (2 PTS) (Duncan 2 AST)</v>
      </c>
      <c r="K2420" s="2" t="str">
        <f>HYPERLINK("https://www.nba.com/game/...-vs-...-0021300133/play-by-play?watchFullGame=true", "SAS vs UTA - Q1 05:19.00")</f>
        <v>SAS vs UTA - Q1 05:19.00</v>
      </c>
      <c r="L2420">
        <v>1</v>
      </c>
      <c r="M2420">
        <v>7</v>
      </c>
      <c r="N2420">
        <v>1</v>
      </c>
      <c r="O2420">
        <v>7</v>
      </c>
      <c r="P2420">
        <v>1</v>
      </c>
    </row>
    <row r="2421" spans="1:16" x14ac:dyDescent="0.25">
      <c r="A2421">
        <v>21300859</v>
      </c>
      <c r="B2421">
        <v>2013</v>
      </c>
      <c r="C2421" t="s">
        <v>32</v>
      </c>
      <c r="D2421" t="s">
        <v>60</v>
      </c>
      <c r="E2421">
        <v>15</v>
      </c>
      <c r="F2421">
        <v>9</v>
      </c>
      <c r="G2421">
        <v>1</v>
      </c>
      <c r="H2421" s="1">
        <v>4.8148148148148152E-3</v>
      </c>
      <c r="I2421" t="s">
        <v>18</v>
      </c>
      <c r="J2421" s="2" t="str">
        <f>HYPERLINK("https://www.nba.com/stats/events?CFID=&amp;CFPARAMS=&amp;GameEventID=61&amp;GameID=0021300859&amp;Season=2013-14&amp;flag=1&amp;title=Leonard%201'%20Alley%20Oop%20Dunk%20(7%20PTS)%20(Joseph%202%20AST)", "Leonard 1' Alley Oop Dunk (7 PTS) (Joseph 2 AST)")</f>
        <v>Leonard 1' Alley Oop Dunk (7 PTS) (Joseph 2 AST)</v>
      </c>
      <c r="K2421" s="2" t="str">
        <f>HYPERLINK("https://www.nba.com/game/...-vs-...-0021300859/play-by-play?watchFullGame=true", "SAS vs DET - Q1 06:56.00")</f>
        <v>SAS vs DET - Q1 06:56.00</v>
      </c>
      <c r="L2421">
        <v>1</v>
      </c>
      <c r="M2421">
        <v>7</v>
      </c>
      <c r="N2421">
        <v>1</v>
      </c>
      <c r="O2421">
        <v>7</v>
      </c>
      <c r="P2421">
        <v>1</v>
      </c>
    </row>
    <row r="2422" spans="1:16" x14ac:dyDescent="0.25">
      <c r="A2422">
        <v>22200885</v>
      </c>
      <c r="B2422">
        <v>2022</v>
      </c>
      <c r="C2422" t="s">
        <v>32</v>
      </c>
      <c r="D2422" t="s">
        <v>48</v>
      </c>
      <c r="E2422">
        <v>103</v>
      </c>
      <c r="F2422">
        <v>111</v>
      </c>
      <c r="G2422">
        <v>4</v>
      </c>
      <c r="H2422" s="1">
        <v>1.3773148148148147E-3</v>
      </c>
      <c r="I2422" t="s">
        <v>23</v>
      </c>
      <c r="J2422" s="2" t="str">
        <f>HYPERLINK("https://www.nba.com/stats/events?CFID=&amp;CFPARAMS=&amp;GameEventID=642&amp;GameID=0022200885&amp;Season=2022-23&amp;flag=1&amp;title=Leonard%20driving%20DUNK%20(13%20PTS)%20(E.%20Gordon%207%20AST)", "Driving DUNK (13 PTS) (E. Gordon 7 AST)")</f>
        <v>Driving DUNK (13 PTS) (E. Gordon 7 AST)</v>
      </c>
      <c r="K2422" s="2" t="str">
        <f>HYPERLINK("https://www.nba.com/game/...-vs-...-0022200885/play-by-play?watchFullGame=true", "LAC vs PHX - Q4 01:59.00")</f>
        <v>LAC vs PHX - Q4 01:59.00</v>
      </c>
      <c r="L2422">
        <v>0.75</v>
      </c>
      <c r="M2422">
        <v>5.73</v>
      </c>
      <c r="N2422">
        <v>48.53</v>
      </c>
      <c r="O2422">
        <v>7</v>
      </c>
      <c r="P2422">
        <v>1</v>
      </c>
    </row>
    <row r="2423" spans="1:16" x14ac:dyDescent="0.25">
      <c r="A2423">
        <v>22000400</v>
      </c>
      <c r="B2423">
        <v>2020</v>
      </c>
      <c r="C2423" t="s">
        <v>32</v>
      </c>
      <c r="D2423" t="s">
        <v>47</v>
      </c>
      <c r="E2423">
        <v>99</v>
      </c>
      <c r="F2423">
        <v>120</v>
      </c>
      <c r="G2423">
        <v>4</v>
      </c>
      <c r="H2423" s="1">
        <v>2.2337962962962962E-3</v>
      </c>
      <c r="I2423" t="s">
        <v>23</v>
      </c>
      <c r="J2423" s="2" t="str">
        <f>HYPERLINK("https://www.nba.com/stats/events?CFID=&amp;CFPARAMS=&amp;GameEventID=546&amp;GameID=0022000400&amp;Season=2020-21&amp;flag=1&amp;title=Leonard%20driving%20Layup%20(33%20PTS)", "Driving Layup (33 PTS)")</f>
        <v>Driving Layup (33 PTS)</v>
      </c>
      <c r="K2423" s="2" t="str">
        <f>HYPERLINK("https://www.nba.com/game/...-vs-...-0022000400/play-by-play?watchFullGame=true", "LAC vs CHI - Q4 03:13.00")</f>
        <v>LAC vs CHI - Q4 03:13.00</v>
      </c>
      <c r="L2423">
        <v>0.71</v>
      </c>
      <c r="M2423">
        <v>5.73</v>
      </c>
      <c r="N2423">
        <v>48.6</v>
      </c>
      <c r="O2423">
        <v>7</v>
      </c>
      <c r="P2423">
        <v>1</v>
      </c>
    </row>
    <row r="2424" spans="1:16" x14ac:dyDescent="0.25">
      <c r="A2424">
        <v>21300604</v>
      </c>
      <c r="B2424">
        <v>2013</v>
      </c>
      <c r="C2424" t="s">
        <v>32</v>
      </c>
      <c r="D2424" t="s">
        <v>62</v>
      </c>
      <c r="E2424">
        <v>69</v>
      </c>
      <c r="F2424">
        <v>46</v>
      </c>
      <c r="G2424">
        <v>3</v>
      </c>
      <c r="H2424" s="1">
        <v>4.43287037037037E-3</v>
      </c>
      <c r="I2424" t="s">
        <v>18</v>
      </c>
      <c r="J2424" s="2" t="str">
        <f>HYPERLINK("https://www.nba.com/stats/events?CFID=&amp;CFPARAMS=&amp;GameEventID=285&amp;GameID=0021300604&amp;Season=2013-14&amp;flag=1&amp;title=Leonard%201'%20Dunk%20(11%20PTS)", "Leonard 1' Dunk (11 PTS)")</f>
        <v>Leonard 1' Dunk (11 PTS)</v>
      </c>
      <c r="K2424" s="2" t="str">
        <f>HYPERLINK("https://www.nba.com/game/...-vs-...-0021300604/play-by-play?watchFullGame=true", "SAS vs MIL - Q3 06:23.00")</f>
        <v>SAS vs MIL - Q3 06:23.00</v>
      </c>
      <c r="L2424">
        <v>1</v>
      </c>
      <c r="M2424">
        <v>7</v>
      </c>
      <c r="N2424">
        <v>1</v>
      </c>
      <c r="O2424">
        <v>7</v>
      </c>
      <c r="P2424">
        <v>1</v>
      </c>
    </row>
    <row r="2425" spans="1:16" x14ac:dyDescent="0.25">
      <c r="A2425">
        <v>42000224</v>
      </c>
      <c r="B2425" t="s">
        <v>85</v>
      </c>
      <c r="C2425" t="s">
        <v>16</v>
      </c>
      <c r="D2425" t="s">
        <v>19</v>
      </c>
      <c r="E2425">
        <v>3</v>
      </c>
      <c r="F2425">
        <v>2</v>
      </c>
      <c r="G2425">
        <v>1</v>
      </c>
      <c r="H2425" s="1">
        <v>7.7546296296296295E-3</v>
      </c>
      <c r="I2425" t="s">
        <v>23</v>
      </c>
      <c r="J2425" s="2" t="str">
        <f>HYPERLINK("https://www.nba.com/stats/events?CFID=&amp;CFPARAMS=&amp;GameEventID=11&amp;GameID=0042000224&amp;Season=2020-21&amp;flag=1&amp;title=Leonard%2024'%203PT%20%20(3%20PTS)%20(P.%20George%201%20AST)", "24' 3PT  (3 PTS) (P. George 1 AST)")</f>
        <v>24' 3PT  (3 PTS) (P. George 1 AST)</v>
      </c>
      <c r="K2425" s="2" t="str">
        <f>HYPERLINK("https://www.nba.com/game/...-vs-...-0042000224/play-by-play?watchFullGame=true", "LAC vs UTA - Q1 11:10.00")</f>
        <v>LAC vs UTA - Q1 11:10.00</v>
      </c>
      <c r="L2425">
        <v>24.02</v>
      </c>
      <c r="M2425">
        <v>7.8</v>
      </c>
      <c r="N2425">
        <v>2.14</v>
      </c>
      <c r="O2425">
        <v>7</v>
      </c>
      <c r="P2425">
        <v>2</v>
      </c>
    </row>
    <row r="2426" spans="1:16" x14ac:dyDescent="0.25">
      <c r="A2426">
        <v>21301123</v>
      </c>
      <c r="B2426">
        <v>2013</v>
      </c>
      <c r="C2426" t="s">
        <v>32</v>
      </c>
      <c r="D2426" t="s">
        <v>62</v>
      </c>
      <c r="E2426">
        <v>16</v>
      </c>
      <c r="F2426">
        <v>6</v>
      </c>
      <c r="G2426">
        <v>1</v>
      </c>
      <c r="H2426" s="1">
        <v>4.340277777777778E-3</v>
      </c>
      <c r="I2426" t="s">
        <v>18</v>
      </c>
      <c r="J2426" s="2" t="str">
        <f>HYPERLINK("https://www.nba.com/stats/events?CFID=&amp;CFPARAMS=&amp;GameEventID=53&amp;GameID=0021301123&amp;Season=2013-14&amp;flag=1&amp;title=Leonard%201'%20Dunk%20(2%20PTS)%20(Parker%203%20AST)", "Leonard 1' Dunk (2 PTS) (Parker 3 AST)")</f>
        <v>Leonard 1' Dunk (2 PTS) (Parker 3 AST)</v>
      </c>
      <c r="K2426" s="2" t="str">
        <f>HYPERLINK("https://www.nba.com/game/...-vs-...-0021301123/play-by-play?watchFullGame=true", "SAS vs GSW - Q1 06:15.00")</f>
        <v>SAS vs GSW - Q1 06:15.00</v>
      </c>
      <c r="L2426">
        <v>1</v>
      </c>
      <c r="M2426">
        <v>7</v>
      </c>
      <c r="N2426">
        <v>3</v>
      </c>
      <c r="O2426">
        <v>7</v>
      </c>
      <c r="P2426">
        <v>3</v>
      </c>
    </row>
    <row r="2427" spans="1:16" x14ac:dyDescent="0.25">
      <c r="A2427">
        <v>21400159</v>
      </c>
      <c r="B2427">
        <v>2014</v>
      </c>
      <c r="C2427" t="s">
        <v>32</v>
      </c>
      <c r="D2427" t="s">
        <v>57</v>
      </c>
      <c r="E2427">
        <v>47</v>
      </c>
      <c r="F2427">
        <v>40</v>
      </c>
      <c r="G2427">
        <v>2</v>
      </c>
      <c r="H2427" s="1">
        <v>7.407407407407407E-4</v>
      </c>
      <c r="I2427" t="s">
        <v>18</v>
      </c>
      <c r="J2427" s="2" t="str">
        <f>HYPERLINK("https://www.nba.com/stats/events?CFID=&amp;CFPARAMS=&amp;GameEventID=233&amp;GameID=0021400159&amp;Season=2014-15&amp;flag=1&amp;title=Leonard%201'%20Layup%20(7%20PTS)%20(Joseph%202%20AST)", "Leonard 1' Layup (7 PTS) (Joseph 2 AST)")</f>
        <v>Leonard 1' Layup (7 PTS) (Joseph 2 AST)</v>
      </c>
      <c r="K2427" s="2" t="str">
        <f>HYPERLINK("https://www.nba.com/game/...-vs-...-0021400159/play-by-play?watchFullGame=true", "SAS vs CLE - Q2 01:04.00")</f>
        <v>SAS vs CLE - Q2 01:04.00</v>
      </c>
      <c r="L2427">
        <v>1</v>
      </c>
      <c r="M2427">
        <v>7</v>
      </c>
      <c r="N2427">
        <v>3</v>
      </c>
      <c r="O2427">
        <v>7</v>
      </c>
      <c r="P2427">
        <v>3</v>
      </c>
    </row>
    <row r="2428" spans="1:16" x14ac:dyDescent="0.25">
      <c r="A2428">
        <v>22301003</v>
      </c>
      <c r="B2428">
        <v>2023</v>
      </c>
      <c r="C2428" t="s">
        <v>32</v>
      </c>
      <c r="D2428" t="s">
        <v>48</v>
      </c>
      <c r="E2428">
        <v>60</v>
      </c>
      <c r="F2428">
        <v>81</v>
      </c>
      <c r="G2428">
        <v>3</v>
      </c>
      <c r="H2428" s="1">
        <v>3.2870370370370371E-3</v>
      </c>
      <c r="I2428" t="s">
        <v>23</v>
      </c>
      <c r="J2428" s="2" t="str">
        <f>HYPERLINK("https://www.nba.com/stats/events?CFID=&amp;CFPARAMS=&amp;GameEventID=358&amp;GameID=0022301003&amp;Season=2023-24&amp;flag=1&amp;title=Leonard%20running%20DUNK%20(20%20PTS)", "Running DUNK (20 PTS)")</f>
        <v>Running DUNK (20 PTS)</v>
      </c>
      <c r="K2428" s="2" t="str">
        <f>HYPERLINK("https://www.nba.com/game/...-vs-...-0022301003/play-by-play?watchFullGame=true", "LAC vs POR - Q3 04:44.00")</f>
        <v>LAC vs POR - Q3 04:44.00</v>
      </c>
      <c r="L2428">
        <v>0.9</v>
      </c>
      <c r="M2428">
        <v>6.13</v>
      </c>
      <c r="N2428">
        <v>48.53</v>
      </c>
      <c r="O2428">
        <v>7</v>
      </c>
      <c r="P2428">
        <v>5</v>
      </c>
    </row>
    <row r="2429" spans="1:16" x14ac:dyDescent="0.25">
      <c r="A2429">
        <v>21900653</v>
      </c>
      <c r="B2429">
        <v>2019</v>
      </c>
      <c r="C2429" t="s">
        <v>32</v>
      </c>
      <c r="D2429" t="s">
        <v>65</v>
      </c>
      <c r="E2429">
        <v>39</v>
      </c>
      <c r="F2429">
        <v>37</v>
      </c>
      <c r="G2429">
        <v>2</v>
      </c>
      <c r="H2429" s="1">
        <v>3.9351851851851848E-3</v>
      </c>
      <c r="I2429" t="s">
        <v>23</v>
      </c>
      <c r="J2429" s="2" t="str">
        <f>HYPERLINK("https://www.nba.com/stats/events?CFID=&amp;CFPARAMS=&amp;GameEventID=261&amp;GameID=0021900653&amp;Season=2019-20&amp;flag=1&amp;title=Leonard%20dunk%20(10%20PTS)%20(P.%20Beverley%203%20AST)", "Dunk (10 PTS) (P. Beverley 3 AST)")</f>
        <v>Dunk (10 PTS) (P. Beverley 3 AST)</v>
      </c>
      <c r="K2429" s="2" t="str">
        <f>HYPERLINK("https://www.nba.com/game/...-vs-...-0021900653/play-by-play?watchFullGame=true", "LAC vs DAL - Q2 05:40.00")</f>
        <v>LAC vs DAL - Q2 05:40.00</v>
      </c>
      <c r="L2429">
        <v>1.27</v>
      </c>
      <c r="M2429">
        <v>6.13</v>
      </c>
      <c r="N2429">
        <v>48.6</v>
      </c>
      <c r="O2429">
        <v>7</v>
      </c>
      <c r="P2429">
        <v>5</v>
      </c>
    </row>
    <row r="2430" spans="1:16" x14ac:dyDescent="0.25">
      <c r="A2430">
        <v>22300917</v>
      </c>
      <c r="B2430">
        <v>2023</v>
      </c>
      <c r="C2430" t="s">
        <v>32</v>
      </c>
      <c r="D2430" t="s">
        <v>48</v>
      </c>
      <c r="E2430">
        <v>63</v>
      </c>
      <c r="F2430">
        <v>67</v>
      </c>
      <c r="G2430">
        <v>3</v>
      </c>
      <c r="H2430" s="1">
        <v>4.7106481481481478E-3</v>
      </c>
      <c r="I2430" t="s">
        <v>23</v>
      </c>
      <c r="J2430" s="2" t="str">
        <f>HYPERLINK("https://www.nba.com/stats/events?CFID=&amp;CFPARAMS=&amp;GameEventID=381&amp;GameID=0022300917&amp;Season=2023-24&amp;flag=1&amp;title=Leonard%20running%20DUNK%20(11%20PTS)%20(J.%20Harden%206%20AST)", "Running DUNK (11 PTS) (J. Harden 6 AST)")</f>
        <v>Running DUNK (11 PTS) (J. Harden 6 AST)</v>
      </c>
      <c r="K2430" s="2" t="str">
        <f>HYPERLINK("https://www.nba.com/game/...-vs-...-0022300917/play-by-play?watchFullGame=true", "LAC vs CHI - Q3 06:47.00")</f>
        <v>LAC vs CHI - Q3 06:47.00</v>
      </c>
      <c r="L2430">
        <v>0.97</v>
      </c>
      <c r="M2430">
        <v>93.74</v>
      </c>
      <c r="N2430">
        <v>51.47</v>
      </c>
      <c r="O2430">
        <v>7</v>
      </c>
      <c r="P2430">
        <v>6</v>
      </c>
    </row>
    <row r="2431" spans="1:16" x14ac:dyDescent="0.25">
      <c r="A2431">
        <v>22200970</v>
      </c>
      <c r="B2431">
        <v>2022</v>
      </c>
      <c r="C2431" t="s">
        <v>32</v>
      </c>
      <c r="D2431" t="s">
        <v>47</v>
      </c>
      <c r="E2431">
        <v>92</v>
      </c>
      <c r="F2431">
        <v>104</v>
      </c>
      <c r="G2431">
        <v>3</v>
      </c>
      <c r="H2431" s="1">
        <v>1.1689814814814816E-3</v>
      </c>
      <c r="I2431" t="s">
        <v>23</v>
      </c>
      <c r="J2431" s="2" t="str">
        <f>HYPERLINK("https://www.nba.com/stats/events?CFID=&amp;CFPARAMS=&amp;GameEventID=456&amp;GameID=0022200970&amp;Season=2022-23&amp;flag=1&amp;title=Leonard%20driving%20Layup%20(18%20PTS)", "Driving Layup (18 PTS)")</f>
        <v>Driving Layup (18 PTS)</v>
      </c>
      <c r="K2431" s="2" t="str">
        <f>HYPERLINK("https://www.nba.com/game/...-vs-...-0022200970/play-by-play?watchFullGame=true", "LAC vs MEM - Q3 01:41.00")</f>
        <v>LAC vs MEM - Q3 01:41.00</v>
      </c>
      <c r="L2431">
        <v>0.97</v>
      </c>
      <c r="M2431">
        <v>93.74</v>
      </c>
      <c r="N2431">
        <v>51.47</v>
      </c>
      <c r="O2431">
        <v>7</v>
      </c>
      <c r="P2431">
        <v>6</v>
      </c>
    </row>
    <row r="2432" spans="1:16" x14ac:dyDescent="0.25">
      <c r="A2432">
        <v>21900436</v>
      </c>
      <c r="B2432">
        <v>2019</v>
      </c>
      <c r="C2432" t="s">
        <v>32</v>
      </c>
      <c r="D2432" t="s">
        <v>65</v>
      </c>
      <c r="E2432">
        <v>20</v>
      </c>
      <c r="F2432">
        <v>23</v>
      </c>
      <c r="G2432">
        <v>1</v>
      </c>
      <c r="H2432" s="1">
        <v>3.0787037037037037E-3</v>
      </c>
      <c r="I2432" t="s">
        <v>23</v>
      </c>
      <c r="J2432" s="2" t="str">
        <f>HYPERLINK("https://www.nba.com/stats/events?CFID=&amp;CFPARAMS=&amp;GameEventID=91&amp;GameID=0021900436&amp;Season=2019-20&amp;flag=1&amp;title=Leonard%20dunk%20(9%20PTS)", "Dunk (9 PTS)")</f>
        <v>Dunk (9 PTS)</v>
      </c>
      <c r="K2432" s="2" t="str">
        <f>HYPERLINK("https://www.nba.com/game/...-vs-...-0021900436/play-by-play?watchFullGame=true", "LAC vs SAS - Q1 04:26.00")</f>
        <v>LAC vs SAS - Q1 04:26.00</v>
      </c>
      <c r="L2432">
        <v>1.37</v>
      </c>
      <c r="M2432">
        <v>6.26</v>
      </c>
      <c r="N2432">
        <v>48.6</v>
      </c>
      <c r="O2432">
        <v>7</v>
      </c>
      <c r="P2432">
        <v>6</v>
      </c>
    </row>
    <row r="2433" spans="1:16" x14ac:dyDescent="0.25">
      <c r="A2433">
        <v>22200525</v>
      </c>
      <c r="B2433">
        <v>2022</v>
      </c>
      <c r="C2433" t="s">
        <v>32</v>
      </c>
      <c r="D2433" t="s">
        <v>47</v>
      </c>
      <c r="E2433">
        <v>50</v>
      </c>
      <c r="F2433">
        <v>39</v>
      </c>
      <c r="G2433">
        <v>2</v>
      </c>
      <c r="H2433" s="1">
        <v>2.0833333333333333E-3</v>
      </c>
      <c r="I2433" t="s">
        <v>23</v>
      </c>
      <c r="J2433" s="2" t="str">
        <f>HYPERLINK("https://www.nba.com/stats/events?CFID=&amp;CFPARAMS=&amp;GameEventID=271&amp;GameID=0022200525&amp;Season=2022-23&amp;flag=1&amp;title=Leonard%20Layup%20(13%20PTS)%20(M.%20Morris%20Sr.%201%20AST)", "Layup (13 PTS) (M. Morris Sr. 1 AST)")</f>
        <v>Layup (13 PTS) (M. Morris Sr. 1 AST)</v>
      </c>
      <c r="K2433" s="2" t="str">
        <f>HYPERLINK("https://www.nba.com/game/...-vs-...-0022200525/play-by-play?watchFullGame=true", "LAC vs BOS - Q2 03:00.00")</f>
        <v>LAC vs BOS - Q2 03:00.00</v>
      </c>
      <c r="L2433">
        <v>1.04</v>
      </c>
      <c r="M2433">
        <v>93.64</v>
      </c>
      <c r="N2433">
        <v>51.47</v>
      </c>
      <c r="O2433">
        <v>7</v>
      </c>
      <c r="P2433">
        <v>7</v>
      </c>
    </row>
    <row r="2434" spans="1:16" x14ac:dyDescent="0.25">
      <c r="A2434">
        <v>41200407</v>
      </c>
      <c r="B2434" t="s">
        <v>27</v>
      </c>
      <c r="C2434" t="s">
        <v>32</v>
      </c>
      <c r="D2434" t="s">
        <v>49</v>
      </c>
      <c r="E2434">
        <v>4</v>
      </c>
      <c r="F2434">
        <v>11</v>
      </c>
      <c r="G2434">
        <v>1</v>
      </c>
      <c r="H2434" s="1">
        <v>5.347222222222222E-3</v>
      </c>
      <c r="I2434" t="s">
        <v>18</v>
      </c>
      <c r="J2434" s="2" t="str">
        <f>HYPERLINK("https://www.nba.com/stats/events?CFID=&amp;CFPARAMS=&amp;GameEventID=31&amp;GameID=0041200407&amp;Season=2012-13&amp;flag=1&amp;title=Leonard%201'%20Driving%20Layup%20(2%20PTS)", "Leonard 1' Driving Layup (2 PTS)")</f>
        <v>Leonard 1' Driving Layup (2 PTS)</v>
      </c>
      <c r="K2434" s="2" t="str">
        <f>HYPERLINK("https://www.nba.com/game/...-vs-...-0041200407/play-by-play?watchFullGame=true", "SAS vs MIA - Q1 07:42.00")</f>
        <v>SAS vs MIA - Q1 07:42.00</v>
      </c>
      <c r="L2434">
        <v>1</v>
      </c>
      <c r="M2434">
        <v>7</v>
      </c>
      <c r="N2434">
        <v>7</v>
      </c>
      <c r="O2434">
        <v>7</v>
      </c>
      <c r="P2434">
        <v>7</v>
      </c>
    </row>
    <row r="2435" spans="1:16" x14ac:dyDescent="0.25">
      <c r="A2435">
        <v>41200151</v>
      </c>
      <c r="B2435" t="s">
        <v>27</v>
      </c>
      <c r="C2435" t="s">
        <v>32</v>
      </c>
      <c r="D2435" t="s">
        <v>57</v>
      </c>
      <c r="E2435">
        <v>86</v>
      </c>
      <c r="F2435">
        <v>72</v>
      </c>
      <c r="G2435">
        <v>4</v>
      </c>
      <c r="H2435" s="1">
        <v>2.2106481481481482E-3</v>
      </c>
      <c r="I2435" t="s">
        <v>18</v>
      </c>
      <c r="J2435" s="2" t="str">
        <f>HYPERLINK("https://www.nba.com/stats/events?CFID=&amp;CFPARAMS=&amp;GameEventID=463&amp;GameID=0041200151&amp;Season=2012-13&amp;flag=1&amp;title=Leonard%201'%20Layup%20(7%20PTS)%20(Ginobili%203%20AST)", "Leonard 1' Layup (7 PTS) (Ginobili 3 AST)")</f>
        <v>Leonard 1' Layup (7 PTS) (Ginobili 3 AST)</v>
      </c>
      <c r="K2435" s="2" t="str">
        <f>HYPERLINK("https://www.nba.com/game/...-vs-...-0041200151/play-by-play?watchFullGame=true", "SAS vs LAL - Q4 03:11.00")</f>
        <v>SAS vs LAL - Q4 03:11.00</v>
      </c>
      <c r="L2435">
        <v>1</v>
      </c>
      <c r="M2435">
        <v>7</v>
      </c>
      <c r="N2435">
        <v>7</v>
      </c>
      <c r="O2435">
        <v>7</v>
      </c>
      <c r="P2435">
        <v>7</v>
      </c>
    </row>
    <row r="2436" spans="1:16" x14ac:dyDescent="0.25">
      <c r="A2436">
        <v>22300151</v>
      </c>
      <c r="B2436">
        <v>2023</v>
      </c>
      <c r="C2436" t="s">
        <v>32</v>
      </c>
      <c r="D2436" t="s">
        <v>48</v>
      </c>
      <c r="E2436">
        <v>42</v>
      </c>
      <c r="F2436">
        <v>48</v>
      </c>
      <c r="G2436">
        <v>3</v>
      </c>
      <c r="H2436" s="1">
        <v>8.2060185185185187E-3</v>
      </c>
      <c r="I2436" t="s">
        <v>23</v>
      </c>
      <c r="J2436" s="2" t="str">
        <f>HYPERLINK("https://www.nba.com/stats/events?CFID=&amp;CFPARAMS=&amp;GameEventID=291&amp;GameID=0022300151&amp;Season=2023-24&amp;flag=1&amp;title=Leonard%20driving%20DUNK%20(6%20PTS)%20(J.%20Harden%204%20AST)", "Driving DUNK (6 PTS) (J. Harden 4 AST)")</f>
        <v>Driving DUNK (6 PTS) (J. Harden 4 AST)</v>
      </c>
      <c r="K2436" s="2" t="str">
        <f>HYPERLINK("https://www.nba.com/game/...-vs-...-0022300151/play-by-play?watchFullGame=true", "LAC vs NYK - Q3 11:49.00")</f>
        <v>LAC vs NYK - Q3 11:49.00</v>
      </c>
      <c r="L2436">
        <v>1.06</v>
      </c>
      <c r="M2436">
        <v>6.39</v>
      </c>
      <c r="N2436">
        <v>48.53</v>
      </c>
      <c r="O2436">
        <v>7</v>
      </c>
      <c r="P2436">
        <v>8</v>
      </c>
    </row>
    <row r="2437" spans="1:16" x14ac:dyDescent="0.25">
      <c r="A2437">
        <v>21300133</v>
      </c>
      <c r="B2437">
        <v>2013</v>
      </c>
      <c r="C2437" t="s">
        <v>32</v>
      </c>
      <c r="D2437" t="s">
        <v>62</v>
      </c>
      <c r="E2437">
        <v>65</v>
      </c>
      <c r="F2437">
        <v>60</v>
      </c>
      <c r="G2437">
        <v>3</v>
      </c>
      <c r="H2437" s="1">
        <v>9.7222222222222219E-4</v>
      </c>
      <c r="I2437" t="s">
        <v>18</v>
      </c>
      <c r="J2437" s="2" t="str">
        <f>HYPERLINK("https://www.nba.com/stats/events?CFID=&amp;CFPARAMS=&amp;GameEventID=346&amp;GameID=0021300133&amp;Season=2013-14&amp;flag=1&amp;title=Leonard%201'%20Dunk%20(4%20PTS)%20(Mills%201%20AST)", "Leonard 1' Dunk (4 PTS) (Mills 1 AST)")</f>
        <v>Leonard 1' Dunk (4 PTS) (Mills 1 AST)</v>
      </c>
      <c r="K2437" s="2" t="str">
        <f>HYPERLINK("https://www.nba.com/game/...-vs-...-0021300133/play-by-play?watchFullGame=true", "SAS vs UTA - Q3 01:24.00")</f>
        <v>SAS vs UTA - Q3 01:24.00</v>
      </c>
      <c r="L2437">
        <v>1</v>
      </c>
      <c r="M2437">
        <v>7</v>
      </c>
      <c r="N2437">
        <v>9</v>
      </c>
      <c r="O2437">
        <v>7</v>
      </c>
      <c r="P2437">
        <v>9</v>
      </c>
    </row>
    <row r="2438" spans="1:16" x14ac:dyDescent="0.25">
      <c r="A2438">
        <v>21400986</v>
      </c>
      <c r="B2438">
        <v>2014</v>
      </c>
      <c r="C2438" t="s">
        <v>32</v>
      </c>
      <c r="D2438" t="s">
        <v>57</v>
      </c>
      <c r="E2438">
        <v>47</v>
      </c>
      <c r="F2438">
        <v>39</v>
      </c>
      <c r="G2438">
        <v>2</v>
      </c>
      <c r="H2438" s="1">
        <v>4.3981481481481484E-3</v>
      </c>
      <c r="I2438" t="s">
        <v>18</v>
      </c>
      <c r="J2438" s="2" t="str">
        <f>HYPERLINK("https://www.nba.com/stats/events?CFID=&amp;CFPARAMS=&amp;GameEventID=168&amp;GameID=0021400986&amp;Season=2014-15&amp;flag=1&amp;title=Leonard%201'%20Layup%20(5%20PTS)%20(Duncan%204%20AST)", "Leonard 1' Layup (5 PTS) (Duncan 4 AST)")</f>
        <v>Leonard 1' Layup (5 PTS) (Duncan 4 AST)</v>
      </c>
      <c r="K2438" s="2" t="str">
        <f>HYPERLINK("https://www.nba.com/game/...-vs-...-0021400986/play-by-play?watchFullGame=true", "SAS vs MIN - Q2 06:20.00")</f>
        <v>SAS vs MIN - Q2 06:20.00</v>
      </c>
      <c r="L2438">
        <v>1</v>
      </c>
      <c r="M2438">
        <v>7</v>
      </c>
      <c r="N2438">
        <v>9</v>
      </c>
      <c r="O2438">
        <v>7</v>
      </c>
      <c r="P2438">
        <v>9</v>
      </c>
    </row>
    <row r="2439" spans="1:16" x14ac:dyDescent="0.25">
      <c r="A2439">
        <v>22300257</v>
      </c>
      <c r="B2439">
        <v>2023</v>
      </c>
      <c r="C2439" t="s">
        <v>32</v>
      </c>
      <c r="D2439" t="s">
        <v>48</v>
      </c>
      <c r="E2439">
        <v>19</v>
      </c>
      <c r="F2439">
        <v>15</v>
      </c>
      <c r="G2439">
        <v>1</v>
      </c>
      <c r="H2439" s="1">
        <v>3.3217592592592591E-3</v>
      </c>
      <c r="I2439" t="s">
        <v>23</v>
      </c>
      <c r="J2439" s="2" t="str">
        <f>HYPERLINK("https://www.nba.com/stats/events?CFID=&amp;CFPARAMS=&amp;GameEventID=99&amp;GameID=0022300257&amp;Season=2023-24&amp;flag=1&amp;title=Leonard%20running%20DUNK%20(6%20PTS)", "Running DUNK (6 PTS)")</f>
        <v>Running DUNK (6 PTS)</v>
      </c>
      <c r="K2439" s="2" t="str">
        <f>HYPERLINK("https://www.nba.com/game/...-vs-...-0022300257/play-by-play?watchFullGame=true", "LAC vs DEN - Q1 04:47.00")</f>
        <v>LAC vs DEN - Q1 04:47.00</v>
      </c>
      <c r="L2439">
        <v>1.1499999999999999</v>
      </c>
      <c r="M2439">
        <v>93.48</v>
      </c>
      <c r="N2439">
        <v>51.47</v>
      </c>
      <c r="O2439">
        <v>7</v>
      </c>
      <c r="P2439">
        <v>9</v>
      </c>
    </row>
    <row r="2440" spans="1:16" x14ac:dyDescent="0.25">
      <c r="A2440">
        <v>22300658</v>
      </c>
      <c r="B2440">
        <v>2023</v>
      </c>
      <c r="C2440" t="s">
        <v>32</v>
      </c>
      <c r="D2440" t="s">
        <v>48</v>
      </c>
      <c r="E2440">
        <v>109</v>
      </c>
      <c r="F2440">
        <v>99</v>
      </c>
      <c r="G2440">
        <v>4</v>
      </c>
      <c r="H2440" s="1">
        <v>3.7731481481481483E-3</v>
      </c>
      <c r="I2440" t="s">
        <v>23</v>
      </c>
      <c r="J2440" s="2" t="str">
        <f>HYPERLINK("https://www.nba.com/stats/events?CFID=&amp;CFPARAMS=&amp;GameEventID=588&amp;GameID=0022300658&amp;Season=2023-24&amp;flag=1&amp;title=Leonard%20driving%20DUNK%20(28%20PTS)", "Driving DUNK (28 PTS)")</f>
        <v>Driving DUNK (28 PTS)</v>
      </c>
      <c r="K2440" s="2" t="str">
        <f>HYPERLINK("https://www.nba.com/game/...-vs-...-0022300658/play-by-play?watchFullGame=true", "LAC vs CLE - Q4 05:26.00")</f>
        <v>LAC vs CLE - Q4 05:26.00</v>
      </c>
      <c r="L2440">
        <v>1.1499999999999999</v>
      </c>
      <c r="M2440">
        <v>6.52</v>
      </c>
      <c r="N2440">
        <v>48.53</v>
      </c>
      <c r="O2440">
        <v>7</v>
      </c>
      <c r="P2440">
        <v>9</v>
      </c>
    </row>
    <row r="2441" spans="1:16" x14ac:dyDescent="0.25">
      <c r="A2441">
        <v>22200016</v>
      </c>
      <c r="B2441">
        <v>2022</v>
      </c>
      <c r="C2441" t="s">
        <v>32</v>
      </c>
      <c r="D2441" t="s">
        <v>47</v>
      </c>
      <c r="E2441">
        <v>65</v>
      </c>
      <c r="F2441">
        <v>65</v>
      </c>
      <c r="G2441">
        <v>3</v>
      </c>
      <c r="H2441" s="1">
        <v>4.7337962962962967E-3</v>
      </c>
      <c r="I2441" t="s">
        <v>23</v>
      </c>
      <c r="J2441" s="2" t="str">
        <f>HYPERLINK("https://www.nba.com/stats/events?CFID=&amp;CFPARAMS=&amp;GameEventID=410&amp;GameID=0022200016&amp;Season=2022-23&amp;flag=1&amp;title=Leonard%20reverse%20Layup%20(7%20PTS)%20(R.%20Jackson%203%20AST)", "Reverse Layup (7 PTS) (R. Jackson 3 AST)")</f>
        <v>Reverse Layup (7 PTS) (R. Jackson 3 AST)</v>
      </c>
      <c r="K2441" s="2" t="str">
        <f>HYPERLINK("https://www.nba.com/game/...-vs-...-0022200016/play-by-play?watchFullGame=true", "LAC vs LAL - Q3 06:49.00")</f>
        <v>LAC vs LAL - Q3 06:49.00</v>
      </c>
      <c r="L2441">
        <v>1.22</v>
      </c>
      <c r="M2441">
        <v>6.62</v>
      </c>
      <c r="N2441">
        <v>48.53</v>
      </c>
      <c r="O2441">
        <v>7</v>
      </c>
      <c r="P2441">
        <v>10</v>
      </c>
    </row>
    <row r="2442" spans="1:16" x14ac:dyDescent="0.25">
      <c r="A2442">
        <v>22000675</v>
      </c>
      <c r="B2442">
        <v>2020</v>
      </c>
      <c r="C2442" t="s">
        <v>32</v>
      </c>
      <c r="D2442" t="s">
        <v>48</v>
      </c>
      <c r="E2442">
        <v>48</v>
      </c>
      <c r="F2442">
        <v>58</v>
      </c>
      <c r="G2442">
        <v>2</v>
      </c>
      <c r="H2442" s="1">
        <v>1.7708333333333332E-3</v>
      </c>
      <c r="I2442" t="s">
        <v>23</v>
      </c>
      <c r="J2442" s="2" t="str">
        <f>HYPERLINK("https://www.nba.com/stats/events?CFID=&amp;CFPARAMS=&amp;GameEventID=295&amp;GameID=0022000675&amp;Season=2020-21&amp;flag=1&amp;title=Leonard%20putback%20DUNK%20(14%20PTS)", "Putback DUNK (14 PTS)")</f>
        <v>Putback DUNK (14 PTS)</v>
      </c>
      <c r="K2442" s="2" t="str">
        <f>HYPERLINK("https://www.nba.com/game/...-vs-...-0022000675/play-by-play?watchFullGame=true", "LAC vs SAS - Q2 02:33.00")</f>
        <v>LAC vs SAS - Q2 02:33.00</v>
      </c>
      <c r="L2442">
        <v>1.22</v>
      </c>
      <c r="M2442">
        <v>6.65</v>
      </c>
      <c r="N2442">
        <v>48.6</v>
      </c>
      <c r="O2442">
        <v>7</v>
      </c>
      <c r="P2442">
        <v>10</v>
      </c>
    </row>
    <row r="2443" spans="1:16" x14ac:dyDescent="0.25">
      <c r="A2443">
        <v>22300264</v>
      </c>
      <c r="B2443">
        <v>2023</v>
      </c>
      <c r="C2443" t="s">
        <v>32</v>
      </c>
      <c r="D2443" t="s">
        <v>48</v>
      </c>
      <c r="E2443">
        <v>37</v>
      </c>
      <c r="F2443">
        <v>47</v>
      </c>
      <c r="G2443">
        <v>2</v>
      </c>
      <c r="H2443" s="1">
        <v>5.3125000000000004E-3</v>
      </c>
      <c r="I2443" t="s">
        <v>23</v>
      </c>
      <c r="J2443" s="2" t="str">
        <f>HYPERLINK("https://www.nba.com/stats/events?CFID=&amp;CFPARAMS=&amp;GameEventID=256&amp;GameID=0022300264&amp;Season=2023-24&amp;flag=1&amp;title=Leonard%20cutting%20DUNK%20(6%20PTS)%20(R.%20Westbrook%204%20AST)", "Cutting DUNK (6 PTS) (R. Westbrook 4 AST)")</f>
        <v>Cutting DUNK (6 PTS) (R. Westbrook 4 AST)</v>
      </c>
      <c r="K2443" s="2" t="str">
        <f>HYPERLINK("https://www.nba.com/game/...-vs-...-0022300264/play-by-play?watchFullGame=true", "LAC vs SAC - Q2 07:39.00")</f>
        <v>LAC vs SAC - Q2 07:39.00</v>
      </c>
      <c r="L2443">
        <v>1.35</v>
      </c>
      <c r="M2443">
        <v>6.78</v>
      </c>
      <c r="N2443">
        <v>48.53</v>
      </c>
      <c r="O2443">
        <v>7</v>
      </c>
      <c r="P2443">
        <v>11</v>
      </c>
    </row>
    <row r="2444" spans="1:16" x14ac:dyDescent="0.25">
      <c r="A2444">
        <v>21400714</v>
      </c>
      <c r="B2444">
        <v>2014</v>
      </c>
      <c r="C2444" t="s">
        <v>32</v>
      </c>
      <c r="D2444" t="s">
        <v>51</v>
      </c>
      <c r="E2444">
        <v>17</v>
      </c>
      <c r="F2444">
        <v>19</v>
      </c>
      <c r="G2444">
        <v>1</v>
      </c>
      <c r="H2444" s="1">
        <v>2.9861111111111113E-3</v>
      </c>
      <c r="I2444" t="s">
        <v>18</v>
      </c>
      <c r="J2444" s="2" t="str">
        <f>HYPERLINK("https://www.nba.com/stats/events?CFID=&amp;CFPARAMS=&amp;GameEventID=61&amp;GameID=0021400714&amp;Season=2014-15&amp;flag=1&amp;title=Leonard%201'%20Reverse%20Layup%20(4%20PTS)%20(Diaw%201%20AST)", "Leonard 1' Reverse Layup (4 PTS) (Diaw 1 AST)")</f>
        <v>Leonard 1' Reverse Layup (4 PTS) (Diaw 1 AST)</v>
      </c>
      <c r="K2444" s="2" t="str">
        <f>HYPERLINK("https://www.nba.com/game/...-vs-...-0021400714/play-by-play?watchFullGame=true", "SAS vs LAC - Q1 04:18.00")</f>
        <v>SAS vs LAC - Q1 04:18.00</v>
      </c>
      <c r="L2444">
        <v>1</v>
      </c>
      <c r="M2444">
        <v>7</v>
      </c>
      <c r="N2444">
        <v>11</v>
      </c>
      <c r="O2444">
        <v>7</v>
      </c>
      <c r="P2444">
        <v>11</v>
      </c>
    </row>
    <row r="2445" spans="1:16" x14ac:dyDescent="0.25">
      <c r="A2445">
        <v>22200719</v>
      </c>
      <c r="B2445">
        <v>2022</v>
      </c>
      <c r="C2445" t="s">
        <v>32</v>
      </c>
      <c r="D2445" t="s">
        <v>47</v>
      </c>
      <c r="E2445">
        <v>59</v>
      </c>
      <c r="F2445">
        <v>81</v>
      </c>
      <c r="G2445">
        <v>3</v>
      </c>
      <c r="H2445" s="1">
        <v>7.1180555555555554E-3</v>
      </c>
      <c r="I2445" t="s">
        <v>23</v>
      </c>
      <c r="J2445" s="2" t="str">
        <f>HYPERLINK("https://www.nba.com/stats/events?CFID=&amp;CFPARAMS=&amp;GameEventID=351&amp;GameID=0022200719&amp;Season=2022-23&amp;flag=1&amp;title=Leonard%20driving%20Layup%20(14%20PTS)%20(N.%20Batum%205%20AST)", "Driving Layup (14 PTS) (N. Batum 5 AST)")</f>
        <v>Driving Layup (14 PTS) (N. Batum 5 AST)</v>
      </c>
      <c r="K2445" s="2" t="str">
        <f>HYPERLINK("https://www.nba.com/game/...-vs-...-0022200719/play-by-play?watchFullGame=true", "LAC vs LAL - Q3 10:15.00")</f>
        <v>LAC vs LAL - Q3 10:15.00</v>
      </c>
      <c r="L2445">
        <v>1.53</v>
      </c>
      <c r="M2445">
        <v>7.01</v>
      </c>
      <c r="N2445">
        <v>48.53</v>
      </c>
      <c r="O2445">
        <v>7</v>
      </c>
      <c r="P2445">
        <v>13</v>
      </c>
    </row>
    <row r="2446" spans="1:16" x14ac:dyDescent="0.25">
      <c r="A2446">
        <v>22200639</v>
      </c>
      <c r="B2446">
        <v>2022</v>
      </c>
      <c r="C2446" t="s">
        <v>32</v>
      </c>
      <c r="D2446" t="s">
        <v>47</v>
      </c>
      <c r="E2446">
        <v>15</v>
      </c>
      <c r="F2446">
        <v>9</v>
      </c>
      <c r="G2446">
        <v>1</v>
      </c>
      <c r="H2446" s="1">
        <v>5.6134259259259262E-3</v>
      </c>
      <c r="I2446" t="s">
        <v>23</v>
      </c>
      <c r="J2446" s="2" t="str">
        <f>HYPERLINK("https://www.nba.com/stats/events?CFID=&amp;CFPARAMS=&amp;GameEventID=44&amp;GameID=0022200639&amp;Season=2022-23&amp;flag=1&amp;title=Leonard%20running%20Layup%20(6%20PTS)", "Running Layup (6 PTS)")</f>
        <v>Running Layup (6 PTS)</v>
      </c>
      <c r="K2446" s="2" t="str">
        <f>HYPERLINK("https://www.nba.com/game/...-vs-...-0022200639/play-by-play?watchFullGame=true", "LAC vs DEN - Q1 08:05.00")</f>
        <v>LAC vs DEN - Q1 08:05.00</v>
      </c>
      <c r="L2446">
        <v>1.45</v>
      </c>
      <c r="M2446">
        <v>93.08</v>
      </c>
      <c r="N2446">
        <v>51.47</v>
      </c>
      <c r="O2446">
        <v>7</v>
      </c>
      <c r="P2446">
        <v>13</v>
      </c>
    </row>
    <row r="2447" spans="1:16" x14ac:dyDescent="0.25">
      <c r="A2447">
        <v>22000644</v>
      </c>
      <c r="B2447">
        <v>2020</v>
      </c>
      <c r="C2447" t="s">
        <v>32</v>
      </c>
      <c r="D2447" t="s">
        <v>48</v>
      </c>
      <c r="E2447">
        <v>71</v>
      </c>
      <c r="F2447">
        <v>44</v>
      </c>
      <c r="G2447">
        <v>3</v>
      </c>
      <c r="H2447" s="1">
        <v>7.8703703703703696E-3</v>
      </c>
      <c r="I2447" t="s">
        <v>23</v>
      </c>
      <c r="J2447" s="2" t="str">
        <f>HYPERLINK("https://www.nba.com/stats/events?CFID=&amp;CFPARAMS=&amp;GameEventID=347&amp;GameID=0022000644&amp;Season=2020-21&amp;flag=1&amp;title=Leonard%20running%20DUNK%20(12%20PTS)", "Running DUNK (12 PTS)")</f>
        <v>Running DUNK (12 PTS)</v>
      </c>
      <c r="K2447" s="2" t="str">
        <f>HYPERLINK("https://www.nba.com/game/...-vs-...-0022000644/play-by-play?watchFullGame=true", "LAC vs CHA - Q3 11:20.00")</f>
        <v>LAC vs CHA - Q3 11:20.00</v>
      </c>
      <c r="L2447">
        <v>1.54</v>
      </c>
      <c r="M2447">
        <v>7.05</v>
      </c>
      <c r="N2447">
        <v>48.6</v>
      </c>
      <c r="O2447">
        <v>7</v>
      </c>
      <c r="P2447">
        <v>14</v>
      </c>
    </row>
    <row r="2448" spans="1:16" x14ac:dyDescent="0.25">
      <c r="A2448">
        <v>22000472</v>
      </c>
      <c r="B2448">
        <v>2020</v>
      </c>
      <c r="C2448" t="s">
        <v>32</v>
      </c>
      <c r="D2448" t="s">
        <v>47</v>
      </c>
      <c r="E2448">
        <v>101</v>
      </c>
      <c r="F2448">
        <v>107</v>
      </c>
      <c r="G2448">
        <v>4</v>
      </c>
      <c r="H2448" s="1">
        <v>1.6550925925925926E-3</v>
      </c>
      <c r="I2448" t="s">
        <v>23</v>
      </c>
      <c r="J2448" s="2" t="str">
        <f>HYPERLINK("https://www.nba.com/stats/events?CFID=&amp;CFPARAMS=&amp;GameEventID=572&amp;GameID=0022000472&amp;Season=2020-21&amp;flag=1&amp;title=Leonard%20driving%20finger%20roll%20Layup%20(25%20PTS)%20(P.%20Beverley%203%20AST)", "Driving finger roll Layup (25 PTS) (P. Beverley 3 AST)")</f>
        <v>Driving finger roll Layup (25 PTS) (P. Beverley 3 AST)</v>
      </c>
      <c r="K2448" s="2" t="str">
        <f>HYPERLINK("https://www.nba.com/game/...-vs-...-0022000472/play-by-play?watchFullGame=true", "LAC vs BKN - Q4 02:23.00")</f>
        <v>LAC vs BKN - Q4 02:23.00</v>
      </c>
      <c r="L2448">
        <v>1.66</v>
      </c>
      <c r="M2448">
        <v>7.18</v>
      </c>
      <c r="N2448">
        <v>48.6</v>
      </c>
      <c r="O2448">
        <v>7</v>
      </c>
      <c r="P2448">
        <v>15</v>
      </c>
    </row>
    <row r="2449" spans="1:16" x14ac:dyDescent="0.25">
      <c r="A2449">
        <v>41800303</v>
      </c>
      <c r="B2449" t="s">
        <v>20</v>
      </c>
      <c r="C2449" t="s">
        <v>32</v>
      </c>
      <c r="D2449" t="s">
        <v>73</v>
      </c>
      <c r="E2449">
        <v>8</v>
      </c>
      <c r="F2449">
        <v>5</v>
      </c>
      <c r="G2449">
        <v>1</v>
      </c>
      <c r="H2449" s="1">
        <v>6.4699074074074077E-3</v>
      </c>
      <c r="I2449" t="s">
        <v>21</v>
      </c>
      <c r="J2449" s="2" t="str">
        <f>HYPERLINK("https://www.nba.com/stats/events?CFID=&amp;CFPARAMS=&amp;GameEventID=32&amp;GameID=0041800303&amp;Season=2018-19&amp;flag=1&amp;title=Leonard%202'%20Running%20Finger%20Roll%20Layup%20(2%20PTS)%20(Lowry%201%20AST)", "Leonard 2' Running Finger Roll Layup (2 PTS) (Lowry 1 AST)")</f>
        <v>Leonard 2' Running Finger Roll Layup (2 PTS) (Lowry 1 AST)</v>
      </c>
      <c r="K2449" s="2" t="str">
        <f>HYPERLINK("https://www.nba.com/game/...-vs-...-0041800303/play-by-play?watchFullGame=true", "TOR vs MIL - Q1 09:19.00")</f>
        <v>TOR vs MIL - Q1 09:19.00</v>
      </c>
      <c r="L2449">
        <v>2</v>
      </c>
      <c r="M2449">
        <v>7</v>
      </c>
      <c r="N2449">
        <v>15</v>
      </c>
      <c r="O2449">
        <v>7</v>
      </c>
      <c r="P2449">
        <v>15</v>
      </c>
    </row>
    <row r="2450" spans="1:16" x14ac:dyDescent="0.25">
      <c r="A2450">
        <v>22000328</v>
      </c>
      <c r="B2450">
        <v>2020</v>
      </c>
      <c r="C2450" t="s">
        <v>32</v>
      </c>
      <c r="D2450" t="s">
        <v>48</v>
      </c>
      <c r="E2450">
        <v>47</v>
      </c>
      <c r="F2450">
        <v>48</v>
      </c>
      <c r="G2450">
        <v>2</v>
      </c>
      <c r="H2450" s="1">
        <v>8.2175925925925927E-4</v>
      </c>
      <c r="I2450" t="s">
        <v>23</v>
      </c>
      <c r="J2450" s="2" t="str">
        <f>HYPERLINK("https://www.nba.com/stats/events?CFID=&amp;CFPARAMS=&amp;GameEventID=271&amp;GameID=0022000328&amp;Season=2020-21&amp;flag=1&amp;title=Leonard%20alley-oop%20DUNK%20(16%20PTS)%20(N.%20Batum%202%20AST)", "Alley-oop DUNK (16 PTS) (N. Batum 2 AST)")</f>
        <v>Alley-oop DUNK (16 PTS) (N. Batum 2 AST)</v>
      </c>
      <c r="K2450" s="2" t="str">
        <f>HYPERLINK("https://www.nba.com/game/...-vs-...-0022000328/play-by-play?watchFullGame=true", "LAC vs CLE - Q2 01:11.00")</f>
        <v>LAC vs CLE - Q2 01:11.00</v>
      </c>
      <c r="L2450">
        <v>1.5</v>
      </c>
      <c r="M2450">
        <v>7.18</v>
      </c>
      <c r="N2450">
        <v>50.07</v>
      </c>
      <c r="O2450">
        <v>7</v>
      </c>
      <c r="P2450">
        <v>15</v>
      </c>
    </row>
    <row r="2451" spans="1:16" x14ac:dyDescent="0.25">
      <c r="A2451">
        <v>22000756</v>
      </c>
      <c r="B2451">
        <v>2020</v>
      </c>
      <c r="C2451" t="s">
        <v>32</v>
      </c>
      <c r="D2451" t="s">
        <v>47</v>
      </c>
      <c r="E2451">
        <v>62</v>
      </c>
      <c r="F2451">
        <v>40</v>
      </c>
      <c r="G2451">
        <v>3</v>
      </c>
      <c r="H2451" s="1">
        <v>7.0023148148148145E-3</v>
      </c>
      <c r="I2451" t="s">
        <v>23</v>
      </c>
      <c r="J2451" s="2" t="str">
        <f>HYPERLINK("https://www.nba.com/stats/events?CFID=&amp;CFPARAMS=&amp;GameEventID=351&amp;GameID=0022000756&amp;Season=2020-21&amp;flag=1&amp;title=Leonard%20reverse%20Layup%20(10%20PTS)%20(I.%20Zubac%201%20AST)", "Reverse Layup (10 PTS) (I. Zubac 1 AST)")</f>
        <v>Reverse Layup (10 PTS) (I. Zubac 1 AST)</v>
      </c>
      <c r="K2451" s="2" t="str">
        <f>HYPERLINK("https://www.nba.com/game/...-vs-...-0022000756/play-by-play?watchFullGame=true", "LAC vs LAL - Q3 10:05.00")</f>
        <v>LAC vs LAL - Q3 10:05.00</v>
      </c>
      <c r="L2451">
        <v>1.5</v>
      </c>
      <c r="M2451">
        <v>7.18</v>
      </c>
      <c r="N2451">
        <v>50.07</v>
      </c>
      <c r="O2451">
        <v>7</v>
      </c>
      <c r="P2451">
        <v>15</v>
      </c>
    </row>
    <row r="2452" spans="1:16" x14ac:dyDescent="0.25">
      <c r="A2452">
        <v>22200719</v>
      </c>
      <c r="B2452">
        <v>2022</v>
      </c>
      <c r="C2452" t="s">
        <v>32</v>
      </c>
      <c r="D2452" t="s">
        <v>47</v>
      </c>
      <c r="E2452">
        <v>103</v>
      </c>
      <c r="F2452">
        <v>115</v>
      </c>
      <c r="G2452">
        <v>4</v>
      </c>
      <c r="H2452" s="1">
        <v>4.0740740740740737E-3</v>
      </c>
      <c r="I2452" t="s">
        <v>23</v>
      </c>
      <c r="J2452" s="2" t="str">
        <f>HYPERLINK("https://www.nba.com/stats/events?CFID=&amp;CFPARAMS=&amp;GameEventID=562&amp;GameID=0022200719&amp;Season=2022-23&amp;flag=1&amp;title=Leonard%20Layup%20(20%20PTS)", "Layup (20 PTS)")</f>
        <v>Layup (20 PTS)</v>
      </c>
      <c r="K2452" s="2" t="str">
        <f>HYPERLINK("https://www.nba.com/game/...-vs-...-0022200719/play-by-play?watchFullGame=true", "LAC vs LAL - Q4 05:52.00")</f>
        <v>LAC vs LAL - Q4 05:52.00</v>
      </c>
      <c r="L2452">
        <v>1.59</v>
      </c>
      <c r="M2452">
        <v>7.28</v>
      </c>
      <c r="N2452">
        <v>50</v>
      </c>
      <c r="O2452">
        <v>7</v>
      </c>
      <c r="P2452">
        <v>16</v>
      </c>
    </row>
    <row r="2453" spans="1:16" x14ac:dyDescent="0.25">
      <c r="A2453">
        <v>22200239</v>
      </c>
      <c r="B2453">
        <v>2022</v>
      </c>
      <c r="C2453" t="s">
        <v>32</v>
      </c>
      <c r="D2453" t="s">
        <v>48</v>
      </c>
      <c r="E2453">
        <v>42</v>
      </c>
      <c r="F2453">
        <v>24</v>
      </c>
      <c r="G2453">
        <v>2</v>
      </c>
      <c r="H2453" s="1">
        <v>7.8935185185185185E-3</v>
      </c>
      <c r="I2453" t="s">
        <v>23</v>
      </c>
      <c r="J2453" s="2" t="str">
        <f>HYPERLINK("https://www.nba.com/stats/events?CFID=&amp;CFPARAMS=&amp;GameEventID=155&amp;GameID=0022200239&amp;Season=2022-23&amp;flag=1&amp;title=Leonard%20alley-oop%20DUNK%20(2%20PTS)%20(J.%20Wall%2010%20AST)", "Alley-oop DUNK (2 PTS) (J. Wall 10 AST)")</f>
        <v>Alley-oop DUNK (2 PTS) (J. Wall 10 AST)</v>
      </c>
      <c r="K2453" s="2" t="str">
        <f>HYPERLINK("https://www.nba.com/game/...-vs-...-0022200239/play-by-play?watchFullGame=true", "LAC vs SAS - Q2 11:22.00")</f>
        <v>LAC vs SAS - Q2 11:22.00</v>
      </c>
      <c r="L2453">
        <v>1.78</v>
      </c>
      <c r="M2453">
        <v>92.69</v>
      </c>
      <c r="N2453">
        <v>51.47</v>
      </c>
      <c r="O2453">
        <v>7</v>
      </c>
      <c r="P2453">
        <v>16</v>
      </c>
    </row>
    <row r="2454" spans="1:16" x14ac:dyDescent="0.25">
      <c r="A2454">
        <v>22201004</v>
      </c>
      <c r="B2454">
        <v>2022</v>
      </c>
      <c r="C2454" t="s">
        <v>32</v>
      </c>
      <c r="D2454" t="s">
        <v>48</v>
      </c>
      <c r="E2454">
        <v>106</v>
      </c>
      <c r="F2454">
        <v>95</v>
      </c>
      <c r="G2454">
        <v>4</v>
      </c>
      <c r="H2454" s="1">
        <v>4.7222222222222218E-4</v>
      </c>
      <c r="I2454" t="s">
        <v>23</v>
      </c>
      <c r="J2454" s="2" t="str">
        <f>HYPERLINK("https://www.nba.com/stats/events?CFID=&amp;CFPARAMS=&amp;GameEventID=607&amp;GameID=0022201004&amp;Season=2022-23&amp;flag=1&amp;title=Leonard%20driving%20DUNK%20(38%20PTS)", "Driving DUNK (38 PTS)")</f>
        <v>Driving DUNK (38 PTS)</v>
      </c>
      <c r="K2454" s="2" t="str">
        <f>HYPERLINK("https://www.nba.com/game/...-vs-...-0022201004/play-by-play?watchFullGame=true", "LAC vs NYK - Q4 00:40.80")</f>
        <v>LAC vs NYK - Q4 00:40.80</v>
      </c>
      <c r="L2454">
        <v>1.59</v>
      </c>
      <c r="M2454">
        <v>7.28</v>
      </c>
      <c r="N2454">
        <v>50</v>
      </c>
      <c r="O2454">
        <v>7</v>
      </c>
      <c r="P2454">
        <v>16</v>
      </c>
    </row>
    <row r="2455" spans="1:16" x14ac:dyDescent="0.25">
      <c r="A2455">
        <v>22301064</v>
      </c>
      <c r="B2455">
        <v>2023</v>
      </c>
      <c r="C2455" t="s">
        <v>32</v>
      </c>
      <c r="D2455" t="s">
        <v>44</v>
      </c>
      <c r="E2455">
        <v>39</v>
      </c>
      <c r="F2455">
        <v>45</v>
      </c>
      <c r="G2455">
        <v>2</v>
      </c>
      <c r="H2455" s="1">
        <v>3.6689814814814814E-3</v>
      </c>
      <c r="I2455" t="s">
        <v>23</v>
      </c>
      <c r="J2455" s="2" t="str">
        <f>HYPERLINK("https://www.nba.com/stats/events?CFID=&amp;CFPARAMS=&amp;GameEventID=252&amp;GameID=0022301064&amp;Season=2023-24&amp;flag=1&amp;title=Leonard%20driving%20bank%20Hook%20(6%20PTS)", "Driving bank Hook (6 PTS)")</f>
        <v>Driving bank Hook (6 PTS)</v>
      </c>
      <c r="K2455" s="2" t="str">
        <f>HYPERLINK("https://www.nba.com/game/...-vs-...-0022301064/play-by-play?watchFullGame=true", "LAC vs ORL - Q2 05:17.00")</f>
        <v>LAC vs ORL - Q2 05:17.00</v>
      </c>
      <c r="L2455">
        <v>1.89</v>
      </c>
      <c r="M2455">
        <v>7.44</v>
      </c>
      <c r="N2455">
        <v>48.53</v>
      </c>
      <c r="O2455">
        <v>7</v>
      </c>
      <c r="P2455">
        <v>17</v>
      </c>
    </row>
    <row r="2456" spans="1:16" x14ac:dyDescent="0.25">
      <c r="A2456">
        <v>21901241</v>
      </c>
      <c r="B2456">
        <v>2019</v>
      </c>
      <c r="C2456" t="s">
        <v>32</v>
      </c>
      <c r="D2456" t="s">
        <v>65</v>
      </c>
      <c r="E2456">
        <v>22</v>
      </c>
      <c r="F2456">
        <v>8</v>
      </c>
      <c r="G2456">
        <v>1</v>
      </c>
      <c r="H2456" s="1">
        <v>5.0694444444444441E-3</v>
      </c>
      <c r="I2456" t="s">
        <v>23</v>
      </c>
      <c r="J2456" s="2" t="str">
        <f>HYPERLINK("https://www.nba.com/stats/events?CFID=&amp;CFPARAMS=&amp;GameEventID=51&amp;GameID=0021901241&amp;Season=2019-20&amp;flag=1&amp;title=Leonard%20dunk%20(7%20PTS)%20(P.%20Beverley%201%20AST)", "Dunk (7 PTS) (P. Beverley 1 AST)")</f>
        <v>Dunk (7 PTS) (P. Beverley 1 AST)</v>
      </c>
      <c r="K2456" s="2" t="str">
        <f>HYPERLINK("https://www.nba.com/game/...-vs-...-0021901241/play-by-play?watchFullGame=true", "LAC vs NOP - Q1 07:18.00")</f>
        <v>LAC vs NOP - Q1 07:18.00</v>
      </c>
      <c r="L2456">
        <v>2.39</v>
      </c>
      <c r="M2456">
        <v>7.44</v>
      </c>
      <c r="N2456">
        <v>48.6</v>
      </c>
      <c r="O2456">
        <v>7</v>
      </c>
      <c r="P2456">
        <v>17</v>
      </c>
    </row>
    <row r="2457" spans="1:16" x14ac:dyDescent="0.25">
      <c r="A2457">
        <v>22201196</v>
      </c>
      <c r="B2457">
        <v>2022</v>
      </c>
      <c r="C2457" t="s">
        <v>32</v>
      </c>
      <c r="D2457" t="s">
        <v>48</v>
      </c>
      <c r="E2457">
        <v>112</v>
      </c>
      <c r="F2457">
        <v>92</v>
      </c>
      <c r="G2457">
        <v>4</v>
      </c>
      <c r="H2457" s="1">
        <v>4.5717592592592589E-3</v>
      </c>
      <c r="I2457" t="s">
        <v>23</v>
      </c>
      <c r="J2457" s="2" t="str">
        <f>HYPERLINK("https://www.nba.com/stats/events?CFID=&amp;CFPARAMS=&amp;GameEventID=529&amp;GameID=0022201196&amp;Season=2022-23&amp;flag=1&amp;title=Leonard%20running%20alley-oop%20DUNK%20(23%20PTS)%20(N.%20Powell%204%20AST)", "Running alley-oop DUNK (23 PTS) (N. Powell 4 AST)")</f>
        <v>Running alley-oop DUNK (23 PTS) (N. Powell 4 AST)</v>
      </c>
      <c r="K2457" s="2" t="str">
        <f>HYPERLINK("https://www.nba.com/game/...-vs-...-0022201196/play-by-play?watchFullGame=true", "LAC vs LAL - Q4 06:35.00")</f>
        <v>LAC vs LAL - Q4 06:35.00</v>
      </c>
      <c r="L2457">
        <v>1.98</v>
      </c>
      <c r="M2457">
        <v>7.54</v>
      </c>
      <c r="N2457">
        <v>48.53</v>
      </c>
      <c r="O2457">
        <v>7</v>
      </c>
      <c r="P2457">
        <v>18</v>
      </c>
    </row>
    <row r="2458" spans="1:16" x14ac:dyDescent="0.25">
      <c r="A2458">
        <v>21600834</v>
      </c>
      <c r="B2458">
        <v>2016</v>
      </c>
      <c r="C2458" t="s">
        <v>32</v>
      </c>
      <c r="D2458" t="s">
        <v>49</v>
      </c>
      <c r="E2458">
        <v>8</v>
      </c>
      <c r="F2458">
        <v>18</v>
      </c>
      <c r="G2458">
        <v>1</v>
      </c>
      <c r="H2458" s="1">
        <v>2.7893518518518519E-3</v>
      </c>
      <c r="I2458" t="s">
        <v>18</v>
      </c>
      <c r="J2458" s="2" t="str">
        <f>HYPERLINK("https://www.nba.com/stats/events?CFID=&amp;CFPARAMS=&amp;GameEventID=64&amp;GameID=0021600834&amp;Season=2016-17&amp;flag=1&amp;title=Leonard%202'%20Driving%20Layup%20(4%20PTS)", "Leonard 2' Driving Layup (4 PTS)")</f>
        <v>Leonard 2' Driving Layup (4 PTS)</v>
      </c>
      <c r="K2458" s="2" t="str">
        <f>HYPERLINK("https://www.nba.com/game/...-vs-...-0021600834/play-by-play?watchFullGame=true", "SAS vs ORL - Q1 04:01.00")</f>
        <v>SAS vs ORL - Q1 04:01.00</v>
      </c>
      <c r="L2458">
        <v>2</v>
      </c>
      <c r="M2458">
        <v>7</v>
      </c>
      <c r="N2458">
        <v>18</v>
      </c>
      <c r="O2458">
        <v>7</v>
      </c>
      <c r="P2458">
        <v>18</v>
      </c>
    </row>
    <row r="2459" spans="1:16" x14ac:dyDescent="0.25">
      <c r="A2459">
        <v>21300208</v>
      </c>
      <c r="B2459">
        <v>2013</v>
      </c>
      <c r="C2459" t="s">
        <v>32</v>
      </c>
      <c r="D2459" t="s">
        <v>51</v>
      </c>
      <c r="E2459">
        <v>53</v>
      </c>
      <c r="F2459">
        <v>37</v>
      </c>
      <c r="G2459">
        <v>2</v>
      </c>
      <c r="H2459" s="1">
        <v>9.1435185185185185E-4</v>
      </c>
      <c r="I2459" t="s">
        <v>18</v>
      </c>
      <c r="J2459" s="2" t="str">
        <f>HYPERLINK("https://www.nba.com/stats/events?CFID=&amp;CFPARAMS=&amp;GameEventID=242&amp;GameID=0021300208&amp;Season=2013-14&amp;flag=1&amp;title=Leonard%202'%20Reverse%20Layup%20(2%20PTS)%20(Green%201%20AST)", "Leonard 2' Reverse Layup (2 PTS) (Green 1 AST)")</f>
        <v>Leonard 2' Reverse Layup (2 PTS) (Green 1 AST)</v>
      </c>
      <c r="K2459" s="2" t="str">
        <f>HYPERLINK("https://www.nba.com/game/...-vs-...-0021300208/play-by-play?watchFullGame=true", "SAS vs NOP - Q2 01:19.00")</f>
        <v>SAS vs NOP - Q2 01:19.00</v>
      </c>
      <c r="L2459">
        <v>2</v>
      </c>
      <c r="M2459">
        <v>7</v>
      </c>
      <c r="N2459">
        <v>19</v>
      </c>
      <c r="O2459">
        <v>7</v>
      </c>
      <c r="P2459">
        <v>19</v>
      </c>
    </row>
    <row r="2460" spans="1:16" x14ac:dyDescent="0.25">
      <c r="A2460">
        <v>21400867</v>
      </c>
      <c r="B2460">
        <v>2014</v>
      </c>
      <c r="C2460" t="s">
        <v>32</v>
      </c>
      <c r="D2460" t="s">
        <v>55</v>
      </c>
      <c r="E2460">
        <v>33</v>
      </c>
      <c r="F2460">
        <v>29</v>
      </c>
      <c r="G2460">
        <v>2</v>
      </c>
      <c r="H2460" s="1">
        <v>4.8495370370370368E-3</v>
      </c>
      <c r="I2460" t="s">
        <v>18</v>
      </c>
      <c r="J2460" s="2" t="str">
        <f>HYPERLINK("https://www.nba.com/stats/events?CFID=&amp;CFPARAMS=&amp;GameEventID=184&amp;GameID=0021400867&amp;Season=2014-15&amp;flag=1&amp;title=Leonard%202'%20Driving%20Reverse%20Layup%20(11%20PTS)", "Leonard 2' Driving Reverse Layup (11 PTS)")</f>
        <v>Leonard 2' Driving Reverse Layup (11 PTS)</v>
      </c>
      <c r="K2460" s="2" t="str">
        <f>HYPERLINK("https://www.nba.com/game/...-vs-...-0021400867/play-by-play?watchFullGame=true", "SAS vs SAC - Q2 06:59.00")</f>
        <v>SAS vs SAC - Q2 06:59.00</v>
      </c>
      <c r="L2460">
        <v>2</v>
      </c>
      <c r="M2460">
        <v>7</v>
      </c>
      <c r="N2460">
        <v>22</v>
      </c>
      <c r="O2460">
        <v>7</v>
      </c>
      <c r="P2460">
        <v>22</v>
      </c>
    </row>
    <row r="2461" spans="1:16" x14ac:dyDescent="0.25">
      <c r="A2461">
        <v>21300573</v>
      </c>
      <c r="B2461">
        <v>2013</v>
      </c>
      <c r="C2461" t="s">
        <v>32</v>
      </c>
      <c r="D2461" t="s">
        <v>57</v>
      </c>
      <c r="E2461">
        <v>40</v>
      </c>
      <c r="F2461">
        <v>40</v>
      </c>
      <c r="G2461">
        <v>2</v>
      </c>
      <c r="H2461" s="1">
        <v>2.673611111111111E-3</v>
      </c>
      <c r="I2461" t="s">
        <v>18</v>
      </c>
      <c r="J2461" s="2" t="str">
        <f>HYPERLINK("https://www.nba.com/stats/events?CFID=&amp;CFPARAMS=&amp;GameEventID=198&amp;GameID=0021300573&amp;Season=2013-14&amp;flag=1&amp;title=Leonard%203'%20Layup%20(9%20PTS)%20(Duncan%203%20AST)", "Leonard 3' Layup (9 PTS) (Duncan 3 AST)")</f>
        <v>Leonard 3' Layup (9 PTS) (Duncan 3 AST)</v>
      </c>
      <c r="K2461" s="2" t="str">
        <f>HYPERLINK("https://www.nba.com/game/...-vs-...-0021300573/play-by-play?watchFullGame=true", "SAS vs UTA - Q2 03:51.00")</f>
        <v>SAS vs UTA - Q2 03:51.00</v>
      </c>
      <c r="L2461">
        <v>3</v>
      </c>
      <c r="M2461">
        <v>7</v>
      </c>
      <c r="N2461">
        <v>25</v>
      </c>
      <c r="O2461">
        <v>7</v>
      </c>
      <c r="P2461">
        <v>25</v>
      </c>
    </row>
    <row r="2462" spans="1:16" x14ac:dyDescent="0.25">
      <c r="A2462">
        <v>22001002</v>
      </c>
      <c r="B2462">
        <v>2020</v>
      </c>
      <c r="C2462" t="s">
        <v>32</v>
      </c>
      <c r="D2462" t="s">
        <v>47</v>
      </c>
      <c r="E2462">
        <v>106</v>
      </c>
      <c r="F2462">
        <v>84</v>
      </c>
      <c r="G2462">
        <v>4</v>
      </c>
      <c r="H2462" s="1">
        <v>3.0208333333333333E-3</v>
      </c>
      <c r="I2462" t="s">
        <v>23</v>
      </c>
      <c r="J2462" s="2" t="str">
        <f>HYPERLINK("https://www.nba.com/stats/events?CFID=&amp;CFPARAMS=&amp;GameEventID=572&amp;GameID=0022001002&amp;Season=2020-21&amp;flag=1&amp;title=Leonard%20driving%20Layup%20(15%20PTS)", "Driving Layup (15 PTS)")</f>
        <v>Driving Layup (15 PTS)</v>
      </c>
      <c r="K2462" s="2" t="str">
        <f>HYPERLINK("https://www.nba.com/game/...-vs-...-0022001002/play-by-play?watchFullGame=true", "LAC vs LAL - Q4 04:21.00")</f>
        <v>LAC vs LAL - Q4 04:21.00</v>
      </c>
      <c r="L2462">
        <v>2.82</v>
      </c>
      <c r="M2462">
        <v>8.49</v>
      </c>
      <c r="N2462">
        <v>48.6</v>
      </c>
      <c r="O2462">
        <v>7</v>
      </c>
      <c r="P2462">
        <v>27</v>
      </c>
    </row>
    <row r="2463" spans="1:16" x14ac:dyDescent="0.25">
      <c r="A2463">
        <v>21401098</v>
      </c>
      <c r="B2463">
        <v>2014</v>
      </c>
      <c r="C2463" t="s">
        <v>32</v>
      </c>
      <c r="D2463" t="s">
        <v>19</v>
      </c>
      <c r="E2463">
        <v>2</v>
      </c>
      <c r="F2463">
        <v>0</v>
      </c>
      <c r="G2463">
        <v>1</v>
      </c>
      <c r="H2463" s="1">
        <v>8.1365740740740738E-3</v>
      </c>
      <c r="I2463" t="s">
        <v>18</v>
      </c>
      <c r="J2463" s="2" t="str">
        <f>HYPERLINK("https://www.nba.com/stats/events?CFID=&amp;CFPARAMS=&amp;GameEventID=3&amp;GameID=0021401098&amp;Season=2014-15&amp;flag=1&amp;title=Leonard%204'%20Jump%20Shot%20(2%20PTS)%20(Parker%201%20AST)", "Leonard 4' Jump Shot (2 PTS) (Parker 1 AST)")</f>
        <v>Leonard 4' Jump Shot (2 PTS) (Parker 1 AST)</v>
      </c>
      <c r="K2463" s="2" t="str">
        <f>HYPERLINK("https://www.nba.com/game/...-vs-...-0021401098/play-by-play?watchFullGame=true", "SAS vs MEM - Q1 11:43.00")</f>
        <v>SAS vs MEM - Q1 11:43.00</v>
      </c>
      <c r="L2463">
        <v>4</v>
      </c>
      <c r="M2463">
        <v>7</v>
      </c>
      <c r="N2463">
        <v>44</v>
      </c>
      <c r="O2463">
        <v>7</v>
      </c>
      <c r="P2463">
        <v>44</v>
      </c>
    </row>
    <row r="2464" spans="1:16" x14ac:dyDescent="0.25">
      <c r="A2464">
        <v>21400624</v>
      </c>
      <c r="B2464">
        <v>2014</v>
      </c>
      <c r="C2464" t="s">
        <v>32</v>
      </c>
      <c r="D2464" t="s">
        <v>43</v>
      </c>
      <c r="E2464">
        <v>20</v>
      </c>
      <c r="F2464">
        <v>18</v>
      </c>
      <c r="G2464">
        <v>1</v>
      </c>
      <c r="H2464" s="1">
        <v>8.9120370370370373E-4</v>
      </c>
      <c r="I2464" t="s">
        <v>18</v>
      </c>
      <c r="J2464" s="2" t="str">
        <f>HYPERLINK("https://www.nba.com/stats/events?CFID=&amp;CFPARAMS=&amp;GameEventID=122&amp;GameID=0021400624&amp;Season=2014-15&amp;flag=1&amp;title=Leonard%205'%20Turnaround%20Hook%20Shot%20(4%20PTS)", "Leonard 5' Turnaround Hook Shot (4 PTS)")</f>
        <v>Leonard 5' Turnaround Hook Shot (4 PTS)</v>
      </c>
      <c r="K2464" s="2" t="str">
        <f>HYPERLINK("https://www.nba.com/game/...-vs-...-0021400624/play-by-play?watchFullGame=true", "SAS vs DEN - Q1 01:17.00")</f>
        <v>SAS vs DEN - Q1 01:17.00</v>
      </c>
      <c r="L2464">
        <v>5</v>
      </c>
      <c r="M2464">
        <v>7</v>
      </c>
      <c r="N2464">
        <v>45</v>
      </c>
      <c r="O2464">
        <v>7</v>
      </c>
      <c r="P2464">
        <v>45</v>
      </c>
    </row>
    <row r="2465" spans="1:16" x14ac:dyDescent="0.25">
      <c r="A2465">
        <v>42300172</v>
      </c>
      <c r="B2465" t="s">
        <v>84</v>
      </c>
      <c r="C2465" t="s">
        <v>32</v>
      </c>
      <c r="D2465" t="s">
        <v>47</v>
      </c>
      <c r="E2465">
        <v>90</v>
      </c>
      <c r="F2465">
        <v>93</v>
      </c>
      <c r="G2465">
        <v>4</v>
      </c>
      <c r="H2465" s="1">
        <v>2.3726851851851852E-4</v>
      </c>
      <c r="I2465" t="s">
        <v>23</v>
      </c>
      <c r="J2465" s="2" t="str">
        <f>HYPERLINK("https://www.nba.com/stats/events?CFID=&amp;CFPARAMS=&amp;GameEventID=675&amp;GameID=0042300172&amp;Season=2023-24&amp;flag=1&amp;title=Leonard%20cutting%20Layup%20(15%20PTS)%20(J.%20Harden%208%20AST)", "Cutting Layup (15 PTS) (J. Harden 8 AST)")</f>
        <v>Cutting Layup (15 PTS) (J. Harden 8 AST)</v>
      </c>
      <c r="K2465" s="2" t="str">
        <f>HYPERLINK("https://www.nba.com/game/...-vs-...-0042300172/play-by-play?watchFullGame=true", "LAC vs DAL - Q4 00:20.50")</f>
        <v>LAC vs DAL - Q4 00:20.50</v>
      </c>
      <c r="L2465">
        <v>2.77</v>
      </c>
      <c r="M2465">
        <v>7.67</v>
      </c>
      <c r="N2465">
        <v>46.08</v>
      </c>
      <c r="O2465">
        <v>7</v>
      </c>
      <c r="P2465">
        <v>46</v>
      </c>
    </row>
    <row r="2466" spans="1:16" x14ac:dyDescent="0.25">
      <c r="A2466">
        <v>42000175</v>
      </c>
      <c r="B2466" t="s">
        <v>83</v>
      </c>
      <c r="C2466" t="s">
        <v>32</v>
      </c>
      <c r="D2466" t="s">
        <v>47</v>
      </c>
      <c r="E2466">
        <v>99</v>
      </c>
      <c r="F2466">
        <v>101</v>
      </c>
      <c r="G2466">
        <v>4</v>
      </c>
      <c r="H2466" s="1">
        <v>4.5717592592592592E-4</v>
      </c>
      <c r="I2466" t="s">
        <v>23</v>
      </c>
      <c r="J2466" s="2" t="str">
        <f>HYPERLINK("https://www.nba.com/stats/events?CFID=&amp;CFPARAMS=&amp;GameEventID=644&amp;GameID=0042000175&amp;Season=2020-21&amp;flag=1&amp;title=Leonard%20driving%20Layup%20(19%20PTS)%20(P.%20George%206%20AST)", "Driving Layup (19 PTS) (P. George 6 AST)")</f>
        <v>Driving Layup (19 PTS) (P. George 6 AST)</v>
      </c>
      <c r="K2466" s="2" t="str">
        <f>HYPERLINK("https://www.nba.com/game/...-vs-...-0042000175/play-by-play?watchFullGame=true", "LAC vs DAL - Q4 00:39.50")</f>
        <v>LAC vs DAL - Q4 00:39.50</v>
      </c>
      <c r="L2466">
        <v>2.15</v>
      </c>
      <c r="M2466">
        <v>7.57</v>
      </c>
      <c r="N2466">
        <v>47.86</v>
      </c>
      <c r="O2466">
        <v>7</v>
      </c>
      <c r="P2466">
        <v>47</v>
      </c>
    </row>
    <row r="2467" spans="1:16" x14ac:dyDescent="0.25">
      <c r="A2467">
        <v>42000221</v>
      </c>
      <c r="B2467" t="s">
        <v>85</v>
      </c>
      <c r="C2467" t="s">
        <v>32</v>
      </c>
      <c r="D2467" t="s">
        <v>47</v>
      </c>
      <c r="E2467">
        <v>10</v>
      </c>
      <c r="F2467">
        <v>9</v>
      </c>
      <c r="G2467">
        <v>1</v>
      </c>
      <c r="H2467" s="1">
        <v>5.5787037037037038E-3</v>
      </c>
      <c r="I2467" t="s">
        <v>23</v>
      </c>
      <c r="J2467" s="2" t="str">
        <f>HYPERLINK("https://www.nba.com/stats/events?CFID=&amp;CFPARAMS=&amp;GameEventID=41&amp;GameID=0042000221&amp;Season=2020-21&amp;flag=1&amp;title=Leonard%20putback%20Layup%20(2%20PTS)", "Putback Layup (2 PTS)")</f>
        <v>Putback Layup (2 PTS)</v>
      </c>
      <c r="K2467" s="2" t="str">
        <f>HYPERLINK("https://www.nba.com/game/...-vs-...-0042000221/play-by-play?watchFullGame=true", "LAC vs UTA - Q1 08:02.00")</f>
        <v>LAC vs UTA - Q1 08:02.00</v>
      </c>
      <c r="L2467">
        <v>2.5499999999999998</v>
      </c>
      <c r="M2467">
        <v>7.84</v>
      </c>
      <c r="N2467">
        <v>47.13</v>
      </c>
      <c r="O2467">
        <v>7</v>
      </c>
      <c r="P2467">
        <v>47</v>
      </c>
    </row>
    <row r="2468" spans="1:16" x14ac:dyDescent="0.25">
      <c r="A2468">
        <v>21900626</v>
      </c>
      <c r="B2468">
        <v>2019</v>
      </c>
      <c r="C2468" t="s">
        <v>32</v>
      </c>
      <c r="D2468" t="s">
        <v>50</v>
      </c>
      <c r="E2468">
        <v>70</v>
      </c>
      <c r="F2468">
        <v>67</v>
      </c>
      <c r="G2468">
        <v>2</v>
      </c>
      <c r="H2468" s="1">
        <v>1.0532407407407407E-3</v>
      </c>
      <c r="I2468" t="s">
        <v>23</v>
      </c>
      <c r="J2468" s="2" t="str">
        <f>HYPERLINK("https://www.nba.com/stats/events?CFID=&amp;CFPARAMS=&amp;GameEventID=355&amp;GameID=0021900626&amp;Season=2019-20&amp;flag=1&amp;title=Leonard%20layup%20(21%20PTS)%20(P.%20Beverley%206%20AST)", "Layup (21 PTS) (P. Beverley 6 AST)")</f>
        <v>Layup (21 PTS) (P. Beverley 6 AST)</v>
      </c>
      <c r="K2468" s="2" t="str">
        <f>HYPERLINK("https://www.nba.com/game/...-vs-...-0021900626/play-by-play?watchFullGame=true", "LAC vs NOP - Q2 01:31.00")</f>
        <v>LAC vs NOP - Q2 01:31.00</v>
      </c>
      <c r="L2468">
        <v>0.9</v>
      </c>
      <c r="M2468">
        <v>5.6</v>
      </c>
      <c r="N2468">
        <v>48.6</v>
      </c>
      <c r="O2468">
        <v>7</v>
      </c>
      <c r="P2468">
        <v>48</v>
      </c>
    </row>
    <row r="2469" spans="1:16" x14ac:dyDescent="0.25">
      <c r="A2469">
        <v>22300676</v>
      </c>
      <c r="B2469">
        <v>2023</v>
      </c>
      <c r="C2469" t="s">
        <v>32</v>
      </c>
      <c r="D2469" t="s">
        <v>47</v>
      </c>
      <c r="E2469">
        <v>60</v>
      </c>
      <c r="F2469">
        <v>71</v>
      </c>
      <c r="G2469">
        <v>3</v>
      </c>
      <c r="H2469" s="1">
        <v>7.3032407407407404E-3</v>
      </c>
      <c r="I2469" t="s">
        <v>23</v>
      </c>
      <c r="J2469" s="2" t="str">
        <f>HYPERLINK("https://www.nba.com/stats/events?CFID=&amp;CFPARAMS=&amp;GameEventID=326&amp;GameID=0022300676&amp;Season=2023-24&amp;flag=1&amp;title=Leonard%20putback%20Layup%20(21%20PTS)", "Putback Layup (21 PTS)")</f>
        <v>Putback Layup (21 PTS)</v>
      </c>
      <c r="K2469" s="2" t="str">
        <f>HYPERLINK("https://www.nba.com/game/...-vs-...-0022300676/play-by-play?watchFullGame=true", "LAC vs WAS - Q3 10:31.00")</f>
        <v>LAC vs WAS - Q3 10:31.00</v>
      </c>
      <c r="L2469">
        <v>0.74</v>
      </c>
      <c r="M2469">
        <v>5.6</v>
      </c>
      <c r="N2469">
        <v>48.53</v>
      </c>
      <c r="O2469">
        <v>7</v>
      </c>
      <c r="P2469">
        <v>48</v>
      </c>
    </row>
    <row r="2470" spans="1:16" x14ac:dyDescent="0.25">
      <c r="A2470">
        <v>42000224</v>
      </c>
      <c r="B2470" t="s">
        <v>85</v>
      </c>
      <c r="C2470" t="s">
        <v>32</v>
      </c>
      <c r="D2470" t="s">
        <v>48</v>
      </c>
      <c r="E2470">
        <v>62</v>
      </c>
      <c r="F2470">
        <v>38</v>
      </c>
      <c r="G2470">
        <v>2</v>
      </c>
      <c r="H2470" s="1">
        <v>9.7222222222222219E-4</v>
      </c>
      <c r="I2470" t="s">
        <v>23</v>
      </c>
      <c r="J2470" s="2" t="str">
        <f>HYPERLINK("https://www.nba.com/stats/events?CFID=&amp;CFPARAMS=&amp;GameEventID=290&amp;GameID=0042000224&amp;Season=2020-21&amp;flag=1&amp;title=Leonard%20driving%20DUNK%20(19%20PTS)%20(P.%20Beverley%202%20AST)", "Driving DUNK (19 PTS) (P. Beverley 2 AST)")</f>
        <v>Driving DUNK (19 PTS) (P. Beverley 2 AST)</v>
      </c>
      <c r="K2470" s="2" t="str">
        <f>HYPERLINK("https://www.nba.com/game/...-vs-...-0042000224/play-by-play?watchFullGame=true", "LAC vs UTA - Q2 01:24.00")</f>
        <v>LAC vs UTA - Q2 01:24.00</v>
      </c>
      <c r="L2470">
        <v>1.48</v>
      </c>
      <c r="M2470">
        <v>7.15</v>
      </c>
      <c r="N2470">
        <v>49.69</v>
      </c>
      <c r="O2470">
        <v>7</v>
      </c>
      <c r="P2470">
        <v>49</v>
      </c>
    </row>
    <row r="2471" spans="1:16" x14ac:dyDescent="0.25">
      <c r="A2471">
        <v>42000224</v>
      </c>
      <c r="B2471" t="s">
        <v>85</v>
      </c>
      <c r="C2471" t="s">
        <v>32</v>
      </c>
      <c r="D2471" t="s">
        <v>47</v>
      </c>
      <c r="E2471">
        <v>10</v>
      </c>
      <c r="F2471">
        <v>2</v>
      </c>
      <c r="G2471">
        <v>1</v>
      </c>
      <c r="H2471" s="1">
        <v>6.8055555555555551E-3</v>
      </c>
      <c r="I2471" t="s">
        <v>23</v>
      </c>
      <c r="J2471" s="2" t="str">
        <f>HYPERLINK("https://www.nba.com/stats/events?CFID=&amp;CFPARAMS=&amp;GameEventID=26&amp;GameID=0042000224&amp;Season=2020-21&amp;flag=1&amp;title=Leonard%20running%20Layup%20(5%20PTS)%20(P.%20George%202%20AST)", "Running Layup (5 PTS) (P. George 2 AST)")</f>
        <v>Running Layup (5 PTS) (P. George 2 AST)</v>
      </c>
      <c r="K2471" s="2" t="str">
        <f>HYPERLINK("https://www.nba.com/game/...-vs-...-0042000224/play-by-play?watchFullGame=true", "LAC vs UTA - Q1 09:48.00")</f>
        <v>LAC vs UTA - Q1 09:48.00</v>
      </c>
      <c r="L2471">
        <v>2.21</v>
      </c>
      <c r="M2471">
        <v>7.93</v>
      </c>
      <c r="N2471">
        <v>50.18</v>
      </c>
      <c r="O2471">
        <v>7</v>
      </c>
      <c r="P2471">
        <v>50</v>
      </c>
    </row>
    <row r="2472" spans="1:16" x14ac:dyDescent="0.25">
      <c r="A2472">
        <v>42000171</v>
      </c>
      <c r="B2472" t="s">
        <v>83</v>
      </c>
      <c r="C2472" t="s">
        <v>32</v>
      </c>
      <c r="D2472" t="s">
        <v>47</v>
      </c>
      <c r="E2472">
        <v>78</v>
      </c>
      <c r="F2472">
        <v>82</v>
      </c>
      <c r="G2472">
        <v>3</v>
      </c>
      <c r="H2472" s="1">
        <v>5.6481481481481476E-4</v>
      </c>
      <c r="I2472" t="s">
        <v>23</v>
      </c>
      <c r="J2472" s="2" t="str">
        <f>HYPERLINK("https://www.nba.com/stats/events?CFID=&amp;CFPARAMS=&amp;GameEventID=430&amp;GameID=0042000171&amp;Season=2020-21&amp;flag=1&amp;title=Leonard%20running%20finger%20roll%20Layup%20(23%20PTS)%20(R.%20Rondo%202%20AST)", "Running finger roll Layup (23 PTS) (R. Rondo 2 AST)")</f>
        <v>Running finger roll Layup (23 PTS) (R. Rondo 2 AST)</v>
      </c>
      <c r="K2472" s="2" t="str">
        <f>HYPERLINK("https://www.nba.com/game/...-vs-...-0042000171/play-by-play?watchFullGame=true", "LAC vs DAL - Q3 00:48.80")</f>
        <v>LAC vs DAL - Q3 00:48.80</v>
      </c>
      <c r="L2472">
        <v>1.63</v>
      </c>
      <c r="M2472">
        <v>7.18</v>
      </c>
      <c r="N2472">
        <v>51.29</v>
      </c>
      <c r="O2472">
        <v>7</v>
      </c>
      <c r="P2472">
        <v>51</v>
      </c>
    </row>
    <row r="2473" spans="1:16" x14ac:dyDescent="0.25">
      <c r="A2473">
        <v>22301079</v>
      </c>
      <c r="B2473">
        <v>2023</v>
      </c>
      <c r="C2473" t="s">
        <v>32</v>
      </c>
      <c r="D2473" t="s">
        <v>19</v>
      </c>
      <c r="E2473">
        <v>80</v>
      </c>
      <c r="F2473">
        <v>88</v>
      </c>
      <c r="G2473">
        <v>3</v>
      </c>
      <c r="H2473" s="1">
        <v>2.3032407407407407E-3</v>
      </c>
      <c r="I2473" t="s">
        <v>23</v>
      </c>
      <c r="J2473" s="2" t="str">
        <f>HYPERLINK("https://www.nba.com/stats/events?CFID=&amp;CFPARAMS=&amp;GameEventID=393&amp;GameID=0022301079&amp;Season=2023-24&amp;flag=1&amp;title=Leonard%20step%20back%20Jump%20Shot%20(15%20PTS)", "Step back Jump Shot (15 PTS)")</f>
        <v>Step back Jump Shot (15 PTS)</v>
      </c>
      <c r="K2473" s="2" t="str">
        <f>HYPERLINK("https://www.nba.com/game/...-vs-...-0022301079/play-by-play?watchFullGame=true", "LAC vs CHA - Q3 03:19.00")</f>
        <v>LAC vs CHA - Q3 03:19.00</v>
      </c>
      <c r="L2473">
        <v>5.38</v>
      </c>
      <c r="M2473">
        <v>11.25</v>
      </c>
      <c r="N2473">
        <v>48.53</v>
      </c>
      <c r="O2473">
        <v>7</v>
      </c>
      <c r="P2473">
        <v>53</v>
      </c>
    </row>
    <row r="2474" spans="1:16" x14ac:dyDescent="0.25">
      <c r="A2474">
        <v>42000223</v>
      </c>
      <c r="B2474" t="s">
        <v>85</v>
      </c>
      <c r="C2474" t="s">
        <v>32</v>
      </c>
      <c r="D2474" t="s">
        <v>47</v>
      </c>
      <c r="E2474">
        <v>12</v>
      </c>
      <c r="F2474">
        <v>10</v>
      </c>
      <c r="G2474">
        <v>1</v>
      </c>
      <c r="H2474" s="1">
        <v>3.8888888888888888E-3</v>
      </c>
      <c r="I2474" t="s">
        <v>23</v>
      </c>
      <c r="J2474" s="2" t="str">
        <f>HYPERLINK("https://www.nba.com/stats/events?CFID=&amp;CFPARAMS=&amp;GameEventID=66&amp;GameID=0042000223&amp;Season=2020-21&amp;flag=1&amp;title=Leonard%20driving%20reverse%20Layup%20(2%20PTS)%20(N.%20Batum%201%20AST)", "Driving reverse Layup (2 PTS) (N. Batum 1 AST)")</f>
        <v>Driving reverse Layup (2 PTS) (N. Batum 1 AST)</v>
      </c>
      <c r="K2474" s="2" t="str">
        <f>HYPERLINK("https://www.nba.com/game/...-vs-...-0042000223/play-by-play?watchFullGame=true", "LAC vs UTA - Q1 05:36.00")</f>
        <v>LAC vs UTA - Q1 05:36.00</v>
      </c>
      <c r="L2474">
        <v>2.5099999999999998</v>
      </c>
      <c r="M2474">
        <v>7.67</v>
      </c>
      <c r="N2474">
        <v>53.12</v>
      </c>
      <c r="O2474">
        <v>7</v>
      </c>
      <c r="P2474">
        <v>53</v>
      </c>
    </row>
    <row r="2475" spans="1:16" x14ac:dyDescent="0.25">
      <c r="A2475">
        <v>22200389</v>
      </c>
      <c r="B2475">
        <v>2022</v>
      </c>
      <c r="C2475" t="s">
        <v>32</v>
      </c>
      <c r="D2475" t="s">
        <v>19</v>
      </c>
      <c r="E2475">
        <v>22</v>
      </c>
      <c r="F2475">
        <v>20</v>
      </c>
      <c r="G2475">
        <v>1</v>
      </c>
      <c r="H2475" s="1">
        <v>2.6157407407407405E-3</v>
      </c>
      <c r="I2475" t="s">
        <v>23</v>
      </c>
      <c r="J2475" s="2" t="str">
        <f>HYPERLINK("https://www.nba.com/stats/events?CFID=&amp;CFPARAMS=&amp;GameEventID=94&amp;GameID=0022200389&amp;Season=2022-23&amp;flag=1&amp;title=Leonard%20driving%20floating%20Jump%20Shot%20(4%20PTS)%20(P.%20George%201%20AST)", "Driving floating Jump Shot (4 PTS) (P. George 1 AST)")</f>
        <v>Driving floating Jump Shot (4 PTS) (P. George 1 AST)</v>
      </c>
      <c r="K2475" s="2" t="str">
        <f>HYPERLINK("https://www.nba.com/game/...-vs-...-0022200389/play-by-play?watchFullGame=true", "LAC vs WAS - Q1 03:46.00")</f>
        <v>LAC vs WAS - Q1 03:46.00</v>
      </c>
      <c r="L2475">
        <v>5.59</v>
      </c>
      <c r="M2475">
        <v>88.52</v>
      </c>
      <c r="N2475">
        <v>51.47</v>
      </c>
      <c r="O2475">
        <v>7</v>
      </c>
      <c r="P2475">
        <v>55</v>
      </c>
    </row>
    <row r="2476" spans="1:16" x14ac:dyDescent="0.25">
      <c r="A2476">
        <v>21900359</v>
      </c>
      <c r="B2476">
        <v>2019</v>
      </c>
      <c r="C2476" t="s">
        <v>32</v>
      </c>
      <c r="D2476" t="s">
        <v>22</v>
      </c>
      <c r="E2476">
        <v>46</v>
      </c>
      <c r="F2476">
        <v>59</v>
      </c>
      <c r="G2476">
        <v>2</v>
      </c>
      <c r="H2476" s="1">
        <v>6.2037037037037041E-4</v>
      </c>
      <c r="I2476" t="s">
        <v>23</v>
      </c>
      <c r="J2476" s="2" t="str">
        <f>HYPERLINK("https://www.nba.com/stats/events?CFID=&amp;CFPARAMS=&amp;GameEventID=339&amp;GameID=0021900359&amp;Season=2019-20&amp;flag=1&amp;title=Leonard%206'%20jumpshot%20(11%20PTS)", "6' jumpshot (11 PTS)")</f>
        <v>6' jumpshot (11 PTS)</v>
      </c>
      <c r="K2476" s="2" t="str">
        <f>HYPERLINK("https://www.nba.com/game/...-vs-...-0021900359/play-by-play?watchFullGame=true", "LAC vs TOR - Q2 00:53.60")</f>
        <v>LAC vs TOR - Q2 00:53.60</v>
      </c>
      <c r="L2476">
        <v>6.41</v>
      </c>
      <c r="M2476">
        <v>11.78</v>
      </c>
      <c r="N2476">
        <v>48.6</v>
      </c>
      <c r="O2476">
        <v>7</v>
      </c>
      <c r="P2476">
        <v>58</v>
      </c>
    </row>
    <row r="2477" spans="1:16" x14ac:dyDescent="0.25">
      <c r="A2477">
        <v>22201162</v>
      </c>
      <c r="B2477">
        <v>2022</v>
      </c>
      <c r="C2477" t="s">
        <v>32</v>
      </c>
      <c r="D2477" t="s">
        <v>19</v>
      </c>
      <c r="E2477">
        <v>62</v>
      </c>
      <c r="F2477">
        <v>64</v>
      </c>
      <c r="G2477">
        <v>3</v>
      </c>
      <c r="H2477" s="1">
        <v>6.9212962962962961E-3</v>
      </c>
      <c r="I2477" t="s">
        <v>23</v>
      </c>
      <c r="J2477" s="2" t="str">
        <f>HYPERLINK("https://www.nba.com/stats/events?CFID=&amp;CFPARAMS=&amp;GameEventID=356&amp;GameID=0022201162&amp;Season=2022-23&amp;flag=1&amp;title=Leonard%206'%20floating%20Jump%20Shot%20(17%20PTS)", "6' floating Jump Shot (17 PTS)")</f>
        <v>6' floating Jump Shot (17 PTS)</v>
      </c>
      <c r="K2477" s="2" t="str">
        <f>HYPERLINK("https://www.nba.com/game/...-vs-...-0022201162/play-by-play?watchFullGame=true", "LAC vs NOP - Q3 09:58.00")</f>
        <v>LAC vs NOP - Q3 09:58.00</v>
      </c>
      <c r="L2477">
        <v>6.6</v>
      </c>
      <c r="M2477">
        <v>12.57</v>
      </c>
      <c r="N2477">
        <v>48.53</v>
      </c>
      <c r="O2477">
        <v>7</v>
      </c>
      <c r="P2477">
        <v>66</v>
      </c>
    </row>
    <row r="2478" spans="1:16" x14ac:dyDescent="0.25">
      <c r="A2478">
        <v>22001019</v>
      </c>
      <c r="B2478">
        <v>2020</v>
      </c>
      <c r="C2478" t="s">
        <v>32</v>
      </c>
      <c r="D2478" t="s">
        <v>19</v>
      </c>
      <c r="E2478">
        <v>87</v>
      </c>
      <c r="F2478">
        <v>94</v>
      </c>
      <c r="G2478">
        <v>4</v>
      </c>
      <c r="H2478" s="1">
        <v>3.6111111111111109E-3</v>
      </c>
      <c r="I2478" t="s">
        <v>23</v>
      </c>
      <c r="J2478" s="2" t="str">
        <f>HYPERLINK("https://www.nba.com/stats/events?CFID=&amp;CFPARAMS=&amp;GameEventID=491&amp;GameID=0022001019&amp;Season=2020-21&amp;flag=1&amp;title=Leonard%207'%20turnaround%20fadeaway%20Jump%20Shot%20(18%20PTS)%20(R.%20Rondo%208%20AST)", "7' turnaround fadeaway Jump Shot (18 PTS) (R. Rondo 8 AST)")</f>
        <v>7' turnaround fadeaway Jump Shot (18 PTS) (R. Rondo 8 AST)</v>
      </c>
      <c r="K2478" s="2" t="str">
        <f>HYPERLINK("https://www.nba.com/game/...-vs-...-0022001019/play-by-play?watchFullGame=true", "LAC vs NYK - Q4 05:12.00")</f>
        <v>LAC vs NYK - Q4 05:12.00</v>
      </c>
      <c r="L2478">
        <v>7.83</v>
      </c>
      <c r="M2478">
        <v>13.88</v>
      </c>
      <c r="N2478">
        <v>48.6</v>
      </c>
      <c r="O2478">
        <v>7</v>
      </c>
      <c r="P2478">
        <v>78</v>
      </c>
    </row>
    <row r="2479" spans="1:16" x14ac:dyDescent="0.25">
      <c r="A2479">
        <v>42200171</v>
      </c>
      <c r="B2479" t="s">
        <v>86</v>
      </c>
      <c r="C2479" t="s">
        <v>16</v>
      </c>
      <c r="D2479" t="s">
        <v>19</v>
      </c>
      <c r="E2479">
        <v>78</v>
      </c>
      <c r="F2479">
        <v>77</v>
      </c>
      <c r="G2479">
        <v>3</v>
      </c>
      <c r="H2479" s="1">
        <v>9.6064814814814819E-4</v>
      </c>
      <c r="I2479" t="s">
        <v>23</v>
      </c>
      <c r="J2479" s="2" t="str">
        <f>HYPERLINK("https://www.nba.com/stats/events?CFID=&amp;CFPARAMS=&amp;GameEventID=488&amp;GameID=0042200171&amp;Season=2022-23&amp;flag=1&amp;title=Leonard%203PT%20%20(25%20PTS)%20(N.%20Powell%202%20AST)", "3PT  (25 PTS) (N. Powell 2 AST)")</f>
        <v>3PT  (25 PTS) (N. Powell 2 AST)</v>
      </c>
      <c r="K2479" s="2" t="str">
        <f>HYPERLINK("https://www.nba.com/game/...-vs-...-0042200171/play-by-play?watchFullGame=true", "LAC vs PHX - Q3 01:23.00")</f>
        <v>LAC vs PHX - Q3 01:23.00</v>
      </c>
      <c r="L2479">
        <v>22.98</v>
      </c>
      <c r="M2479">
        <v>7.31</v>
      </c>
      <c r="N2479">
        <v>95.83</v>
      </c>
      <c r="O2479">
        <v>7</v>
      </c>
      <c r="P2479">
        <v>95</v>
      </c>
    </row>
    <row r="2480" spans="1:16" x14ac:dyDescent="0.25">
      <c r="A2480">
        <v>21400714</v>
      </c>
      <c r="B2480">
        <v>2014</v>
      </c>
      <c r="C2480" t="s">
        <v>32</v>
      </c>
      <c r="D2480" t="s">
        <v>29</v>
      </c>
      <c r="E2480">
        <v>32</v>
      </c>
      <c r="F2480">
        <v>41</v>
      </c>
      <c r="G2480">
        <v>2</v>
      </c>
      <c r="H2480" s="1">
        <v>5.3587962962962964E-3</v>
      </c>
      <c r="I2480" t="s">
        <v>18</v>
      </c>
      <c r="J2480" s="2" t="str">
        <f>HYPERLINK("https://www.nba.com/stats/events?CFID=&amp;CFPARAMS=&amp;GameEventID=158&amp;GameID=0021400714&amp;Season=2014-15&amp;flag=1&amp;title=Leonard%2011'%20Pullup%20Jump%20Shot%20(7%20PTS)", "Leonard 11' Pullup Jump Shot (7 PTS)")</f>
        <v>Leonard 11' Pullup Jump Shot (7 PTS)</v>
      </c>
      <c r="K2480" s="2" t="str">
        <f>HYPERLINK("https://www.nba.com/game/...-vs-...-0021400714/play-by-play?watchFullGame=true", "SAS vs LAC - Q2 07:43.00")</f>
        <v>SAS vs LAC - Q2 07:43.00</v>
      </c>
      <c r="L2480">
        <v>11</v>
      </c>
      <c r="M2480">
        <v>7</v>
      </c>
      <c r="N2480">
        <v>108</v>
      </c>
      <c r="O2480">
        <v>7</v>
      </c>
      <c r="P2480">
        <v>108</v>
      </c>
    </row>
    <row r="2481" spans="1:16" x14ac:dyDescent="0.25">
      <c r="A2481">
        <v>21900292</v>
      </c>
      <c r="B2481">
        <v>2019</v>
      </c>
      <c r="C2481" t="s">
        <v>32</v>
      </c>
      <c r="D2481" t="s">
        <v>22</v>
      </c>
      <c r="E2481">
        <v>13</v>
      </c>
      <c r="F2481">
        <v>8</v>
      </c>
      <c r="G2481">
        <v>1</v>
      </c>
      <c r="H2481" s="1">
        <v>5.6249999999999998E-3</v>
      </c>
      <c r="I2481" t="s">
        <v>23</v>
      </c>
      <c r="J2481" s="2" t="str">
        <f>HYPERLINK("https://www.nba.com/stats/events?CFID=&amp;CFPARAMS=&amp;GameEventID=55&amp;GameID=0021900292&amp;Season=2019-20&amp;flag=1&amp;title=Leonard%2013'%20jumpshot%20(6%20PTS)%20(I.%20Zubac%201%20AST)", "13' jumpshot (6 PTS) (I. Zubac 1 AST)")</f>
        <v>13' jumpshot (6 PTS) (I. Zubac 1 AST)</v>
      </c>
      <c r="K2481" s="2" t="str">
        <f>HYPERLINK("https://www.nba.com/game/...-vs-...-0021900292/play-by-play?watchFullGame=true", "LAC vs WAS - Q1 08:06.00")</f>
        <v>LAC vs WAS - Q1 08:06.00</v>
      </c>
      <c r="L2481">
        <v>12.69</v>
      </c>
      <c r="M2481">
        <v>81.52</v>
      </c>
      <c r="N2481">
        <v>51.4</v>
      </c>
      <c r="O2481">
        <v>7</v>
      </c>
      <c r="P2481">
        <v>121</v>
      </c>
    </row>
    <row r="2482" spans="1:16" x14ac:dyDescent="0.25">
      <c r="A2482">
        <v>41800112</v>
      </c>
      <c r="B2482" t="s">
        <v>20</v>
      </c>
      <c r="C2482" t="s">
        <v>32</v>
      </c>
      <c r="D2482" t="s">
        <v>56</v>
      </c>
      <c r="E2482">
        <v>76</v>
      </c>
      <c r="F2482">
        <v>55</v>
      </c>
      <c r="G2482">
        <v>3</v>
      </c>
      <c r="H2482" s="1">
        <v>3.7384259259259259E-3</v>
      </c>
      <c r="I2482" t="s">
        <v>21</v>
      </c>
      <c r="J2482" s="2" t="str">
        <f>HYPERLINK("https://www.nba.com/stats/events?CFID=&amp;CFPARAMS=&amp;GameEventID=408&amp;GameID=0041800112&amp;Season=2018-19&amp;flag=1&amp;title=Leonard%201'%20Running%20Layup%20(29%20PTS)", "Leonard 1' Running Layup (29 PTS)")</f>
        <v>Leonard 1' Running Layup (29 PTS)</v>
      </c>
      <c r="K2482" s="2" t="str">
        <f>HYPERLINK("https://www.nba.com/game/...-vs-...-0041800112/play-by-play?watchFullGame=true", "TOR vs ORL - Q3 05:23.00")</f>
        <v>TOR vs ORL - Q3 05:23.00</v>
      </c>
      <c r="L2482">
        <v>1</v>
      </c>
      <c r="M2482">
        <v>8</v>
      </c>
      <c r="N2482">
        <v>1</v>
      </c>
      <c r="O2482">
        <v>8</v>
      </c>
      <c r="P2482">
        <v>1</v>
      </c>
    </row>
    <row r="2483" spans="1:16" x14ac:dyDescent="0.25">
      <c r="A2483">
        <v>41800115</v>
      </c>
      <c r="B2483" t="s">
        <v>20</v>
      </c>
      <c r="C2483" t="s">
        <v>32</v>
      </c>
      <c r="D2483" t="s">
        <v>63</v>
      </c>
      <c r="E2483">
        <v>88</v>
      </c>
      <c r="F2483">
        <v>58</v>
      </c>
      <c r="G2483">
        <v>3</v>
      </c>
      <c r="H2483" s="1">
        <v>2.8124999999999999E-3</v>
      </c>
      <c r="I2483" t="s">
        <v>21</v>
      </c>
      <c r="J2483" s="2" t="str">
        <f>HYPERLINK("https://www.nba.com/stats/events?CFID=&amp;CFPARAMS=&amp;GameEventID=420&amp;GameID=0041800115&amp;Season=2018-19&amp;flag=1&amp;title=Leonard%201'%20Running%20Dunk%20(27%20PTS)%20(Lowry%209%20AST)", "Leonard 1' Running Dunk (27 PTS) (Lowry 9 AST)")</f>
        <v>Leonard 1' Running Dunk (27 PTS) (Lowry 9 AST)</v>
      </c>
      <c r="K2483" s="2" t="str">
        <f>HYPERLINK("https://www.nba.com/game/...-vs-...-0041800115/play-by-play?watchFullGame=true", "TOR vs ORL - Q3 04:03.00")</f>
        <v>TOR vs ORL - Q3 04:03.00</v>
      </c>
      <c r="L2483">
        <v>1</v>
      </c>
      <c r="M2483">
        <v>8</v>
      </c>
      <c r="N2483">
        <v>5</v>
      </c>
      <c r="O2483">
        <v>8</v>
      </c>
      <c r="P2483">
        <v>5</v>
      </c>
    </row>
    <row r="2484" spans="1:16" x14ac:dyDescent="0.25">
      <c r="A2484">
        <v>22000308</v>
      </c>
      <c r="B2484">
        <v>2020</v>
      </c>
      <c r="C2484" t="s">
        <v>32</v>
      </c>
      <c r="D2484" t="s">
        <v>48</v>
      </c>
      <c r="E2484">
        <v>82</v>
      </c>
      <c r="F2484">
        <v>92</v>
      </c>
      <c r="G2484">
        <v>3</v>
      </c>
      <c r="H2484" s="1">
        <v>2.627314814814815E-3</v>
      </c>
      <c r="I2484" t="s">
        <v>23</v>
      </c>
      <c r="J2484" s="2" t="str">
        <f>HYPERLINK("https://www.nba.com/stats/events?CFID=&amp;CFPARAMS=&amp;GameEventID=390&amp;GameID=0022000308&amp;Season=2020-21&amp;flag=1&amp;title=Leonard%20driving%20DUNK%20(18%20PTS)%20(R.%20Jackson%203%20AST)", "Driving DUNK (18 PTS) (R. Jackson 3 AST)")</f>
        <v>Driving DUNK (18 PTS) (R. Jackson 3 AST)</v>
      </c>
      <c r="K2484" s="2" t="str">
        <f>HYPERLINK("https://www.nba.com/game/...-vs-...-0022000308/play-by-play?watchFullGame=true", "LAC vs NYK - Q3 03:47.00")</f>
        <v>LAC vs NYK - Q3 03:47.00</v>
      </c>
      <c r="L2484">
        <v>0.91</v>
      </c>
      <c r="M2484">
        <v>93.91</v>
      </c>
      <c r="N2484">
        <v>51.54</v>
      </c>
      <c r="O2484">
        <v>8</v>
      </c>
      <c r="P2484">
        <v>5</v>
      </c>
    </row>
    <row r="2485" spans="1:16" x14ac:dyDescent="0.25">
      <c r="A2485">
        <v>41800401</v>
      </c>
      <c r="B2485" t="s">
        <v>20</v>
      </c>
      <c r="C2485" t="s">
        <v>32</v>
      </c>
      <c r="D2485" t="s">
        <v>56</v>
      </c>
      <c r="E2485">
        <v>67</v>
      </c>
      <c r="F2485">
        <v>58</v>
      </c>
      <c r="G2485">
        <v>3</v>
      </c>
      <c r="H2485" s="1">
        <v>6.4004629629629628E-3</v>
      </c>
      <c r="I2485" t="s">
        <v>21</v>
      </c>
      <c r="J2485" s="2" t="str">
        <f>HYPERLINK("https://www.nba.com/stats/events?CFID=&amp;CFPARAMS=&amp;GameEventID=378&amp;GameID=0041800401&amp;Season=2018-19&amp;flag=1&amp;title=Leonard%201'%20Running%20Layup%20(10%20PTS)%20(Siakam%204%20AST)", "Leonard 1' Running Layup (10 PTS) (Siakam 4 AST)")</f>
        <v>Leonard 1' Running Layup (10 PTS) (Siakam 4 AST)</v>
      </c>
      <c r="K2485" s="2" t="str">
        <f>HYPERLINK("https://www.nba.com/game/...-vs-...-0041800401/play-by-play?watchFullGame=true", "TOR vs GSW - Q3 09:13.00")</f>
        <v>TOR vs GSW - Q3 09:13.00</v>
      </c>
      <c r="L2485">
        <v>1</v>
      </c>
      <c r="M2485">
        <v>8</v>
      </c>
      <c r="N2485">
        <v>5</v>
      </c>
      <c r="O2485">
        <v>8</v>
      </c>
      <c r="P2485">
        <v>5</v>
      </c>
    </row>
    <row r="2486" spans="1:16" x14ac:dyDescent="0.25">
      <c r="A2486">
        <v>21900251</v>
      </c>
      <c r="B2486">
        <v>2019</v>
      </c>
      <c r="C2486" t="s">
        <v>32</v>
      </c>
      <c r="D2486" t="s">
        <v>50</v>
      </c>
      <c r="E2486">
        <v>27</v>
      </c>
      <c r="F2486">
        <v>39</v>
      </c>
      <c r="G2486">
        <v>2</v>
      </c>
      <c r="H2486" s="1">
        <v>7.3379629629629628E-3</v>
      </c>
      <c r="I2486" t="s">
        <v>23</v>
      </c>
      <c r="J2486" s="2" t="str">
        <f>HYPERLINK("https://www.nba.com/stats/events?CFID=&amp;CFPARAMS=&amp;GameEventID=203&amp;GameID=0021900251&amp;Season=2019-20&amp;flag=1&amp;title=Leonard%20layup%20(4%20PTS)", "Layup (4 PTS)")</f>
        <v>Layup (4 PTS)</v>
      </c>
      <c r="K2486" s="2" t="str">
        <f>HYPERLINK("https://www.nba.com/game/...-vs-...-0021900251/play-by-play?watchFullGame=true", "LAC vs DAL - Q2 10:34.00")</f>
        <v>LAC vs DAL - Q2 10:34.00</v>
      </c>
      <c r="L2486">
        <v>1.34</v>
      </c>
      <c r="M2486">
        <v>6.13</v>
      </c>
      <c r="N2486">
        <v>48.35</v>
      </c>
      <c r="O2486">
        <v>8</v>
      </c>
      <c r="P2486">
        <v>5</v>
      </c>
    </row>
    <row r="2487" spans="1:16" x14ac:dyDescent="0.25">
      <c r="A2487">
        <v>22000142</v>
      </c>
      <c r="B2487">
        <v>2020</v>
      </c>
      <c r="C2487" t="s">
        <v>32</v>
      </c>
      <c r="D2487" t="s">
        <v>48</v>
      </c>
      <c r="E2487">
        <v>85</v>
      </c>
      <c r="F2487">
        <v>82</v>
      </c>
      <c r="G2487">
        <v>3</v>
      </c>
      <c r="H2487" s="1">
        <v>3.460648148148148E-3</v>
      </c>
      <c r="I2487" t="s">
        <v>23</v>
      </c>
      <c r="J2487" s="2" t="str">
        <f>HYPERLINK("https://www.nba.com/stats/events?CFID=&amp;CFPARAMS=&amp;GameEventID=396&amp;GameID=0022000142&amp;Season=2020-21&amp;flag=1&amp;title=Leonard%20alley-oop%20DUNK%20(31%20PTS)%20(P.%20George%209%20AST)", "Alley-oop DUNK (31 PTS) (P. George 9 AST)")</f>
        <v>Alley-oop DUNK (31 PTS) (P. George 9 AST)</v>
      </c>
      <c r="K2487" s="2" t="str">
        <f>HYPERLINK("https://www.nba.com/game/...-vs-...-0022000142/play-by-play?watchFullGame=true", "LAC vs CHI - Q3 04:59.00")</f>
        <v>LAC vs CHI - Q3 04:59.00</v>
      </c>
      <c r="L2487">
        <v>0.98</v>
      </c>
      <c r="M2487">
        <v>93.77</v>
      </c>
      <c r="N2487">
        <v>51.54</v>
      </c>
      <c r="O2487">
        <v>8</v>
      </c>
      <c r="P2487">
        <v>6</v>
      </c>
    </row>
    <row r="2488" spans="1:16" x14ac:dyDescent="0.25">
      <c r="A2488">
        <v>41800213</v>
      </c>
      <c r="B2488" t="s">
        <v>20</v>
      </c>
      <c r="C2488" t="s">
        <v>32</v>
      </c>
      <c r="D2488" t="s">
        <v>67</v>
      </c>
      <c r="E2488">
        <v>77</v>
      </c>
      <c r="F2488">
        <v>64</v>
      </c>
      <c r="G2488">
        <v>3</v>
      </c>
      <c r="H2488" s="1">
        <v>4.4907407407407405E-3</v>
      </c>
      <c r="I2488" t="s">
        <v>21</v>
      </c>
      <c r="J2488" s="2" t="str">
        <f>HYPERLINK("https://www.nba.com/stats/events?CFID=&amp;CFPARAMS=&amp;GameEventID=403&amp;GameID=0041800213&amp;Season=2018-19&amp;flag=1&amp;title=Leonard%201'%20Driving%20Dunk%20(22%20PTS)", "Leonard 1' Driving Dunk (22 PTS)")</f>
        <v>Leonard 1' Driving Dunk (22 PTS)</v>
      </c>
      <c r="K2488" s="2" t="str">
        <f>HYPERLINK("https://www.nba.com/game/...-vs-...-0041800213/play-by-play?watchFullGame=true", "TOR vs PHI - Q3 06:28.00")</f>
        <v>TOR vs PHI - Q3 06:28.00</v>
      </c>
      <c r="L2488">
        <v>1</v>
      </c>
      <c r="M2488">
        <v>8</v>
      </c>
      <c r="N2488">
        <v>8</v>
      </c>
      <c r="O2488">
        <v>8</v>
      </c>
      <c r="P2488">
        <v>8</v>
      </c>
    </row>
    <row r="2489" spans="1:16" x14ac:dyDescent="0.25">
      <c r="A2489">
        <v>22000644</v>
      </c>
      <c r="B2489">
        <v>2020</v>
      </c>
      <c r="C2489" t="s">
        <v>32</v>
      </c>
      <c r="D2489" t="s">
        <v>47</v>
      </c>
      <c r="E2489">
        <v>52</v>
      </c>
      <c r="F2489">
        <v>32</v>
      </c>
      <c r="G2489">
        <v>2</v>
      </c>
      <c r="H2489" s="1">
        <v>4.2129629629629626E-3</v>
      </c>
      <c r="I2489" t="s">
        <v>23</v>
      </c>
      <c r="J2489" s="2" t="str">
        <f>HYPERLINK("https://www.nba.com/stats/events?CFID=&amp;CFPARAMS=&amp;GameEventID=233&amp;GameID=0022000644&amp;Season=2020-21&amp;flag=1&amp;title=Leonard%20driving%20Layup%20(8%20PTS)", "Driving Layup (8 PTS)")</f>
        <v>Driving Layup (8 PTS)</v>
      </c>
      <c r="K2489" s="2" t="str">
        <f>HYPERLINK("https://www.nba.com/game/...-vs-...-0022000644/play-by-play?watchFullGame=true", "LAC vs CHA - Q2 06:04.00")</f>
        <v>LAC vs CHA - Q2 06:04.00</v>
      </c>
      <c r="L2489">
        <v>1.1499999999999999</v>
      </c>
      <c r="M2489">
        <v>93.51</v>
      </c>
      <c r="N2489">
        <v>51.54</v>
      </c>
      <c r="O2489">
        <v>8</v>
      </c>
      <c r="P2489">
        <v>8</v>
      </c>
    </row>
    <row r="2490" spans="1:16" x14ac:dyDescent="0.25">
      <c r="A2490">
        <v>41800303</v>
      </c>
      <c r="B2490" t="s">
        <v>20</v>
      </c>
      <c r="C2490" t="s">
        <v>32</v>
      </c>
      <c r="D2490" t="s">
        <v>63</v>
      </c>
      <c r="E2490">
        <v>112</v>
      </c>
      <c r="F2490">
        <v>109</v>
      </c>
      <c r="G2490">
        <v>6</v>
      </c>
      <c r="H2490" s="1">
        <v>1.2962962962962963E-3</v>
      </c>
      <c r="I2490" t="s">
        <v>21</v>
      </c>
      <c r="J2490" s="2" t="str">
        <f>HYPERLINK("https://www.nba.com/stats/events?CFID=&amp;CFPARAMS=&amp;GameEventID=847&amp;GameID=0041800303&amp;Season=2018-19&amp;flag=1&amp;title=Leonard%201'%20Running%20Dunk%20(32%20PTS)", "Leonard 1' Running Dunk (32 PTS)")</f>
        <v>Leonard 1' Running Dunk (32 PTS)</v>
      </c>
      <c r="K2490" s="2" t="str">
        <f>HYPERLINK("https://www.nba.com/game/...-vs-...-0041800303/play-by-play?watchFullGame=true", "TOR vs MIL - Q6 01:52.00")</f>
        <v>TOR vs MIL - Q6 01:52.00</v>
      </c>
      <c r="L2490">
        <v>1</v>
      </c>
      <c r="M2490">
        <v>8</v>
      </c>
      <c r="N2490">
        <v>11</v>
      </c>
      <c r="O2490">
        <v>8</v>
      </c>
      <c r="P2490">
        <v>11</v>
      </c>
    </row>
    <row r="2491" spans="1:16" x14ac:dyDescent="0.25">
      <c r="A2491">
        <v>22000788</v>
      </c>
      <c r="B2491">
        <v>2020</v>
      </c>
      <c r="C2491" t="s">
        <v>32</v>
      </c>
      <c r="D2491" t="s">
        <v>48</v>
      </c>
      <c r="E2491">
        <v>72</v>
      </c>
      <c r="F2491">
        <v>73</v>
      </c>
      <c r="G2491">
        <v>3</v>
      </c>
      <c r="H2491" s="1">
        <v>3.1134259259259257E-3</v>
      </c>
      <c r="I2491" t="s">
        <v>23</v>
      </c>
      <c r="J2491" s="2" t="str">
        <f>HYPERLINK("https://www.nba.com/stats/events?CFID=&amp;CFPARAMS=&amp;GameEventID=360&amp;GameID=0022000788&amp;Season=2020-21&amp;flag=1&amp;title=Leonard%20driving%20DUNK%20(15%20PTS)", "Driving DUNK (15 PTS)")</f>
        <v>Driving DUNK (15 PTS)</v>
      </c>
      <c r="K2491" s="2" t="str">
        <f>HYPERLINK("https://www.nba.com/game/...-vs-...-0022000788/play-by-play?watchFullGame=true", "LAC vs PHX - Q3 04:29.00")</f>
        <v>LAC vs PHX - Q3 04:29.00</v>
      </c>
      <c r="L2491">
        <v>1.44</v>
      </c>
      <c r="M2491">
        <v>93.12</v>
      </c>
      <c r="N2491">
        <v>51.54</v>
      </c>
      <c r="O2491">
        <v>8</v>
      </c>
      <c r="P2491">
        <v>12</v>
      </c>
    </row>
    <row r="2492" spans="1:16" x14ac:dyDescent="0.25">
      <c r="A2492">
        <v>41800215</v>
      </c>
      <c r="B2492" t="s">
        <v>20</v>
      </c>
      <c r="C2492" t="s">
        <v>32</v>
      </c>
      <c r="D2492" t="s">
        <v>57</v>
      </c>
      <c r="E2492">
        <v>103</v>
      </c>
      <c r="F2492">
        <v>73</v>
      </c>
      <c r="G2492">
        <v>4</v>
      </c>
      <c r="H2492" s="1">
        <v>5.9259259259259256E-3</v>
      </c>
      <c r="I2492" t="s">
        <v>21</v>
      </c>
      <c r="J2492" s="2" t="str">
        <f>HYPERLINK("https://www.nba.com/stats/events?CFID=&amp;CFPARAMS=&amp;GameEventID=553&amp;GameID=0041800215&amp;Season=2018-19&amp;flag=1&amp;title=Leonard%201'%20Layup%20(21%20PTS)%20(Gasol%203%20AST)", "Leonard 1' Layup (21 PTS) (Gasol 3 AST)")</f>
        <v>Leonard 1' Layup (21 PTS) (Gasol 3 AST)</v>
      </c>
      <c r="K2492" s="2" t="str">
        <f>HYPERLINK("https://www.nba.com/game/...-vs-...-0041800215/play-by-play?watchFullGame=true", "TOR vs PHI - Q4 08:32.00")</f>
        <v>TOR vs PHI - Q4 08:32.00</v>
      </c>
      <c r="L2492">
        <v>1</v>
      </c>
      <c r="M2492">
        <v>8</v>
      </c>
      <c r="N2492">
        <v>12</v>
      </c>
      <c r="O2492">
        <v>8</v>
      </c>
      <c r="P2492">
        <v>12</v>
      </c>
    </row>
    <row r="2493" spans="1:16" x14ac:dyDescent="0.25">
      <c r="A2493">
        <v>41800301</v>
      </c>
      <c r="B2493" t="s">
        <v>20</v>
      </c>
      <c r="C2493" t="s">
        <v>32</v>
      </c>
      <c r="D2493" t="s">
        <v>62</v>
      </c>
      <c r="E2493">
        <v>51</v>
      </c>
      <c r="F2493">
        <v>59</v>
      </c>
      <c r="G2493">
        <v>2</v>
      </c>
      <c r="H2493" s="1">
        <v>1.111111111111111E-4</v>
      </c>
      <c r="I2493" t="s">
        <v>21</v>
      </c>
      <c r="J2493" s="2" t="str">
        <f>HYPERLINK("https://www.nba.com/stats/events?CFID=&amp;CFPARAMS=&amp;GameEventID=311&amp;GameID=0041800301&amp;Season=2018-19&amp;flag=1&amp;title=Leonard%202'%20Dunk%20(15%20PTS)%20(Green%202%20AST)", "Leonard 2' Dunk (15 PTS) (Green 2 AST)")</f>
        <v>Leonard 2' Dunk (15 PTS) (Green 2 AST)</v>
      </c>
      <c r="K2493" s="2" t="str">
        <f>HYPERLINK("https://www.nba.com/game/...-vs-...-0041800301/play-by-play?watchFullGame=true", "TOR vs MIL - Q2 00:09.60")</f>
        <v>TOR vs MIL - Q2 00:09.60</v>
      </c>
      <c r="L2493">
        <v>2</v>
      </c>
      <c r="M2493">
        <v>8</v>
      </c>
      <c r="N2493">
        <v>13</v>
      </c>
      <c r="O2493">
        <v>8</v>
      </c>
      <c r="P2493">
        <v>13</v>
      </c>
    </row>
    <row r="2494" spans="1:16" x14ac:dyDescent="0.25">
      <c r="A2494">
        <v>42000173</v>
      </c>
      <c r="B2494" t="s">
        <v>83</v>
      </c>
      <c r="C2494" t="s">
        <v>32</v>
      </c>
      <c r="D2494" t="s">
        <v>19</v>
      </c>
      <c r="E2494">
        <v>81</v>
      </c>
      <c r="F2494">
        <v>86</v>
      </c>
      <c r="G2494">
        <v>3</v>
      </c>
      <c r="H2494" s="1">
        <v>2.8587962962962963E-3</v>
      </c>
      <c r="I2494" t="s">
        <v>23</v>
      </c>
      <c r="J2494" s="2" t="str">
        <f>HYPERLINK("https://www.nba.com/stats/events?CFID=&amp;CFPARAMS=&amp;GameEventID=383&amp;GameID=0042000173&amp;Season=2020-21&amp;flag=1&amp;title=Leonard%2018'%20Jump%20Shot%20(26%20PTS)%20(R.%20Rondo%206%20AST)", "18' Jump Shot (26 PTS) (R. Rondo 6 AST)")</f>
        <v>18' Jump Shot (26 PTS) (R. Rondo 6 AST)</v>
      </c>
      <c r="K2494" s="2" t="str">
        <f>HYPERLINK("https://www.nba.com/game/...-vs-...-0042000173/play-by-play?watchFullGame=true", "LAC vs DAL - Q3 04:07.00")</f>
        <v>LAC vs DAL - Q3 04:07.00</v>
      </c>
      <c r="L2494">
        <v>18.09</v>
      </c>
      <c r="M2494">
        <v>8.6199999999999992</v>
      </c>
      <c r="N2494">
        <v>14.28</v>
      </c>
      <c r="O2494">
        <v>8</v>
      </c>
      <c r="P2494">
        <v>14</v>
      </c>
    </row>
    <row r="2495" spans="1:16" x14ac:dyDescent="0.25">
      <c r="A2495">
        <v>41800306</v>
      </c>
      <c r="B2495" t="s">
        <v>20</v>
      </c>
      <c r="C2495" t="s">
        <v>32</v>
      </c>
      <c r="D2495" t="s">
        <v>63</v>
      </c>
      <c r="E2495">
        <v>87</v>
      </c>
      <c r="F2495">
        <v>79</v>
      </c>
      <c r="G2495">
        <v>4</v>
      </c>
      <c r="H2495" s="1">
        <v>4.6990740740740743E-3</v>
      </c>
      <c r="I2495" t="s">
        <v>21</v>
      </c>
      <c r="J2495" s="2" t="str">
        <f>HYPERLINK("https://www.nba.com/stats/events?CFID=&amp;CFPARAMS=&amp;GameEventID=556&amp;GameID=0041800306&amp;Season=2018-19&amp;flag=1&amp;title=Leonard%202'%20Running%20Dunk%20(22%20PTS)%20(Lowry%207%20AST)", "Leonard 2' Running Dunk (22 PTS) (Lowry 7 AST)")</f>
        <v>Leonard 2' Running Dunk (22 PTS) (Lowry 7 AST)</v>
      </c>
      <c r="K2495" s="2" t="str">
        <f>HYPERLINK("https://www.nba.com/game/...-vs-...-0041800306/play-by-play?watchFullGame=true", "TOR vs MIL - Q4 06:46.00")</f>
        <v>TOR vs MIL - Q4 06:46.00</v>
      </c>
      <c r="L2495">
        <v>2</v>
      </c>
      <c r="M2495">
        <v>8</v>
      </c>
      <c r="N2495">
        <v>16</v>
      </c>
      <c r="O2495">
        <v>8</v>
      </c>
      <c r="P2495">
        <v>16</v>
      </c>
    </row>
    <row r="2496" spans="1:16" x14ac:dyDescent="0.25">
      <c r="A2496">
        <v>22000989</v>
      </c>
      <c r="B2496">
        <v>2020</v>
      </c>
      <c r="C2496" t="s">
        <v>32</v>
      </c>
      <c r="D2496" t="s">
        <v>48</v>
      </c>
      <c r="E2496">
        <v>46</v>
      </c>
      <c r="F2496">
        <v>48</v>
      </c>
      <c r="G2496">
        <v>2</v>
      </c>
      <c r="H2496" s="1">
        <v>1.1111111111111111E-3</v>
      </c>
      <c r="I2496" t="s">
        <v>23</v>
      </c>
      <c r="J2496" s="2" t="str">
        <f>HYPERLINK("https://www.nba.com/stats/events?CFID=&amp;CFPARAMS=&amp;GameEventID=255&amp;GameID=0022000989&amp;Season=2020-21&amp;flag=1&amp;title=Leonard%20running%20DUNK%20(6%20PTS)%20(P.%20Beverley%201%20AST)", "Running DUNK (6 PTS) (P. Beverley 1 AST)")</f>
        <v>Running DUNK (6 PTS) (P. Beverley 1 AST)</v>
      </c>
      <c r="K2496" s="2" t="str">
        <f>HYPERLINK("https://www.nba.com/game/...-vs-...-0022000989/play-by-play?watchFullGame=true", "LAC vs TOR - Q2 01:36.00")</f>
        <v>LAC vs TOR - Q2 01:36.00</v>
      </c>
      <c r="L2496">
        <v>1.99</v>
      </c>
      <c r="M2496">
        <v>92.46</v>
      </c>
      <c r="N2496">
        <v>51.54</v>
      </c>
      <c r="O2496">
        <v>8</v>
      </c>
      <c r="P2496">
        <v>18</v>
      </c>
    </row>
    <row r="2497" spans="1:16" x14ac:dyDescent="0.25">
      <c r="A2497">
        <v>21900377</v>
      </c>
      <c r="B2497">
        <v>2019</v>
      </c>
      <c r="C2497" t="s">
        <v>32</v>
      </c>
      <c r="D2497" t="s">
        <v>50</v>
      </c>
      <c r="E2497">
        <v>51</v>
      </c>
      <c r="F2497">
        <v>52</v>
      </c>
      <c r="G2497">
        <v>2</v>
      </c>
      <c r="H2497" s="1">
        <v>2.5000000000000001E-3</v>
      </c>
      <c r="I2497" t="s">
        <v>23</v>
      </c>
      <c r="J2497" s="2" t="str">
        <f>HYPERLINK("https://www.nba.com/stats/events?CFID=&amp;CFPARAMS=&amp;GameEventID=287&amp;GameID=0021900377&amp;Season=2019-20&amp;flag=1&amp;title=Leonard%20layup%20(20%20PTS)", "Layup (20 PTS)")</f>
        <v>Layup (20 PTS)</v>
      </c>
      <c r="K2497" s="2" t="str">
        <f>HYPERLINK("https://www.nba.com/game/...-vs-...-0021900377/play-by-play?watchFullGame=true", "LAC vs MIN - Q2 03:36.00")</f>
        <v>LAC vs MIN - Q2 03:36.00</v>
      </c>
      <c r="L2497">
        <v>2.63</v>
      </c>
      <c r="M2497">
        <v>92.33</v>
      </c>
      <c r="N2497">
        <v>51.54</v>
      </c>
      <c r="O2497">
        <v>8</v>
      </c>
      <c r="P2497">
        <v>20</v>
      </c>
    </row>
    <row r="2498" spans="1:16" x14ac:dyDescent="0.25">
      <c r="A2498">
        <v>22000576</v>
      </c>
      <c r="B2498">
        <v>2020</v>
      </c>
      <c r="C2498" t="s">
        <v>32</v>
      </c>
      <c r="D2498" t="s">
        <v>19</v>
      </c>
      <c r="E2498">
        <v>87</v>
      </c>
      <c r="F2498">
        <v>61</v>
      </c>
      <c r="G2498">
        <v>3</v>
      </c>
      <c r="H2498" s="1">
        <v>2.7777777777777779E-3</v>
      </c>
      <c r="I2498" t="s">
        <v>23</v>
      </c>
      <c r="J2498" s="2" t="str">
        <f>HYPERLINK("https://www.nba.com/stats/events?CFID=&amp;CFPARAMS=&amp;GameEventID=463&amp;GameID=0022000576&amp;Season=2020-21&amp;flag=1&amp;title=Leonard%20driving%20floating%20Jump%20Shot%20(24%20PTS)", "Driving floating Jump Shot (24 PTS)")</f>
        <v>Driving floating Jump Shot (24 PTS)</v>
      </c>
      <c r="K2498" s="2" t="str">
        <f>HYPERLINK("https://www.nba.com/game/...-vs-...-0022000576/play-by-play?watchFullGame=true", "LAC vs GSW - Q3 04:00.00")</f>
        <v>LAC vs GSW - Q3 04:00.00</v>
      </c>
      <c r="L2498">
        <v>3.57</v>
      </c>
      <c r="M2498">
        <v>9.2799999999999994</v>
      </c>
      <c r="N2498">
        <v>48.35</v>
      </c>
      <c r="O2498">
        <v>8</v>
      </c>
      <c r="P2498">
        <v>35</v>
      </c>
    </row>
    <row r="2499" spans="1:16" x14ac:dyDescent="0.25">
      <c r="A2499">
        <v>42000223</v>
      </c>
      <c r="B2499" t="s">
        <v>85</v>
      </c>
      <c r="C2499" t="s">
        <v>32</v>
      </c>
      <c r="D2499" t="s">
        <v>48</v>
      </c>
      <c r="E2499">
        <v>46</v>
      </c>
      <c r="F2499">
        <v>39</v>
      </c>
      <c r="G2499">
        <v>2</v>
      </c>
      <c r="H2499" s="1">
        <v>4.1550925925925922E-3</v>
      </c>
      <c r="I2499" t="s">
        <v>23</v>
      </c>
      <c r="J2499" s="2" t="str">
        <f>HYPERLINK("https://www.nba.com/stats/events?CFID=&amp;CFPARAMS=&amp;GameEventID=217&amp;GameID=0042000223&amp;Season=2020-21&amp;flag=1&amp;title=Leonard%20running%20DUNK%20(8%20PTS)", "Running DUNK (8 PTS)")</f>
        <v>Running DUNK (8 PTS)</v>
      </c>
      <c r="K2499" s="2" t="str">
        <f>HYPERLINK("https://www.nba.com/game/...-vs-...-0042000223/play-by-play?watchFullGame=true", "LAC vs UTA - Q2 05:59.00")</f>
        <v>LAC vs UTA - Q2 05:59.00</v>
      </c>
      <c r="L2499">
        <v>2.61</v>
      </c>
      <c r="M2499">
        <v>8.1999999999999993</v>
      </c>
      <c r="N2499">
        <v>48.22</v>
      </c>
      <c r="O2499">
        <v>8</v>
      </c>
      <c r="P2499">
        <v>48</v>
      </c>
    </row>
    <row r="2500" spans="1:16" x14ac:dyDescent="0.25">
      <c r="A2500">
        <v>22000077</v>
      </c>
      <c r="B2500">
        <v>2020</v>
      </c>
      <c r="C2500" t="s">
        <v>16</v>
      </c>
      <c r="D2500" t="s">
        <v>19</v>
      </c>
      <c r="E2500">
        <v>60</v>
      </c>
      <c r="F2500">
        <v>47</v>
      </c>
      <c r="G2500">
        <v>3</v>
      </c>
      <c r="H2500" s="1">
        <v>5.5555555555555558E-3</v>
      </c>
      <c r="I2500" t="s">
        <v>23</v>
      </c>
      <c r="J2500" s="2" t="str">
        <f>HYPERLINK("https://www.nba.com/stats/events?CFID=&amp;CFPARAMS=&amp;GameEventID=384&amp;GameID=0022000077&amp;Season=2020-21&amp;flag=1&amp;title=Leonard%2025'%203PT%20step%20back%20(14%20PTS)%20(L.%20Williams%201%20AST)", "25' 3PT step back (14 PTS) (L. Williams 1 AST)")</f>
        <v>25' 3PT step back (14 PTS) (L. Williams 1 AST)</v>
      </c>
      <c r="K2500" s="2" t="str">
        <f>HYPERLINK("https://www.nba.com/game/...-vs-...-0022000077/play-by-play?watchFullGame=true", "LAC vs UTA - Q3 08:00.00")</f>
        <v>LAC vs UTA - Q3 08:00.00</v>
      </c>
      <c r="L2500">
        <v>25.44</v>
      </c>
      <c r="M2500">
        <v>67.36</v>
      </c>
      <c r="N2500">
        <v>51.54</v>
      </c>
      <c r="O2500">
        <v>8</v>
      </c>
      <c r="P2500">
        <v>254</v>
      </c>
    </row>
    <row r="2501" spans="1:16" x14ac:dyDescent="0.25">
      <c r="A2501">
        <v>22300688</v>
      </c>
      <c r="B2501">
        <v>2023</v>
      </c>
      <c r="C2501" t="s">
        <v>32</v>
      </c>
      <c r="D2501" t="s">
        <v>48</v>
      </c>
      <c r="E2501">
        <v>109</v>
      </c>
      <c r="F2501">
        <v>125</v>
      </c>
      <c r="G2501">
        <v>4</v>
      </c>
      <c r="H2501" s="1">
        <v>4.1319444444444442E-3</v>
      </c>
      <c r="I2501" t="s">
        <v>23</v>
      </c>
      <c r="J2501" s="2" t="str">
        <f>HYPERLINK("https://www.nba.com/stats/events?CFID=&amp;CFPARAMS=&amp;GameEventID=568&amp;GameID=0022300688&amp;Season=2023-24&amp;flag=1&amp;title=Leonard%20running%20DUNK%20(33%20PTS)%20(P.%20George%206%20AST)", "Running DUNK (33 PTS) (P. George 6 AST)")</f>
        <v>Running DUNK (33 PTS) (P. George 6 AST)</v>
      </c>
      <c r="K2501" s="2" t="str">
        <f>HYPERLINK("https://www.nba.com/game/...-vs-...-0022300688/play-by-play?watchFullGame=true", "LAC vs DET - Q4 05:57.00")</f>
        <v>LAC vs DET - Q4 05:57.00</v>
      </c>
      <c r="L2501">
        <v>1.59</v>
      </c>
      <c r="M2501">
        <v>4.16</v>
      </c>
      <c r="N2501">
        <v>48.28</v>
      </c>
      <c r="O2501">
        <v>9</v>
      </c>
      <c r="P2501">
        <v>-13</v>
      </c>
    </row>
    <row r="2502" spans="1:16" x14ac:dyDescent="0.25">
      <c r="A2502">
        <v>21300993</v>
      </c>
      <c r="B2502">
        <v>2013</v>
      </c>
      <c r="C2502" t="s">
        <v>32</v>
      </c>
      <c r="D2502" t="s">
        <v>67</v>
      </c>
      <c r="E2502">
        <v>12</v>
      </c>
      <c r="F2502">
        <v>6</v>
      </c>
      <c r="G2502">
        <v>1</v>
      </c>
      <c r="H2502" s="1">
        <v>4.9768518518518521E-3</v>
      </c>
      <c r="I2502" t="s">
        <v>18</v>
      </c>
      <c r="J2502" s="2" t="str">
        <f>HYPERLINK("https://www.nba.com/stats/events?CFID=&amp;CFPARAMS=&amp;GameEventID=33&amp;GameID=0021300993&amp;Season=2013-14&amp;flag=1&amp;title=Leonard%202'%20Driving%20Dunk%20(2%20PTS)%20(Green%201%20AST)", "Leonard 2' Driving Dunk (2 PTS) (Green 1 AST)")</f>
        <v>Leonard 2' Driving Dunk (2 PTS) (Green 1 AST)</v>
      </c>
      <c r="K2502" s="2" t="str">
        <f>HYPERLINK("https://www.nba.com/game/...-vs-...-0021300993/play-by-play?watchFullGame=true", "SAS vs UTA - Q1 07:10.00")</f>
        <v>SAS vs UTA - Q1 07:10.00</v>
      </c>
      <c r="L2502">
        <v>2</v>
      </c>
      <c r="M2502">
        <v>9</v>
      </c>
      <c r="N2502">
        <v>-13</v>
      </c>
      <c r="O2502">
        <v>9</v>
      </c>
      <c r="P2502">
        <v>-13</v>
      </c>
    </row>
    <row r="2503" spans="1:16" x14ac:dyDescent="0.25">
      <c r="A2503">
        <v>21400853</v>
      </c>
      <c r="B2503">
        <v>2014</v>
      </c>
      <c r="C2503" t="s">
        <v>32</v>
      </c>
      <c r="D2503" t="s">
        <v>59</v>
      </c>
      <c r="E2503">
        <v>67</v>
      </c>
      <c r="F2503">
        <v>58</v>
      </c>
      <c r="G2503">
        <v>3</v>
      </c>
      <c r="H2503" s="1">
        <v>4.6990740740740743E-3</v>
      </c>
      <c r="I2503" t="s">
        <v>18</v>
      </c>
      <c r="J2503" s="2" t="str">
        <f>HYPERLINK("https://www.nba.com/stats/events?CFID=&amp;CFPARAMS=&amp;GameEventID=248&amp;GameID=0021400853&amp;Season=2014-15&amp;flag=1&amp;title=Leonard%201'%20Putback%20Layup%20(7%20PTS)", "Leonard 1' Putback Layup (7 PTS)")</f>
        <v>Leonard 1' Putback Layup (7 PTS)</v>
      </c>
      <c r="K2503" s="2" t="str">
        <f>HYPERLINK("https://www.nba.com/game/...-vs-...-0021400853/play-by-play?watchFullGame=true", "SAS vs POR - Q3 06:46.00")</f>
        <v>SAS vs POR - Q3 06:46.00</v>
      </c>
      <c r="L2503">
        <v>1</v>
      </c>
      <c r="M2503">
        <v>9</v>
      </c>
      <c r="N2503">
        <v>-8</v>
      </c>
      <c r="O2503">
        <v>9</v>
      </c>
      <c r="P2503">
        <v>-8</v>
      </c>
    </row>
    <row r="2504" spans="1:16" x14ac:dyDescent="0.25">
      <c r="A2504">
        <v>21501063</v>
      </c>
      <c r="B2504">
        <v>2015</v>
      </c>
      <c r="C2504" t="s">
        <v>32</v>
      </c>
      <c r="D2504" t="s">
        <v>56</v>
      </c>
      <c r="E2504">
        <v>47</v>
      </c>
      <c r="F2504">
        <v>37</v>
      </c>
      <c r="G2504">
        <v>2</v>
      </c>
      <c r="H2504" s="1">
        <v>3.6689814814814814E-3</v>
      </c>
      <c r="I2504" t="s">
        <v>18</v>
      </c>
      <c r="J2504" s="2" t="str">
        <f>HYPERLINK("https://www.nba.com/stats/events?CFID=&amp;CFPARAMS=&amp;GameEventID=187&amp;GameID=0021501063&amp;Season=2015-16&amp;flag=1&amp;title=Leonard%201'%20Running%20Layup%20(15%20PTS)%20(Duncan%202%20AST)", "Leonard 1' Running Layup (15 PTS) (Duncan 2 AST)")</f>
        <v>Leonard 1' Running Layup (15 PTS) (Duncan 2 AST)</v>
      </c>
      <c r="K2504" s="2" t="str">
        <f>HYPERLINK("https://www.nba.com/game/...-vs-...-0021501063/play-by-play?watchFullGame=true", "SAS vs MIA - Q2 05:17.00")</f>
        <v>SAS vs MIA - Q2 05:17.00</v>
      </c>
      <c r="L2504">
        <v>1</v>
      </c>
      <c r="M2504">
        <v>9</v>
      </c>
      <c r="N2504">
        <v>-6</v>
      </c>
      <c r="O2504">
        <v>9</v>
      </c>
      <c r="P2504">
        <v>-6</v>
      </c>
    </row>
    <row r="2505" spans="1:16" x14ac:dyDescent="0.25">
      <c r="A2505">
        <v>21500767</v>
      </c>
      <c r="B2505">
        <v>2015</v>
      </c>
      <c r="C2505" t="s">
        <v>32</v>
      </c>
      <c r="D2505" t="s">
        <v>51</v>
      </c>
      <c r="E2505">
        <v>47</v>
      </c>
      <c r="F2505">
        <v>42</v>
      </c>
      <c r="G2505">
        <v>2</v>
      </c>
      <c r="H2505" s="1">
        <v>1.8865740740740742E-3</v>
      </c>
      <c r="I2505" t="s">
        <v>18</v>
      </c>
      <c r="J2505" s="2" t="str">
        <f>HYPERLINK("https://www.nba.com/stats/events?CFID=&amp;CFPARAMS=&amp;GameEventID=237&amp;GameID=0021500767&amp;Season=2015-16&amp;flag=1&amp;title=Leonard%201'%20Reverse%20Layup%20(9%20PTS)%20(Marjanovic%201%20AST)", "Leonard 1' Reverse Layup (9 PTS) (Marjanovic 1 AST)")</f>
        <v>Leonard 1' Reverse Layup (9 PTS) (Marjanovic 1 AST)</v>
      </c>
      <c r="K2505" s="2" t="str">
        <f>HYPERLINK("https://www.nba.com/game/...-vs-...-0021500767/play-by-play?watchFullGame=true", "SAS vs LAL - Q2 02:43.00")</f>
        <v>SAS vs LAL - Q2 02:43.00</v>
      </c>
      <c r="L2505">
        <v>1</v>
      </c>
      <c r="M2505">
        <v>9</v>
      </c>
      <c r="N2505">
        <v>-6</v>
      </c>
      <c r="O2505">
        <v>9</v>
      </c>
      <c r="P2505">
        <v>-6</v>
      </c>
    </row>
    <row r="2506" spans="1:16" x14ac:dyDescent="0.25">
      <c r="A2506">
        <v>21501140</v>
      </c>
      <c r="B2506">
        <v>2015</v>
      </c>
      <c r="C2506" t="s">
        <v>32</v>
      </c>
      <c r="D2506" t="s">
        <v>57</v>
      </c>
      <c r="E2506">
        <v>84</v>
      </c>
      <c r="F2506">
        <v>76</v>
      </c>
      <c r="G2506">
        <v>4</v>
      </c>
      <c r="H2506" s="1">
        <v>4.0046296296296297E-3</v>
      </c>
      <c r="I2506" t="s">
        <v>18</v>
      </c>
      <c r="J2506" s="2" t="str">
        <f>HYPERLINK("https://www.nba.com/stats/events?CFID=&amp;CFPARAMS=&amp;GameEventID=390&amp;GameID=0021501140&amp;Season=2015-16&amp;flag=1&amp;title=Leonard%201'%20Layup%20(23%20PTS)%20(Anderson%203%20AST)", "Leonard 1' Layup (23 PTS) (Anderson 3 AST)")</f>
        <v>Leonard 1' Layup (23 PTS) (Anderson 3 AST)</v>
      </c>
      <c r="K2506" s="2" t="str">
        <f>HYPERLINK("https://www.nba.com/game/...-vs-...-0021501140/play-by-play?watchFullGame=true", "SAS vs TOR - Q4 05:46.00")</f>
        <v>SAS vs TOR - Q4 05:46.00</v>
      </c>
      <c r="L2506">
        <v>1</v>
      </c>
      <c r="M2506">
        <v>9</v>
      </c>
      <c r="N2506">
        <v>-6</v>
      </c>
      <c r="O2506">
        <v>9</v>
      </c>
      <c r="P2506">
        <v>-6</v>
      </c>
    </row>
    <row r="2507" spans="1:16" x14ac:dyDescent="0.25">
      <c r="A2507">
        <v>21300338</v>
      </c>
      <c r="B2507">
        <v>2013</v>
      </c>
      <c r="C2507" t="s">
        <v>32</v>
      </c>
      <c r="D2507" t="s">
        <v>57</v>
      </c>
      <c r="E2507">
        <v>66</v>
      </c>
      <c r="F2507">
        <v>66</v>
      </c>
      <c r="G2507">
        <v>3</v>
      </c>
      <c r="H2507" s="1">
        <v>5.5324074074074078E-3</v>
      </c>
      <c r="I2507" t="s">
        <v>18</v>
      </c>
      <c r="J2507" s="2" t="str">
        <f>HYPERLINK("https://www.nba.com/stats/events?CFID=&amp;CFPARAMS=&amp;GameEventID=277&amp;GameID=0021300338&amp;Season=2013-14&amp;flag=1&amp;title=Leonard%201'%20Layup%20(12%20PTS)", "Leonard 1' Layup (12 PTS)")</f>
        <v>Leonard 1' Layup (12 PTS)</v>
      </c>
      <c r="K2507" s="2" t="str">
        <f>HYPERLINK("https://www.nba.com/game/...-vs-...-0021300338/play-by-play?watchFullGame=true", "SAS vs MIN - Q3 07:58.00")</f>
        <v>SAS vs MIN - Q3 07:58.00</v>
      </c>
      <c r="L2507">
        <v>1</v>
      </c>
      <c r="M2507">
        <v>9</v>
      </c>
      <c r="N2507">
        <v>-5</v>
      </c>
      <c r="O2507">
        <v>9</v>
      </c>
      <c r="P2507">
        <v>-5</v>
      </c>
    </row>
    <row r="2508" spans="1:16" x14ac:dyDescent="0.25">
      <c r="A2508">
        <v>21500928</v>
      </c>
      <c r="B2508">
        <v>2015</v>
      </c>
      <c r="C2508" t="s">
        <v>32</v>
      </c>
      <c r="D2508" t="s">
        <v>77</v>
      </c>
      <c r="E2508">
        <v>59</v>
      </c>
      <c r="F2508">
        <v>54</v>
      </c>
      <c r="G2508">
        <v>3</v>
      </c>
      <c r="H2508" s="1">
        <v>7.5115740740740742E-3</v>
      </c>
      <c r="I2508" t="s">
        <v>18</v>
      </c>
      <c r="J2508" s="2" t="str">
        <f>HYPERLINK("https://www.nba.com/stats/events?CFID=&amp;CFPARAMS=&amp;GameEventID=286&amp;GameID=0021500928&amp;Season=2015-16&amp;flag=1&amp;title=Leonard%201'%20Finger%20Roll%20Layup%20(12%20PTS)%20(West%202%20AST)", "Leonard 1' Finger Roll Layup (12 PTS) (West 2 AST)")</f>
        <v>Leonard 1' Finger Roll Layup (12 PTS) (West 2 AST)</v>
      </c>
      <c r="K2508" s="2" t="str">
        <f>HYPERLINK("https://www.nba.com/game/...-vs-...-0021500928/play-by-play?watchFullGame=true", "SAS vs SAC - Q3 10:49.00")</f>
        <v>SAS vs SAC - Q3 10:49.00</v>
      </c>
      <c r="L2508">
        <v>1</v>
      </c>
      <c r="M2508">
        <v>9</v>
      </c>
      <c r="N2508">
        <v>-5</v>
      </c>
      <c r="O2508">
        <v>9</v>
      </c>
      <c r="P2508">
        <v>-5</v>
      </c>
    </row>
    <row r="2509" spans="1:16" x14ac:dyDescent="0.25">
      <c r="A2509">
        <v>22300716</v>
      </c>
      <c r="B2509">
        <v>2023</v>
      </c>
      <c r="C2509" t="s">
        <v>32</v>
      </c>
      <c r="D2509" t="s">
        <v>47</v>
      </c>
      <c r="E2509">
        <v>123</v>
      </c>
      <c r="F2509">
        <v>124</v>
      </c>
      <c r="G2509">
        <v>4</v>
      </c>
      <c r="H2509" s="1">
        <v>3.3796296296296296E-3</v>
      </c>
      <c r="I2509" t="s">
        <v>23</v>
      </c>
      <c r="J2509" s="2" t="str">
        <f>HYPERLINK("https://www.nba.com/stats/events?CFID=&amp;CFPARAMS=&amp;GameEventID=582&amp;GameID=0022300716&amp;Season=2023-24&amp;flag=1&amp;title=Leonard%20putback%20Layup%20(28%20PTS)", "Putback Layup (28 PTS)")</f>
        <v>Putback Layup (28 PTS)</v>
      </c>
      <c r="K2509" s="2" t="str">
        <f>HYPERLINK("https://www.nba.com/game/...-vs-...-0022300716/play-by-play?watchFullGame=true", "LAC vs ATL - Q4 04:52.00")</f>
        <v>LAC vs ATL - Q4 04:52.00</v>
      </c>
      <c r="L2509">
        <v>0.93</v>
      </c>
      <c r="M2509">
        <v>5.21</v>
      </c>
      <c r="N2509">
        <v>48.28</v>
      </c>
      <c r="O2509">
        <v>9</v>
      </c>
      <c r="P2509">
        <v>-4</v>
      </c>
    </row>
    <row r="2510" spans="1:16" x14ac:dyDescent="0.25">
      <c r="A2510">
        <v>41400163</v>
      </c>
      <c r="B2510" t="s">
        <v>28</v>
      </c>
      <c r="C2510" t="s">
        <v>32</v>
      </c>
      <c r="D2510" t="s">
        <v>57</v>
      </c>
      <c r="E2510">
        <v>7</v>
      </c>
      <c r="F2510">
        <v>2</v>
      </c>
      <c r="G2510">
        <v>1</v>
      </c>
      <c r="H2510" s="1">
        <v>6.9328703703703705E-3</v>
      </c>
      <c r="I2510" t="s">
        <v>18</v>
      </c>
      <c r="J2510" s="2" t="str">
        <f>HYPERLINK("https://www.nba.com/stats/events?CFID=&amp;CFPARAMS=&amp;GameEventID=18&amp;GameID=0041400163&amp;Season=2014-15&amp;flag=1&amp;title=Leonard%201'%20Layup%20(2%20PTS)", "Leonard 1' Layup (2 PTS)")</f>
        <v>Leonard 1' Layup (2 PTS)</v>
      </c>
      <c r="K2510" s="2" t="str">
        <f>HYPERLINK("https://www.nba.com/game/...-vs-...-0041400163/play-by-play?watchFullGame=true", "SAS vs LAC - Q1 09:59.00")</f>
        <v>SAS vs LAC - Q1 09:59.00</v>
      </c>
      <c r="L2510">
        <v>1</v>
      </c>
      <c r="M2510">
        <v>9</v>
      </c>
      <c r="N2510">
        <v>-2</v>
      </c>
      <c r="O2510">
        <v>9</v>
      </c>
      <c r="P2510">
        <v>-2</v>
      </c>
    </row>
    <row r="2511" spans="1:16" x14ac:dyDescent="0.25">
      <c r="A2511">
        <v>21300224</v>
      </c>
      <c r="B2511">
        <v>2013</v>
      </c>
      <c r="C2511" t="s">
        <v>32</v>
      </c>
      <c r="D2511" t="s">
        <v>57</v>
      </c>
      <c r="E2511">
        <v>39</v>
      </c>
      <c r="F2511">
        <v>42</v>
      </c>
      <c r="G2511">
        <v>2</v>
      </c>
      <c r="H2511" s="1">
        <v>1.6782407407407408E-3</v>
      </c>
      <c r="I2511" t="s">
        <v>18</v>
      </c>
      <c r="J2511" s="2" t="str">
        <f>HYPERLINK("https://www.nba.com/stats/events?CFID=&amp;CFPARAMS=&amp;GameEventID=202&amp;GameID=0021300224&amp;Season=2013-14&amp;flag=1&amp;title=Leonard%201'%20Layup%20(13%20PTS)%20(Ginobili%201%20AST)", "Leonard 1' Layup (13 PTS) (Ginobili 1 AST)")</f>
        <v>Leonard 1' Layup (13 PTS) (Ginobili 1 AST)</v>
      </c>
      <c r="K2511" s="2" t="str">
        <f>HYPERLINK("https://www.nba.com/game/...-vs-...-0021300224/play-by-play?watchFullGame=true", "SAS vs OKC - Q2 02:25.00")</f>
        <v>SAS vs OKC - Q2 02:25.00</v>
      </c>
      <c r="L2511">
        <v>1</v>
      </c>
      <c r="M2511">
        <v>9</v>
      </c>
      <c r="N2511">
        <v>-2</v>
      </c>
      <c r="O2511">
        <v>9</v>
      </c>
      <c r="P2511">
        <v>-2</v>
      </c>
    </row>
    <row r="2512" spans="1:16" x14ac:dyDescent="0.25">
      <c r="A2512">
        <v>22300716</v>
      </c>
      <c r="B2512">
        <v>2023</v>
      </c>
      <c r="C2512" t="s">
        <v>32</v>
      </c>
      <c r="D2512" t="s">
        <v>48</v>
      </c>
      <c r="E2512">
        <v>115</v>
      </c>
      <c r="F2512">
        <v>118</v>
      </c>
      <c r="G2512">
        <v>4</v>
      </c>
      <c r="H2512" s="1">
        <v>4.7222222222222223E-3</v>
      </c>
      <c r="I2512" t="s">
        <v>23</v>
      </c>
      <c r="J2512" s="2" t="str">
        <f>HYPERLINK("https://www.nba.com/stats/events?CFID=&amp;CFPARAMS=&amp;GameEventID=556&amp;GameID=0022300716&amp;Season=2023-24&amp;flag=1&amp;title=Leonard%20driving%20DUNK%20(25%20PTS)", "Driving DUNK (25 PTS)")</f>
        <v>Driving DUNK (25 PTS)</v>
      </c>
      <c r="K2512" s="2" t="str">
        <f>HYPERLINK("https://www.nba.com/game/...-vs-...-0022300716/play-by-play?watchFullGame=true", "LAC vs ATL - Q4 06:48.00")</f>
        <v>LAC vs ATL - Q4 06:48.00</v>
      </c>
      <c r="L2512">
        <v>0.89</v>
      </c>
      <c r="M2512">
        <v>5.34</v>
      </c>
      <c r="N2512">
        <v>48.28</v>
      </c>
      <c r="O2512">
        <v>9</v>
      </c>
      <c r="P2512">
        <v>-2</v>
      </c>
    </row>
    <row r="2513" spans="1:16" x14ac:dyDescent="0.25">
      <c r="A2513">
        <v>21300520</v>
      </c>
      <c r="B2513">
        <v>2013</v>
      </c>
      <c r="C2513" t="s">
        <v>32</v>
      </c>
      <c r="D2513" t="s">
        <v>57</v>
      </c>
      <c r="E2513">
        <v>21</v>
      </c>
      <c r="F2513">
        <v>12</v>
      </c>
      <c r="G2513">
        <v>1</v>
      </c>
      <c r="H2513" s="1">
        <v>2.9513888888888888E-3</v>
      </c>
      <c r="I2513" t="s">
        <v>18</v>
      </c>
      <c r="J2513" s="2" t="str">
        <f>HYPERLINK("https://www.nba.com/stats/events?CFID=&amp;CFPARAMS=&amp;GameEventID=81&amp;GameID=0021300520&amp;Season=2013-14&amp;flag=1&amp;title=Leonard%201'%20Layup%20(7%20PTS)%20(Parker%203%20AST)", "Leonard 1' Layup (7 PTS) (Parker 3 AST)")</f>
        <v>Leonard 1' Layup (7 PTS) (Parker 3 AST)</v>
      </c>
      <c r="K2513" s="2" t="str">
        <f>HYPERLINK("https://www.nba.com/game/...-vs-...-0021300520/play-by-play?watchFullGame=true", "SAS vs DAL - Q1 04:15.00")</f>
        <v>SAS vs DAL - Q1 04:15.00</v>
      </c>
      <c r="L2513">
        <v>1</v>
      </c>
      <c r="M2513">
        <v>9</v>
      </c>
      <c r="N2513">
        <v>-2</v>
      </c>
      <c r="O2513">
        <v>9</v>
      </c>
      <c r="P2513">
        <v>-2</v>
      </c>
    </row>
    <row r="2514" spans="1:16" x14ac:dyDescent="0.25">
      <c r="A2514">
        <v>21500156</v>
      </c>
      <c r="B2514">
        <v>2015</v>
      </c>
      <c r="C2514" t="s">
        <v>32</v>
      </c>
      <c r="D2514" t="s">
        <v>57</v>
      </c>
      <c r="E2514">
        <v>23</v>
      </c>
      <c r="F2514">
        <v>15</v>
      </c>
      <c r="G2514">
        <v>2</v>
      </c>
      <c r="H2514" s="1">
        <v>6.0416666666666665E-3</v>
      </c>
      <c r="I2514" t="s">
        <v>18</v>
      </c>
      <c r="J2514" s="2" t="str">
        <f>HYPERLINK("https://www.nba.com/stats/events?CFID=&amp;CFPARAMS=&amp;GameEventID=159&amp;GameID=0021500156&amp;Season=2015-16&amp;flag=1&amp;title=Leonard%201'%20Layup%20(4%20PTS)%20(West%202%20AST)", "Leonard 1' Layup (4 PTS) (West 2 AST)")</f>
        <v>Leonard 1' Layup (4 PTS) (West 2 AST)</v>
      </c>
      <c r="K2514" s="2" t="str">
        <f>HYPERLINK("https://www.nba.com/game/...-vs-...-0021500156/play-by-play?watchFullGame=true", "SAS vs POR - Q2 08:42.00")</f>
        <v>SAS vs POR - Q2 08:42.00</v>
      </c>
      <c r="L2514">
        <v>1</v>
      </c>
      <c r="M2514">
        <v>9</v>
      </c>
      <c r="N2514">
        <v>-1</v>
      </c>
      <c r="O2514">
        <v>9</v>
      </c>
      <c r="P2514">
        <v>-1</v>
      </c>
    </row>
    <row r="2515" spans="1:16" x14ac:dyDescent="0.25">
      <c r="A2515">
        <v>41500233</v>
      </c>
      <c r="B2515" t="s">
        <v>25</v>
      </c>
      <c r="C2515" t="s">
        <v>32</v>
      </c>
      <c r="D2515" t="s">
        <v>57</v>
      </c>
      <c r="E2515">
        <v>44</v>
      </c>
      <c r="F2515">
        <v>54</v>
      </c>
      <c r="G2515">
        <v>3</v>
      </c>
      <c r="H2515" s="1">
        <v>6.7013888888888887E-3</v>
      </c>
      <c r="I2515" t="s">
        <v>18</v>
      </c>
      <c r="J2515" s="2" t="str">
        <f>HYPERLINK("https://www.nba.com/stats/events?CFID=&amp;CFPARAMS=&amp;GameEventID=282&amp;GameID=0041500233&amp;Season=2015-16&amp;flag=1&amp;title=Leonard%201'%20Layup%20(15%20PTS)", "Leonard 1' Layup (15 PTS)")</f>
        <v>Leonard 1' Layup (15 PTS)</v>
      </c>
      <c r="K2515" s="2" t="str">
        <f>HYPERLINK("https://www.nba.com/game/...-vs-...-0041500233/play-by-play?watchFullGame=true", "SAS vs OKC - Q3 09:39.00")</f>
        <v>SAS vs OKC - Q3 09:39.00</v>
      </c>
      <c r="L2515">
        <v>1</v>
      </c>
      <c r="M2515">
        <v>9</v>
      </c>
      <c r="N2515">
        <v>-1</v>
      </c>
      <c r="O2515">
        <v>9</v>
      </c>
      <c r="P2515">
        <v>-1</v>
      </c>
    </row>
    <row r="2516" spans="1:16" x14ac:dyDescent="0.25">
      <c r="A2516">
        <v>21401168</v>
      </c>
      <c r="B2516">
        <v>2014</v>
      </c>
      <c r="C2516" t="s">
        <v>32</v>
      </c>
      <c r="D2516" t="s">
        <v>49</v>
      </c>
      <c r="E2516">
        <v>75</v>
      </c>
      <c r="F2516">
        <v>62</v>
      </c>
      <c r="G2516">
        <v>3</v>
      </c>
      <c r="H2516" s="1">
        <v>2.650462962962963E-3</v>
      </c>
      <c r="I2516" t="s">
        <v>18</v>
      </c>
      <c r="J2516" s="2" t="str">
        <f>HYPERLINK("https://www.nba.com/stats/events?CFID=&amp;CFPARAMS=&amp;GameEventID=322&amp;GameID=0021401168&amp;Season=2014-15&amp;flag=1&amp;title=Leonard%201'%20Driving%20Layup%20(12%20PTS)", "Leonard 1' Driving Layup (12 PTS)")</f>
        <v>Leonard 1' Driving Layup (12 PTS)</v>
      </c>
      <c r="K2516" s="2" t="str">
        <f>HYPERLINK("https://www.nba.com/game/...-vs-...-0021401168/play-by-play?watchFullGame=true", "SAS vs HOU - Q3 03:49.00")</f>
        <v>SAS vs HOU - Q3 03:49.00</v>
      </c>
      <c r="L2516">
        <v>1</v>
      </c>
      <c r="M2516">
        <v>9</v>
      </c>
      <c r="N2516">
        <v>0</v>
      </c>
      <c r="O2516">
        <v>9</v>
      </c>
      <c r="P2516">
        <v>0</v>
      </c>
    </row>
    <row r="2517" spans="1:16" x14ac:dyDescent="0.25">
      <c r="A2517">
        <v>21601099</v>
      </c>
      <c r="B2517">
        <v>2016</v>
      </c>
      <c r="C2517" t="s">
        <v>32</v>
      </c>
      <c r="D2517" t="s">
        <v>56</v>
      </c>
      <c r="E2517">
        <v>89</v>
      </c>
      <c r="F2517">
        <v>58</v>
      </c>
      <c r="G2517">
        <v>4</v>
      </c>
      <c r="H2517" s="1">
        <v>7.3958333333333333E-3</v>
      </c>
      <c r="I2517" t="s">
        <v>18</v>
      </c>
      <c r="J2517" s="2" t="str">
        <f>HYPERLINK("https://www.nba.com/stats/events?CFID=&amp;CFPARAMS=&amp;GameEventID=418&amp;GameID=0021601099&amp;Season=2016-17&amp;flag=1&amp;title=Leonard%201'%20Running%20Layup%20(25%20PTS)", "Leonard 1' Running Layup (25 PTS)")</f>
        <v>Leonard 1' Running Layup (25 PTS)</v>
      </c>
      <c r="K2517" s="2" t="str">
        <f>HYPERLINK("https://www.nba.com/game/...-vs-...-0021601099/play-by-play?watchFullGame=true", "SAS vs CLE - Q4 10:39.00")</f>
        <v>SAS vs CLE - Q4 10:39.00</v>
      </c>
      <c r="L2517">
        <v>1</v>
      </c>
      <c r="M2517">
        <v>9</v>
      </c>
      <c r="N2517">
        <v>0</v>
      </c>
      <c r="O2517">
        <v>9</v>
      </c>
      <c r="P2517">
        <v>0</v>
      </c>
    </row>
    <row r="2518" spans="1:16" x14ac:dyDescent="0.25">
      <c r="A2518">
        <v>21300296</v>
      </c>
      <c r="B2518">
        <v>2013</v>
      </c>
      <c r="C2518" t="s">
        <v>32</v>
      </c>
      <c r="D2518" t="s">
        <v>67</v>
      </c>
      <c r="E2518">
        <v>73</v>
      </c>
      <c r="F2518">
        <v>95</v>
      </c>
      <c r="G2518">
        <v>4</v>
      </c>
      <c r="H2518" s="1">
        <v>5.8796296296296296E-3</v>
      </c>
      <c r="I2518" t="s">
        <v>18</v>
      </c>
      <c r="J2518" s="2" t="str">
        <f>HYPERLINK("https://www.nba.com/stats/events?CFID=&amp;CFPARAMS=&amp;GameEventID=357&amp;GameID=0021300296&amp;Season=2013-14&amp;flag=1&amp;title=Leonard%201'%20Driving%20Dunk%20(15%20PTS)", "Leonard 1' Driving Dunk (15 PTS)")</f>
        <v>Leonard 1' Driving Dunk (15 PTS)</v>
      </c>
      <c r="K2518" s="2" t="str">
        <f>HYPERLINK("https://www.nba.com/game/...-vs-...-0021300296/play-by-play?watchFullGame=true", "SAS vs IND - Q4 08:28.00")</f>
        <v>SAS vs IND - Q4 08:28.00</v>
      </c>
      <c r="L2518">
        <v>1</v>
      </c>
      <c r="M2518">
        <v>9</v>
      </c>
      <c r="N2518">
        <v>0</v>
      </c>
      <c r="O2518">
        <v>9</v>
      </c>
      <c r="P2518">
        <v>0</v>
      </c>
    </row>
    <row r="2519" spans="1:16" x14ac:dyDescent="0.25">
      <c r="A2519">
        <v>21400853</v>
      </c>
      <c r="B2519">
        <v>2014</v>
      </c>
      <c r="C2519" t="s">
        <v>32</v>
      </c>
      <c r="D2519" t="s">
        <v>49</v>
      </c>
      <c r="E2519">
        <v>46</v>
      </c>
      <c r="F2519">
        <v>39</v>
      </c>
      <c r="G2519">
        <v>2</v>
      </c>
      <c r="H2519" s="1">
        <v>2.9050925925925928E-3</v>
      </c>
      <c r="I2519" t="s">
        <v>18</v>
      </c>
      <c r="J2519" s="2" t="str">
        <f>HYPERLINK("https://www.nba.com/stats/events?CFID=&amp;CFPARAMS=&amp;GameEventID=165&amp;GameID=0021400853&amp;Season=2014-15&amp;flag=1&amp;title=Leonard%201'%20Driving%20Layup%20(5%20PTS)", "Leonard 1' Driving Layup (5 PTS)")</f>
        <v>Leonard 1' Driving Layup (5 PTS)</v>
      </c>
      <c r="K2519" s="2" t="str">
        <f>HYPERLINK("https://www.nba.com/game/...-vs-...-0021400853/play-by-play?watchFullGame=true", "SAS vs POR - Q2 04:11.00")</f>
        <v>SAS vs POR - Q2 04:11.00</v>
      </c>
      <c r="L2519">
        <v>1</v>
      </c>
      <c r="M2519">
        <v>9</v>
      </c>
      <c r="N2519">
        <v>1</v>
      </c>
      <c r="O2519">
        <v>9</v>
      </c>
      <c r="P2519">
        <v>1</v>
      </c>
    </row>
    <row r="2520" spans="1:16" x14ac:dyDescent="0.25">
      <c r="A2520">
        <v>22300708</v>
      </c>
      <c r="B2520">
        <v>2023</v>
      </c>
      <c r="C2520" t="s">
        <v>32</v>
      </c>
      <c r="D2520" t="s">
        <v>48</v>
      </c>
      <c r="E2520">
        <v>51</v>
      </c>
      <c r="F2520">
        <v>59</v>
      </c>
      <c r="G2520">
        <v>3</v>
      </c>
      <c r="H2520" s="1">
        <v>4.6643518518518518E-3</v>
      </c>
      <c r="I2520" t="s">
        <v>23</v>
      </c>
      <c r="J2520" s="2" t="str">
        <f>HYPERLINK("https://www.nba.com/stats/events?CFID=&amp;CFPARAMS=&amp;GameEventID=319&amp;GameID=0022300708&amp;Season=2023-24&amp;flag=1&amp;title=Leonard%20running%20DUNK%20(15%20PTS)%20(J.%20Harden%206%20AST)", "Running DUNK (15 PTS) (J. Harden 6 AST)")</f>
        <v>Running DUNK (15 PTS) (J. Harden 6 AST)</v>
      </c>
      <c r="K2520" s="2" t="str">
        <f>HYPERLINK("https://www.nba.com/game/...-vs-...-0022300708/play-by-play?watchFullGame=true", "LAC vs MIA - Q3 06:43.00")</f>
        <v>LAC vs MIA - Q3 06:43.00</v>
      </c>
      <c r="L2520">
        <v>0.87</v>
      </c>
      <c r="M2520">
        <v>94.3</v>
      </c>
      <c r="N2520">
        <v>51.72</v>
      </c>
      <c r="O2520">
        <v>9</v>
      </c>
      <c r="P2520">
        <v>1</v>
      </c>
    </row>
    <row r="2521" spans="1:16" x14ac:dyDescent="0.25">
      <c r="A2521">
        <v>21500123</v>
      </c>
      <c r="B2521">
        <v>2015</v>
      </c>
      <c r="C2521" t="s">
        <v>32</v>
      </c>
      <c r="D2521" t="s">
        <v>52</v>
      </c>
      <c r="E2521">
        <v>18</v>
      </c>
      <c r="F2521">
        <v>14</v>
      </c>
      <c r="G2521">
        <v>1</v>
      </c>
      <c r="H2521" s="1">
        <v>3.5648148148148149E-3</v>
      </c>
      <c r="I2521" t="s">
        <v>18</v>
      </c>
      <c r="J2521" s="2" t="str">
        <f>HYPERLINK("https://www.nba.com/stats/events?CFID=&amp;CFPARAMS=&amp;GameEventID=45&amp;GameID=0021500123&amp;Season=2015-16&amp;flag=1&amp;title=Leonard%201'%20Alley%20Oop%20Layup%20(6%20PTS)%20(Duncan%202%20AST)", "Leonard 1' Alley Oop Layup (6 PTS) (Duncan 2 AST)")</f>
        <v>Leonard 1' Alley Oop Layup (6 PTS) (Duncan 2 AST)</v>
      </c>
      <c r="K2521" s="2" t="str">
        <f>HYPERLINK("https://www.nba.com/game/...-vs-...-0021500123/play-by-play?watchFullGame=true", "SAS vs POR - Q1 05:08.00")</f>
        <v>SAS vs POR - Q1 05:08.00</v>
      </c>
      <c r="L2521">
        <v>1</v>
      </c>
      <c r="M2521">
        <v>9</v>
      </c>
      <c r="N2521">
        <v>2</v>
      </c>
      <c r="O2521">
        <v>9</v>
      </c>
      <c r="P2521">
        <v>2</v>
      </c>
    </row>
    <row r="2522" spans="1:16" x14ac:dyDescent="0.25">
      <c r="A2522">
        <v>41500234</v>
      </c>
      <c r="B2522" t="s">
        <v>25</v>
      </c>
      <c r="C2522" t="s">
        <v>32</v>
      </c>
      <c r="D2522" t="s">
        <v>57</v>
      </c>
      <c r="E2522">
        <v>11</v>
      </c>
      <c r="F2522">
        <v>16</v>
      </c>
      <c r="G2522">
        <v>1</v>
      </c>
      <c r="H2522" s="1">
        <v>2.5462962962962965E-3</v>
      </c>
      <c r="I2522" t="s">
        <v>18</v>
      </c>
      <c r="J2522" s="2" t="str">
        <f>HYPERLINK("https://www.nba.com/stats/events?CFID=&amp;CFPARAMS=&amp;GameEventID=73&amp;GameID=0041500234&amp;Season=2015-16&amp;flag=1&amp;title=Leonard%201'%20Layup%20(8%20PTS)", "Leonard 1' Layup (8 PTS)")</f>
        <v>Leonard 1' Layup (8 PTS)</v>
      </c>
      <c r="K2522" s="2" t="str">
        <f>HYPERLINK("https://www.nba.com/game/...-vs-...-0041500234/play-by-play?watchFullGame=true", "SAS vs OKC - Q1 03:40.00")</f>
        <v>SAS vs OKC - Q1 03:40.00</v>
      </c>
      <c r="L2522">
        <v>1</v>
      </c>
      <c r="M2522">
        <v>9</v>
      </c>
      <c r="N2522">
        <v>2</v>
      </c>
      <c r="O2522">
        <v>9</v>
      </c>
      <c r="P2522">
        <v>2</v>
      </c>
    </row>
    <row r="2523" spans="1:16" x14ac:dyDescent="0.25">
      <c r="A2523">
        <v>41600235</v>
      </c>
      <c r="B2523" t="s">
        <v>30</v>
      </c>
      <c r="C2523" t="s">
        <v>32</v>
      </c>
      <c r="D2523" t="s">
        <v>69</v>
      </c>
      <c r="E2523">
        <v>83</v>
      </c>
      <c r="F2523">
        <v>85</v>
      </c>
      <c r="G2523">
        <v>3</v>
      </c>
      <c r="H2523" s="1">
        <v>3.2638888888888887E-4</v>
      </c>
      <c r="I2523" t="s">
        <v>18</v>
      </c>
      <c r="J2523" s="2" t="str">
        <f>HYPERLINK("https://www.nba.com/stats/events?CFID=&amp;CFPARAMS=&amp;GameEventID=384&amp;GameID=0041600235&amp;Season=2016-17&amp;flag=1&amp;title=Leonard%201'%20Cutting%20Finger%20Roll%20Layup%20Shot%20(22%20PTS)%20(Green%203%20AST)", "Leonard 1' Cutting Finger Roll Layup Shot (22 PTS) (Green 3 AST)")</f>
        <v>Leonard 1' Cutting Finger Roll Layup Shot (22 PTS) (Green 3 AST)</v>
      </c>
      <c r="K2523" s="2" t="str">
        <f>HYPERLINK("https://www.nba.com/game/...-vs-...-0041600235/play-by-play?watchFullGame=true", "SAS vs HOU - Q3 00:28.20")</f>
        <v>SAS vs HOU - Q3 00:28.20</v>
      </c>
      <c r="L2523">
        <v>1</v>
      </c>
      <c r="M2523">
        <v>9</v>
      </c>
      <c r="N2523">
        <v>2</v>
      </c>
      <c r="O2523">
        <v>9</v>
      </c>
      <c r="P2523">
        <v>2</v>
      </c>
    </row>
    <row r="2524" spans="1:16" x14ac:dyDescent="0.25">
      <c r="A2524">
        <v>41500235</v>
      </c>
      <c r="B2524" t="s">
        <v>25</v>
      </c>
      <c r="C2524" t="s">
        <v>32</v>
      </c>
      <c r="D2524" t="s">
        <v>61</v>
      </c>
      <c r="E2524">
        <v>30</v>
      </c>
      <c r="F2524">
        <v>31</v>
      </c>
      <c r="G2524">
        <v>2</v>
      </c>
      <c r="H2524" s="1">
        <v>3.9004629629629628E-3</v>
      </c>
      <c r="I2524" t="s">
        <v>18</v>
      </c>
      <c r="J2524" s="2" t="str">
        <f>HYPERLINK("https://www.nba.com/stats/events?CFID=&amp;CFPARAMS=&amp;GameEventID=200&amp;GameID=0041500235&amp;Season=2015-16&amp;flag=1&amp;title=Leonard%201'%20Driving%20Finger%20Roll%20Layup%20(12%20PTS)", "Leonard 1' Driving Finger Roll Layup (12 PTS)")</f>
        <v>Leonard 1' Driving Finger Roll Layup (12 PTS)</v>
      </c>
      <c r="K2524" s="2" t="str">
        <f>HYPERLINK("https://www.nba.com/game/...-vs-...-0041500235/play-by-play?watchFullGame=true", "SAS vs OKC - Q2 05:37.00")</f>
        <v>SAS vs OKC - Q2 05:37.00</v>
      </c>
      <c r="L2524">
        <v>1</v>
      </c>
      <c r="M2524">
        <v>9</v>
      </c>
      <c r="N2524">
        <v>3</v>
      </c>
      <c r="O2524">
        <v>9</v>
      </c>
      <c r="P2524">
        <v>3</v>
      </c>
    </row>
    <row r="2525" spans="1:16" x14ac:dyDescent="0.25">
      <c r="A2525">
        <v>41800211</v>
      </c>
      <c r="B2525" t="s">
        <v>20</v>
      </c>
      <c r="C2525" t="s">
        <v>32</v>
      </c>
      <c r="D2525" t="s">
        <v>49</v>
      </c>
      <c r="E2525">
        <v>49</v>
      </c>
      <c r="F2525">
        <v>41</v>
      </c>
      <c r="G2525">
        <v>2</v>
      </c>
      <c r="H2525" s="1">
        <v>4.5254629629629629E-3</v>
      </c>
      <c r="I2525" t="s">
        <v>21</v>
      </c>
      <c r="J2525" s="2" t="str">
        <f>HYPERLINK("https://www.nba.com/stats/events?CFID=&amp;CFPARAMS=&amp;GameEventID=243&amp;GameID=0041800211&amp;Season=2018-19&amp;flag=1&amp;title=Leonard%201'%20Driving%20Layup%20(21%20PTS)", "Leonard 1' Driving Layup (21 PTS)")</f>
        <v>Leonard 1' Driving Layup (21 PTS)</v>
      </c>
      <c r="K2525" s="2" t="str">
        <f>HYPERLINK("https://www.nba.com/game/...-vs-...-0041800211/play-by-play?watchFullGame=true", "TOR vs PHI - Q2 06:31.00")</f>
        <v>TOR vs PHI - Q2 06:31.00</v>
      </c>
      <c r="L2525">
        <v>1</v>
      </c>
      <c r="M2525">
        <v>9</v>
      </c>
      <c r="N2525">
        <v>3</v>
      </c>
      <c r="O2525">
        <v>9</v>
      </c>
      <c r="P2525">
        <v>3</v>
      </c>
    </row>
    <row r="2526" spans="1:16" x14ac:dyDescent="0.25">
      <c r="A2526">
        <v>21400314</v>
      </c>
      <c r="B2526">
        <v>2014</v>
      </c>
      <c r="C2526" t="s">
        <v>32</v>
      </c>
      <c r="D2526" t="s">
        <v>57</v>
      </c>
      <c r="E2526">
        <v>42</v>
      </c>
      <c r="F2526">
        <v>43</v>
      </c>
      <c r="G2526">
        <v>2</v>
      </c>
      <c r="H2526" s="1">
        <v>9.4907407407407408E-4</v>
      </c>
      <c r="I2526" t="s">
        <v>18</v>
      </c>
      <c r="J2526" s="2" t="str">
        <f>HYPERLINK("https://www.nba.com/stats/events?CFID=&amp;CFPARAMS=&amp;GameEventID=219&amp;GameID=0021400314&amp;Season=2014-15&amp;flag=1&amp;title=Leonard%201'%20Layup%20(7%20PTS)", "Leonard 1' Layup (7 PTS)")</f>
        <v>Leonard 1' Layup (7 PTS)</v>
      </c>
      <c r="K2526" s="2" t="str">
        <f>HYPERLINK("https://www.nba.com/game/...-vs-...-0021400314/play-by-play?watchFullGame=true", "SAS vs UTA - Q2 01:22.00")</f>
        <v>SAS vs UTA - Q2 01:22.00</v>
      </c>
      <c r="L2526">
        <v>1</v>
      </c>
      <c r="M2526">
        <v>9</v>
      </c>
      <c r="N2526">
        <v>4</v>
      </c>
      <c r="O2526">
        <v>9</v>
      </c>
      <c r="P2526">
        <v>4</v>
      </c>
    </row>
    <row r="2527" spans="1:16" x14ac:dyDescent="0.25">
      <c r="A2527">
        <v>21900436</v>
      </c>
      <c r="B2527">
        <v>2019</v>
      </c>
      <c r="C2527" t="s">
        <v>32</v>
      </c>
      <c r="D2527" t="s">
        <v>50</v>
      </c>
      <c r="E2527">
        <v>68</v>
      </c>
      <c r="F2527">
        <v>85</v>
      </c>
      <c r="G2527">
        <v>3</v>
      </c>
      <c r="H2527" s="1">
        <v>5.162037037037037E-3</v>
      </c>
      <c r="I2527" t="s">
        <v>23</v>
      </c>
      <c r="J2527" s="2" t="str">
        <f>HYPERLINK("https://www.nba.com/stats/events?CFID=&amp;CFPARAMS=&amp;GameEventID=386&amp;GameID=0021900436&amp;Season=2019-20&amp;flag=1&amp;title=Leonard%20layup%20(22%20PTS)%20(P.%20Beverley%206%20AST)", "Layup (22 PTS) (P. Beverley 6 AST)")</f>
        <v>Layup (22 PTS) (P. Beverley 6 AST)</v>
      </c>
      <c r="K2527" s="2" t="str">
        <f>HYPERLINK("https://www.nba.com/game/...-vs-...-0021900436/play-by-play?watchFullGame=true", "LAC vs SAS - Q3 07:26.00")</f>
        <v>LAC vs SAS - Q3 07:26.00</v>
      </c>
      <c r="L2527">
        <v>1.27</v>
      </c>
      <c r="M2527">
        <v>94.04</v>
      </c>
      <c r="N2527">
        <v>51.78</v>
      </c>
      <c r="O2527">
        <v>9</v>
      </c>
      <c r="P2527">
        <v>4</v>
      </c>
    </row>
    <row r="2528" spans="1:16" x14ac:dyDescent="0.25">
      <c r="A2528">
        <v>22300676</v>
      </c>
      <c r="B2528">
        <v>2023</v>
      </c>
      <c r="C2528" t="s">
        <v>32</v>
      </c>
      <c r="D2528" t="s">
        <v>47</v>
      </c>
      <c r="E2528">
        <v>77</v>
      </c>
      <c r="F2528">
        <v>98</v>
      </c>
      <c r="G2528">
        <v>3</v>
      </c>
      <c r="H2528" s="1">
        <v>1.5856481481481481E-3</v>
      </c>
      <c r="I2528" t="s">
        <v>23</v>
      </c>
      <c r="J2528" s="2" t="str">
        <f>HYPERLINK("https://www.nba.com/stats/events?CFID=&amp;CFPARAMS=&amp;GameEventID=435&amp;GameID=0022300676&amp;Season=2023-24&amp;flag=1&amp;title=Leonard%20driving%20Layup%20(29%20PTS)", "Driving Layup (29 PTS)")</f>
        <v>Driving Layup (29 PTS)</v>
      </c>
      <c r="K2528" s="2" t="str">
        <f>HYPERLINK("https://www.nba.com/game/...-vs-...-0022300676/play-by-play?watchFullGame=true", "LAC vs WAS - Q3 02:17.00")</f>
        <v>LAC vs WAS - Q3 02:17.00</v>
      </c>
      <c r="L2528">
        <v>1</v>
      </c>
      <c r="M2528">
        <v>6.13</v>
      </c>
      <c r="N2528">
        <v>48.28</v>
      </c>
      <c r="O2528">
        <v>9</v>
      </c>
      <c r="P2528">
        <v>5</v>
      </c>
    </row>
    <row r="2529" spans="1:16" x14ac:dyDescent="0.25">
      <c r="A2529">
        <v>21300224</v>
      </c>
      <c r="B2529">
        <v>2013</v>
      </c>
      <c r="C2529" t="s">
        <v>32</v>
      </c>
      <c r="D2529" t="s">
        <v>67</v>
      </c>
      <c r="E2529">
        <v>34</v>
      </c>
      <c r="F2529">
        <v>34</v>
      </c>
      <c r="G2529">
        <v>2</v>
      </c>
      <c r="H2529" s="1">
        <v>4.1319444444444442E-3</v>
      </c>
      <c r="I2529" t="s">
        <v>18</v>
      </c>
      <c r="J2529" s="2" t="str">
        <f>HYPERLINK("https://www.nba.com/stats/events?CFID=&amp;CFPARAMS=&amp;GameEventID=171&amp;GameID=0021300224&amp;Season=2013-14&amp;flag=1&amp;title=Leonard%201'%20Driving%20Dunk%20(7%20PTS)%20(Parker%204%20AST)", "Leonard 1' Driving Dunk (7 PTS) (Parker 4 AST)")</f>
        <v>Leonard 1' Driving Dunk (7 PTS) (Parker 4 AST)</v>
      </c>
      <c r="K2529" s="2" t="str">
        <f>HYPERLINK("https://www.nba.com/game/...-vs-...-0021300224/play-by-play?watchFullGame=true", "SAS vs OKC - Q2 05:57.00")</f>
        <v>SAS vs OKC - Q2 05:57.00</v>
      </c>
      <c r="L2529">
        <v>1</v>
      </c>
      <c r="M2529">
        <v>9</v>
      </c>
      <c r="N2529">
        <v>6</v>
      </c>
      <c r="O2529">
        <v>9</v>
      </c>
      <c r="P2529">
        <v>6</v>
      </c>
    </row>
    <row r="2530" spans="1:16" x14ac:dyDescent="0.25">
      <c r="A2530">
        <v>22201229</v>
      </c>
      <c r="B2530">
        <v>2022</v>
      </c>
      <c r="C2530" t="s">
        <v>32</v>
      </c>
      <c r="D2530" t="s">
        <v>48</v>
      </c>
      <c r="E2530">
        <v>100</v>
      </c>
      <c r="F2530">
        <v>102</v>
      </c>
      <c r="G2530">
        <v>4</v>
      </c>
      <c r="H2530" s="1">
        <v>4.6180555555555558E-3</v>
      </c>
      <c r="I2530" t="s">
        <v>23</v>
      </c>
      <c r="J2530" s="2" t="str">
        <f>HYPERLINK("https://www.nba.com/stats/events?CFID=&amp;CFPARAMS=&amp;GameEventID=582&amp;GameID=0022201229&amp;Season=2022-23&amp;flag=1&amp;title=Leonard%20running%20alley-oop%20DUNK%20(17%20PTS)%20(R.%20Westbrook%207%20AST)", "Running alley-oop DUNK (17 PTS) (R. Westbrook 7 AST)")</f>
        <v>Running alley-oop DUNK (17 PTS) (R. Westbrook 7 AST)</v>
      </c>
      <c r="K2530" s="2" t="str">
        <f>HYPERLINK("https://www.nba.com/game/...-vs-...-0022201229/play-by-play?watchFullGame=true", "LAC vs PHX - Q4 06:39.00")</f>
        <v>LAC vs PHX - Q4 06:39.00</v>
      </c>
      <c r="L2530">
        <v>1.07</v>
      </c>
      <c r="M2530">
        <v>6.26</v>
      </c>
      <c r="N2530">
        <v>48.28</v>
      </c>
      <c r="O2530">
        <v>9</v>
      </c>
      <c r="P2530">
        <v>6</v>
      </c>
    </row>
    <row r="2531" spans="1:16" x14ac:dyDescent="0.25">
      <c r="A2531">
        <v>21600865</v>
      </c>
      <c r="B2531">
        <v>2016</v>
      </c>
      <c r="C2531" t="s">
        <v>32</v>
      </c>
      <c r="D2531" t="s">
        <v>67</v>
      </c>
      <c r="E2531">
        <v>2</v>
      </c>
      <c r="F2531">
        <v>6</v>
      </c>
      <c r="G2531">
        <v>1</v>
      </c>
      <c r="H2531" s="1">
        <v>5.2199074074074075E-3</v>
      </c>
      <c r="I2531" t="s">
        <v>18</v>
      </c>
      <c r="J2531" s="2" t="str">
        <f>HYPERLINK("https://www.nba.com/stats/events?CFID=&amp;CFPARAMS=&amp;GameEventID=27&amp;GameID=0021600865&amp;Season=2016-17&amp;flag=1&amp;title=Leonard%201'%20Driving%20Dunk%20(4%20PTS)", "Leonard 1' Driving Dunk (4 PTS)")</f>
        <v>Leonard 1' Driving Dunk (4 PTS)</v>
      </c>
      <c r="K2531" s="2" t="str">
        <f>HYPERLINK("https://www.nba.com/game/...-vs-...-0021600865/play-by-play?watchFullGame=true", "SAS vs LAC - Q1 07:31.00")</f>
        <v>SAS vs LAC - Q1 07:31.00</v>
      </c>
      <c r="L2531">
        <v>1</v>
      </c>
      <c r="M2531">
        <v>9</v>
      </c>
      <c r="N2531">
        <v>7</v>
      </c>
      <c r="O2531">
        <v>9</v>
      </c>
      <c r="P2531">
        <v>7</v>
      </c>
    </row>
    <row r="2532" spans="1:16" x14ac:dyDescent="0.25">
      <c r="A2532">
        <v>41500231</v>
      </c>
      <c r="B2532" t="s">
        <v>25</v>
      </c>
      <c r="C2532" t="s">
        <v>32</v>
      </c>
      <c r="D2532" t="s">
        <v>77</v>
      </c>
      <c r="E2532">
        <v>77</v>
      </c>
      <c r="F2532">
        <v>45</v>
      </c>
      <c r="G2532">
        <v>3</v>
      </c>
      <c r="H2532" s="1">
        <v>7.083333333333333E-3</v>
      </c>
      <c r="I2532" t="s">
        <v>18</v>
      </c>
      <c r="J2532" s="2" t="str">
        <f>HYPERLINK("https://www.nba.com/stats/events?CFID=&amp;CFPARAMS=&amp;GameEventID=255&amp;GameID=0041500231&amp;Season=2015-16&amp;flag=1&amp;title=Leonard%201'%20Finger%20Roll%20Layup%20(22%20PTS)", "Leonard 1' Finger Roll Layup (22 PTS)")</f>
        <v>Leonard 1' Finger Roll Layup (22 PTS)</v>
      </c>
      <c r="K2532" s="2" t="str">
        <f>HYPERLINK("https://www.nba.com/game/...-vs-...-0041500231/play-by-play?watchFullGame=true", "SAS vs OKC - Q3 10:12.00")</f>
        <v>SAS vs OKC - Q3 10:12.00</v>
      </c>
      <c r="L2532">
        <v>1</v>
      </c>
      <c r="M2532">
        <v>9</v>
      </c>
      <c r="N2532">
        <v>7</v>
      </c>
      <c r="O2532">
        <v>9</v>
      </c>
      <c r="P2532">
        <v>7</v>
      </c>
    </row>
    <row r="2533" spans="1:16" x14ac:dyDescent="0.25">
      <c r="A2533">
        <v>21400191</v>
      </c>
      <c r="B2533">
        <v>2014</v>
      </c>
      <c r="C2533" t="s">
        <v>32</v>
      </c>
      <c r="D2533" t="s">
        <v>57</v>
      </c>
      <c r="E2533">
        <v>18</v>
      </c>
      <c r="F2533">
        <v>11</v>
      </c>
      <c r="G2533">
        <v>1</v>
      </c>
      <c r="H2533" s="1">
        <v>1.8287037037037037E-3</v>
      </c>
      <c r="I2533" t="s">
        <v>18</v>
      </c>
      <c r="J2533" s="2" t="str">
        <f>HYPERLINK("https://www.nba.com/stats/events?CFID=&amp;CFPARAMS=&amp;GameEventID=70&amp;GameID=0021400191&amp;Season=2014-15&amp;flag=1&amp;title=Leonard%201'%20Layup%20(6%20PTS)%20(Duncan%203%20AST)", "Leonard 1' Layup (6 PTS) (Duncan 3 AST)")</f>
        <v>Leonard 1' Layup (6 PTS) (Duncan 3 AST)</v>
      </c>
      <c r="K2533" s="2" t="str">
        <f>HYPERLINK("https://www.nba.com/game/...-vs-...-0021400191/play-by-play?watchFullGame=true", "SAS vs BKN - Q1 02:38.00")</f>
        <v>SAS vs BKN - Q1 02:38.00</v>
      </c>
      <c r="L2533">
        <v>1</v>
      </c>
      <c r="M2533">
        <v>9</v>
      </c>
      <c r="N2533">
        <v>7</v>
      </c>
      <c r="O2533">
        <v>9</v>
      </c>
      <c r="P2533">
        <v>7</v>
      </c>
    </row>
    <row r="2534" spans="1:16" x14ac:dyDescent="0.25">
      <c r="A2534">
        <v>22400793</v>
      </c>
      <c r="B2534">
        <v>2024</v>
      </c>
      <c r="C2534" t="s">
        <v>32</v>
      </c>
      <c r="D2534" t="s">
        <v>47</v>
      </c>
      <c r="E2534">
        <v>69</v>
      </c>
      <c r="F2534">
        <v>76</v>
      </c>
      <c r="G2534">
        <v>3</v>
      </c>
      <c r="H2534" s="1">
        <v>3.1597222222222222E-3</v>
      </c>
      <c r="I2534" t="s">
        <v>23</v>
      </c>
      <c r="J2534" s="2" t="str">
        <f>HYPERLINK("https://www.nba.com/stats/events?CFID=&amp;CFPARAMS=&amp;GameEventID=401&amp;GameID=0022400793&amp;Season=2024-25&amp;flag=1&amp;title=Leonard%20running%20Layup%20(19%20PTS)%20(Dunn%205%20AST)", "Running Layup (19 PTS) (K. Dunn 5 AST)")</f>
        <v>Running Layup (19 PTS) (K. Dunn 5 AST)</v>
      </c>
      <c r="K2534" s="2" t="str">
        <f>HYPERLINK("https://www.nba.com/game/...-vs-...-0022400793/play-by-play?watchFullGame=true", "LAC vs MIL - Q3 04:33.00")</f>
        <v>LAC vs MIL - Q3 04:33.00</v>
      </c>
      <c r="L2534">
        <v>1.21</v>
      </c>
      <c r="M2534">
        <v>93.51</v>
      </c>
      <c r="N2534">
        <v>51.72</v>
      </c>
      <c r="O2534">
        <v>9</v>
      </c>
      <c r="P2534">
        <v>8</v>
      </c>
    </row>
    <row r="2535" spans="1:16" x14ac:dyDescent="0.25">
      <c r="A2535">
        <v>21500172</v>
      </c>
      <c r="B2535">
        <v>2015</v>
      </c>
      <c r="C2535" t="s">
        <v>32</v>
      </c>
      <c r="D2535" t="s">
        <v>66</v>
      </c>
      <c r="E2535">
        <v>71</v>
      </c>
      <c r="F2535">
        <v>62</v>
      </c>
      <c r="G2535">
        <v>3</v>
      </c>
      <c r="H2535" s="1">
        <v>6.4004629629629628E-3</v>
      </c>
      <c r="I2535" t="s">
        <v>18</v>
      </c>
      <c r="J2535" s="2" t="str">
        <f>HYPERLINK("https://www.nba.com/stats/events?CFID=&amp;CFPARAMS=&amp;GameEventID=286&amp;GameID=0021500172&amp;Season=2015-16&amp;flag=1&amp;title=Leonard%201'%20Running%20Reverse%20Layup%20(11%20PTS)%20(Green%204%20AST)", "Leonard 1' Running Reverse Layup (11 PTS) (Green 4 AST)")</f>
        <v>Leonard 1' Running Reverse Layup (11 PTS) (Green 4 AST)</v>
      </c>
      <c r="K2535" s="2" t="str">
        <f>HYPERLINK("https://www.nba.com/game/...-vs-...-0021500172/play-by-play?watchFullGame=true", "SAS vs DEN - Q3 09:13.00")</f>
        <v>SAS vs DEN - Q3 09:13.00</v>
      </c>
      <c r="L2535">
        <v>1</v>
      </c>
      <c r="M2535">
        <v>9</v>
      </c>
      <c r="N2535">
        <v>8</v>
      </c>
      <c r="O2535">
        <v>9</v>
      </c>
      <c r="P2535">
        <v>8</v>
      </c>
    </row>
    <row r="2536" spans="1:16" x14ac:dyDescent="0.25">
      <c r="A2536">
        <v>41600235</v>
      </c>
      <c r="B2536" t="s">
        <v>30</v>
      </c>
      <c r="C2536" t="s">
        <v>32</v>
      </c>
      <c r="D2536" t="s">
        <v>57</v>
      </c>
      <c r="E2536">
        <v>58</v>
      </c>
      <c r="F2536">
        <v>59</v>
      </c>
      <c r="G2536">
        <v>2</v>
      </c>
      <c r="H2536" s="1">
        <v>1.3657407407407409E-4</v>
      </c>
      <c r="I2536" t="s">
        <v>18</v>
      </c>
      <c r="J2536" s="2" t="str">
        <f>HYPERLINK("https://www.nba.com/stats/events?CFID=&amp;CFPARAMS=&amp;GameEventID=266&amp;GameID=0041600235&amp;Season=2016-17&amp;flag=1&amp;title=Leonard%201'%20Layup%20(12%20PTS)%20(Ginobili%201%20AST)", "Leonard 1' Layup (12 PTS) (Ginobili 1 AST)")</f>
        <v>Leonard 1' Layup (12 PTS) (Ginobili 1 AST)</v>
      </c>
      <c r="K2536" s="2" t="str">
        <f>HYPERLINK("https://www.nba.com/game/...-vs-...-0041600235/play-by-play?watchFullGame=true", "SAS vs HOU - Q2 00:11.80")</f>
        <v>SAS vs HOU - Q2 00:11.80</v>
      </c>
      <c r="L2536">
        <v>1</v>
      </c>
      <c r="M2536">
        <v>9</v>
      </c>
      <c r="N2536">
        <v>8</v>
      </c>
      <c r="O2536">
        <v>9</v>
      </c>
      <c r="P2536">
        <v>8</v>
      </c>
    </row>
    <row r="2537" spans="1:16" x14ac:dyDescent="0.25">
      <c r="A2537">
        <v>21300068</v>
      </c>
      <c r="B2537">
        <v>2013</v>
      </c>
      <c r="C2537" t="s">
        <v>32</v>
      </c>
      <c r="D2537" t="s">
        <v>57</v>
      </c>
      <c r="E2537">
        <v>68</v>
      </c>
      <c r="F2537">
        <v>66</v>
      </c>
      <c r="G2537">
        <v>3</v>
      </c>
      <c r="H2537" s="1">
        <v>2.8124999999999999E-3</v>
      </c>
      <c r="I2537" t="s">
        <v>18</v>
      </c>
      <c r="J2537" s="2" t="str">
        <f>HYPERLINK("https://www.nba.com/stats/events?CFID=&amp;CFPARAMS=&amp;GameEventID=294&amp;GameID=0021300068&amp;Season=2013-14&amp;flag=1&amp;title=Leonard%201'%20Layup%20(8%20PTS)", "Leonard 1' Layup (8 PTS)")</f>
        <v>Leonard 1' Layup (8 PTS)</v>
      </c>
      <c r="K2537" s="2" t="str">
        <f>HYPERLINK("https://www.nba.com/game/...-vs-...-0021300068/play-by-play?watchFullGame=true", "SAS vs PHX - Q3 04:03.00")</f>
        <v>SAS vs PHX - Q3 04:03.00</v>
      </c>
      <c r="L2537">
        <v>1</v>
      </c>
      <c r="M2537">
        <v>9</v>
      </c>
      <c r="N2537">
        <v>9</v>
      </c>
      <c r="O2537">
        <v>9</v>
      </c>
      <c r="P2537">
        <v>9</v>
      </c>
    </row>
    <row r="2538" spans="1:16" x14ac:dyDescent="0.25">
      <c r="A2538">
        <v>41300403</v>
      </c>
      <c r="B2538" t="s">
        <v>26</v>
      </c>
      <c r="C2538" t="s">
        <v>32</v>
      </c>
      <c r="D2538" t="s">
        <v>49</v>
      </c>
      <c r="E2538">
        <v>8</v>
      </c>
      <c r="F2538">
        <v>10</v>
      </c>
      <c r="G2538">
        <v>1</v>
      </c>
      <c r="H2538" s="1">
        <v>6.1921296296296299E-3</v>
      </c>
      <c r="I2538" t="s">
        <v>18</v>
      </c>
      <c r="J2538" s="2" t="str">
        <f>HYPERLINK("https://www.nba.com/stats/events?CFID=&amp;CFPARAMS=&amp;GameEventID=21&amp;GameID=0041300403&amp;Season=2013-14&amp;flag=1&amp;title=Leonard%201'%20Driving%20Layup%20(4%20PTS)", "Leonard 1' Driving Layup (4 PTS)")</f>
        <v>Leonard 1' Driving Layup (4 PTS)</v>
      </c>
      <c r="K2538" s="2" t="str">
        <f>HYPERLINK("https://www.nba.com/game/...-vs-...-0041300403/play-by-play?watchFullGame=true", "SAS vs MIA - Q1 08:55.00")</f>
        <v>SAS vs MIA - Q1 08:55.00</v>
      </c>
      <c r="L2538">
        <v>1</v>
      </c>
      <c r="M2538">
        <v>9</v>
      </c>
      <c r="N2538">
        <v>9</v>
      </c>
      <c r="O2538">
        <v>9</v>
      </c>
      <c r="P2538">
        <v>9</v>
      </c>
    </row>
    <row r="2539" spans="1:16" x14ac:dyDescent="0.25">
      <c r="A2539">
        <v>41800216</v>
      </c>
      <c r="B2539" t="s">
        <v>20</v>
      </c>
      <c r="C2539" t="s">
        <v>32</v>
      </c>
      <c r="D2539" t="s">
        <v>63</v>
      </c>
      <c r="E2539">
        <v>42</v>
      </c>
      <c r="F2539">
        <v>35</v>
      </c>
      <c r="G2539">
        <v>2</v>
      </c>
      <c r="H2539" s="1">
        <v>4.1550925925925922E-3</v>
      </c>
      <c r="I2539" t="s">
        <v>21</v>
      </c>
      <c r="J2539" s="2" t="str">
        <f>HYPERLINK("https://www.nba.com/stats/events?CFID=&amp;CFPARAMS=&amp;GameEventID=232&amp;GameID=0041800216&amp;Season=2018-19&amp;flag=1&amp;title=Leonard%201'%20Running%20Dunk%20(14%20PTS)%20(Lowry%203%20AST)", "Leonard 1' Running Dunk (14 PTS) (Lowry 3 AST)")</f>
        <v>Leonard 1' Running Dunk (14 PTS) (Lowry 3 AST)</v>
      </c>
      <c r="K2539" s="2" t="str">
        <f>HYPERLINK("https://www.nba.com/game/...-vs-...-0041800216/play-by-play?watchFullGame=true", "TOR vs PHI - Q2 05:59.00")</f>
        <v>TOR vs PHI - Q2 05:59.00</v>
      </c>
      <c r="L2539">
        <v>1</v>
      </c>
      <c r="M2539">
        <v>9</v>
      </c>
      <c r="N2539">
        <v>9</v>
      </c>
      <c r="O2539">
        <v>9</v>
      </c>
      <c r="P2539">
        <v>9</v>
      </c>
    </row>
    <row r="2540" spans="1:16" x14ac:dyDescent="0.25">
      <c r="A2540">
        <v>22000308</v>
      </c>
      <c r="B2540">
        <v>2020</v>
      </c>
      <c r="C2540" t="s">
        <v>32</v>
      </c>
      <c r="D2540" t="s">
        <v>47</v>
      </c>
      <c r="E2540">
        <v>103</v>
      </c>
      <c r="F2540">
        <v>114</v>
      </c>
      <c r="G2540">
        <v>4</v>
      </c>
      <c r="H2540" s="1">
        <v>3.9930555555555552E-3</v>
      </c>
      <c r="I2540" t="s">
        <v>23</v>
      </c>
      <c r="J2540" s="2" t="str">
        <f>HYPERLINK("https://www.nba.com/stats/events?CFID=&amp;CFPARAMS=&amp;GameEventID=509&amp;GameID=0022000308&amp;Season=2020-21&amp;flag=1&amp;title=Leonard%20driving%20finger%20roll%20Layup%20(24%20PTS)", "Driving finger roll Layup (24 PTS)")</f>
        <v>Driving finger roll Layup (24 PTS)</v>
      </c>
      <c r="K2540" s="2" t="str">
        <f>HYPERLINK("https://www.nba.com/game/...-vs-...-0022000308/play-by-play?watchFullGame=true", "LAC vs NYK - Q4 05:45.00")</f>
        <v>LAC vs NYK - Q4 05:45.00</v>
      </c>
      <c r="L2540">
        <v>1.32</v>
      </c>
      <c r="M2540">
        <v>93.38</v>
      </c>
      <c r="N2540">
        <v>51.78</v>
      </c>
      <c r="O2540">
        <v>9</v>
      </c>
      <c r="P2540">
        <v>10</v>
      </c>
    </row>
    <row r="2541" spans="1:16" x14ac:dyDescent="0.25">
      <c r="A2541">
        <v>21301084</v>
      </c>
      <c r="B2541">
        <v>2013</v>
      </c>
      <c r="C2541" t="s">
        <v>32</v>
      </c>
      <c r="D2541" t="s">
        <v>57</v>
      </c>
      <c r="E2541">
        <v>54</v>
      </c>
      <c r="F2541">
        <v>75</v>
      </c>
      <c r="G2541">
        <v>3</v>
      </c>
      <c r="H2541" s="1">
        <v>5.115740740740741E-3</v>
      </c>
      <c r="I2541" t="s">
        <v>18</v>
      </c>
      <c r="J2541" s="2" t="str">
        <f>HYPERLINK("https://www.nba.com/stats/events?CFID=&amp;CFPARAMS=&amp;GameEventID=308&amp;GameID=0021301084&amp;Season=2013-14&amp;flag=1&amp;title=Leonard%201'%20Layup%20(14%20PTS)%20(Mills%203%20AST)", "Leonard 1' Layup (14 PTS) (Mills 3 AST)")</f>
        <v>Leonard 1' Layup (14 PTS) (Mills 3 AST)</v>
      </c>
      <c r="K2541" s="2" t="str">
        <f>HYPERLINK("https://www.nba.com/game/...-vs-...-0021301084/play-by-play?watchFullGame=true", "SAS vs DEN - Q3 07:22.00")</f>
        <v>SAS vs DEN - Q3 07:22.00</v>
      </c>
      <c r="L2541">
        <v>1</v>
      </c>
      <c r="M2541">
        <v>9</v>
      </c>
      <c r="N2541">
        <v>11</v>
      </c>
      <c r="O2541">
        <v>9</v>
      </c>
      <c r="P2541">
        <v>11</v>
      </c>
    </row>
    <row r="2542" spans="1:16" x14ac:dyDescent="0.25">
      <c r="A2542">
        <v>21600412</v>
      </c>
      <c r="B2542">
        <v>2016</v>
      </c>
      <c r="C2542" t="s">
        <v>32</v>
      </c>
      <c r="D2542" t="s">
        <v>52</v>
      </c>
      <c r="E2542">
        <v>30</v>
      </c>
      <c r="F2542">
        <v>26</v>
      </c>
      <c r="G2542">
        <v>1</v>
      </c>
      <c r="H2542" s="1">
        <v>4.4907407407407407E-4</v>
      </c>
      <c r="I2542" t="s">
        <v>18</v>
      </c>
      <c r="J2542" s="2" t="str">
        <f>HYPERLINK("https://www.nba.com/stats/events?CFID=&amp;CFPARAMS=&amp;GameEventID=118&amp;GameID=0021600412&amp;Season=2016-17&amp;flag=1&amp;title=Leonard%201'%20Alley%20Oop%20Layup%20(9%20PTS)%20(Gasol%202%20AST)", "Leonard 1' Alley Oop Layup (9 PTS) (Gasol 2 AST)")</f>
        <v>Leonard 1' Alley Oop Layup (9 PTS) (Gasol 2 AST)</v>
      </c>
      <c r="K2542" s="2" t="str">
        <f>HYPERLINK("https://www.nba.com/game/...-vs-...-0021600412/play-by-play?watchFullGame=true", "SAS vs NOP - Q1 00:38.80")</f>
        <v>SAS vs NOP - Q1 00:38.80</v>
      </c>
      <c r="L2542">
        <v>1</v>
      </c>
      <c r="M2542">
        <v>9</v>
      </c>
      <c r="N2542">
        <v>11</v>
      </c>
      <c r="O2542">
        <v>9</v>
      </c>
      <c r="P2542">
        <v>11</v>
      </c>
    </row>
    <row r="2543" spans="1:16" x14ac:dyDescent="0.25">
      <c r="A2543">
        <v>41800115</v>
      </c>
      <c r="B2543" t="s">
        <v>20</v>
      </c>
      <c r="C2543" t="s">
        <v>32</v>
      </c>
      <c r="D2543" t="s">
        <v>59</v>
      </c>
      <c r="E2543">
        <v>11</v>
      </c>
      <c r="F2543">
        <v>1</v>
      </c>
      <c r="G2543">
        <v>1</v>
      </c>
      <c r="H2543" s="1">
        <v>6.3310185185185188E-3</v>
      </c>
      <c r="I2543" t="s">
        <v>21</v>
      </c>
      <c r="J2543" s="2" t="str">
        <f>HYPERLINK("https://www.nba.com/stats/events?CFID=&amp;CFPARAMS=&amp;GameEventID=38&amp;GameID=0041800115&amp;Season=2018-19&amp;flag=1&amp;title=Leonard%201'%20Putback%20Layup%20(2%20PTS)", "Leonard 1' Putback Layup (2 PTS)")</f>
        <v>Leonard 1' Putback Layup (2 PTS)</v>
      </c>
      <c r="K2543" s="2" t="str">
        <f>HYPERLINK("https://www.nba.com/game/...-vs-...-0041800115/play-by-play?watchFullGame=true", "TOR vs ORL - Q1 09:07.00")</f>
        <v>TOR vs ORL - Q1 09:07.00</v>
      </c>
      <c r="L2543">
        <v>1</v>
      </c>
      <c r="M2543">
        <v>9</v>
      </c>
      <c r="N2543">
        <v>11</v>
      </c>
      <c r="O2543">
        <v>9</v>
      </c>
      <c r="P2543">
        <v>11</v>
      </c>
    </row>
    <row r="2544" spans="1:16" x14ac:dyDescent="0.25">
      <c r="A2544">
        <v>41200232</v>
      </c>
      <c r="B2544" t="s">
        <v>27</v>
      </c>
      <c r="C2544" t="s">
        <v>32</v>
      </c>
      <c r="D2544" t="s">
        <v>72</v>
      </c>
      <c r="E2544">
        <v>10</v>
      </c>
      <c r="F2544">
        <v>10</v>
      </c>
      <c r="G2544">
        <v>1</v>
      </c>
      <c r="H2544" s="1">
        <v>5.2777777777777779E-3</v>
      </c>
      <c r="I2544" t="s">
        <v>18</v>
      </c>
      <c r="J2544" s="2" t="str">
        <f>HYPERLINK("https://www.nba.com/stats/events?CFID=&amp;CFPARAMS=&amp;GameEventID=39&amp;GameID=0041200232&amp;Season=2012-13&amp;flag=1&amp;title=Leonard%202'%20Tip%20Shot%20(2%20PTS)", "Leonard 2' Tip Shot (2 PTS)")</f>
        <v>Leonard 2' Tip Shot (2 PTS)</v>
      </c>
      <c r="K2544" s="2" t="str">
        <f>HYPERLINK("https://www.nba.com/game/...-vs-...-0041200232/play-by-play?watchFullGame=true", "SAS vs GSW - Q1 07:36.00")</f>
        <v>SAS vs GSW - Q1 07:36.00</v>
      </c>
      <c r="L2544">
        <v>2</v>
      </c>
      <c r="M2544">
        <v>9</v>
      </c>
      <c r="N2544">
        <v>12</v>
      </c>
      <c r="O2544">
        <v>9</v>
      </c>
      <c r="P2544">
        <v>12</v>
      </c>
    </row>
    <row r="2545" spans="1:16" x14ac:dyDescent="0.25">
      <c r="A2545">
        <v>22000989</v>
      </c>
      <c r="B2545">
        <v>2020</v>
      </c>
      <c r="C2545" t="s">
        <v>32</v>
      </c>
      <c r="D2545" t="s">
        <v>48</v>
      </c>
      <c r="E2545">
        <v>4</v>
      </c>
      <c r="F2545">
        <v>2</v>
      </c>
      <c r="G2545">
        <v>1</v>
      </c>
      <c r="H2545" s="1">
        <v>7.3032407407407404E-3</v>
      </c>
      <c r="I2545" t="s">
        <v>23</v>
      </c>
      <c r="J2545" s="2" t="str">
        <f>HYPERLINK("https://www.nba.com/stats/events?CFID=&amp;CFPARAMS=&amp;GameEventID=20&amp;GameID=0022000989&amp;Season=2020-21&amp;flag=1&amp;title=Leonard%20driving%20DUNK%20(2%20PTS)", "Driving DUNK (2 PTS)")</f>
        <v>Driving DUNK (2 PTS)</v>
      </c>
      <c r="K2545" s="2" t="str">
        <f>HYPERLINK("https://www.nba.com/game/...-vs-...-0022000989/play-by-play?watchFullGame=true", "LAC vs TOR - Q1 10:31.00")</f>
        <v>LAC vs TOR - Q1 10:31.00</v>
      </c>
      <c r="L2545">
        <v>1.51</v>
      </c>
      <c r="M2545">
        <v>93.12</v>
      </c>
      <c r="N2545">
        <v>51.78</v>
      </c>
      <c r="O2545">
        <v>9</v>
      </c>
      <c r="P2545">
        <v>12</v>
      </c>
    </row>
    <row r="2546" spans="1:16" x14ac:dyDescent="0.25">
      <c r="A2546">
        <v>41600233</v>
      </c>
      <c r="B2546" t="s">
        <v>30</v>
      </c>
      <c r="C2546" t="s">
        <v>32</v>
      </c>
      <c r="D2546" t="s">
        <v>57</v>
      </c>
      <c r="E2546">
        <v>39</v>
      </c>
      <c r="F2546">
        <v>41</v>
      </c>
      <c r="G2546">
        <v>2</v>
      </c>
      <c r="H2546" s="1">
        <v>5.0347222222222221E-4</v>
      </c>
      <c r="I2546" t="s">
        <v>18</v>
      </c>
      <c r="J2546" s="2" t="str">
        <f>HYPERLINK("https://www.nba.com/stats/events?CFID=&amp;CFPARAMS=&amp;GameEventID=243&amp;GameID=0041600233&amp;Season=2016-17&amp;flag=1&amp;title=Leonard%202'%20Layup%20(8%20PTS)", "Leonard 2' Layup (8 PTS)")</f>
        <v>Leonard 2' Layup (8 PTS)</v>
      </c>
      <c r="K2546" s="2" t="str">
        <f>HYPERLINK("https://www.nba.com/game/...-vs-...-0041600233/play-by-play?watchFullGame=true", "SAS vs HOU - Q2 00:43.50")</f>
        <v>SAS vs HOU - Q2 00:43.50</v>
      </c>
      <c r="L2546">
        <v>2</v>
      </c>
      <c r="M2546">
        <v>9</v>
      </c>
      <c r="N2546">
        <v>13</v>
      </c>
      <c r="O2546">
        <v>9</v>
      </c>
      <c r="P2546">
        <v>13</v>
      </c>
    </row>
    <row r="2547" spans="1:16" x14ac:dyDescent="0.25">
      <c r="A2547">
        <v>21300978</v>
      </c>
      <c r="B2547">
        <v>2013</v>
      </c>
      <c r="C2547" t="s">
        <v>32</v>
      </c>
      <c r="D2547" t="s">
        <v>57</v>
      </c>
      <c r="E2547">
        <v>13</v>
      </c>
      <c r="F2547">
        <v>10</v>
      </c>
      <c r="G2547">
        <v>1</v>
      </c>
      <c r="H2547" s="1">
        <v>4.2939814814814811E-3</v>
      </c>
      <c r="I2547" t="s">
        <v>18</v>
      </c>
      <c r="J2547" s="2" t="str">
        <f>HYPERLINK("https://www.nba.com/stats/events?CFID=&amp;CFPARAMS=&amp;GameEventID=61&amp;GameID=0021300978&amp;Season=2013-14&amp;flag=1&amp;title=Leonard%202'%20Layup%20(4%20PTS)", "Leonard 2' Layup (4 PTS)")</f>
        <v>Leonard 2' Layup (4 PTS)</v>
      </c>
      <c r="K2547" s="2" t="str">
        <f>HYPERLINK("https://www.nba.com/game/...-vs-...-0021300978/play-by-play?watchFullGame=true", "SAS vs LAL - Q1 06:11.00")</f>
        <v>SAS vs LAL - Q1 06:11.00</v>
      </c>
      <c r="L2547">
        <v>2</v>
      </c>
      <c r="M2547">
        <v>9</v>
      </c>
      <c r="N2547">
        <v>15</v>
      </c>
      <c r="O2547">
        <v>9</v>
      </c>
      <c r="P2547">
        <v>15</v>
      </c>
    </row>
    <row r="2548" spans="1:16" x14ac:dyDescent="0.25">
      <c r="A2548">
        <v>22300052</v>
      </c>
      <c r="B2548">
        <v>2023</v>
      </c>
      <c r="C2548" t="s">
        <v>32</v>
      </c>
      <c r="D2548" t="s">
        <v>47</v>
      </c>
      <c r="E2548">
        <v>77</v>
      </c>
      <c r="F2548">
        <v>75</v>
      </c>
      <c r="G2548">
        <v>3</v>
      </c>
      <c r="H2548" s="1">
        <v>2.8587962962962963E-3</v>
      </c>
      <c r="I2548" t="s">
        <v>23</v>
      </c>
      <c r="J2548" s="2" t="str">
        <f>HYPERLINK("https://www.nba.com/stats/events?CFID=&amp;CFPARAMS=&amp;GameEventID=429&amp;GameID=0022300052&amp;Season=2023-24&amp;flag=1&amp;title=Leonard%20running%20Layup%20(16%20PTS)", "Running Layup (16 PTS)")</f>
        <v>Running Layup (16 PTS)</v>
      </c>
      <c r="K2548" s="2" t="str">
        <f>HYPERLINK("https://www.nba.com/game/...-vs-...-0022300052/play-by-play?watchFullGame=true", "LAC vs NOP - Q3 04:07.00")</f>
        <v>LAC vs NOP - Q3 04:07.00</v>
      </c>
      <c r="L2548">
        <v>1.83</v>
      </c>
      <c r="M2548">
        <v>92.69</v>
      </c>
      <c r="N2548">
        <v>51.72</v>
      </c>
      <c r="O2548">
        <v>9</v>
      </c>
      <c r="P2548">
        <v>16</v>
      </c>
    </row>
    <row r="2549" spans="1:16" x14ac:dyDescent="0.25">
      <c r="A2549">
        <v>21500909</v>
      </c>
      <c r="B2549">
        <v>2015</v>
      </c>
      <c r="C2549" t="s">
        <v>32</v>
      </c>
      <c r="D2549" t="s">
        <v>49</v>
      </c>
      <c r="E2549">
        <v>17</v>
      </c>
      <c r="F2549">
        <v>18</v>
      </c>
      <c r="G2549">
        <v>1</v>
      </c>
      <c r="H2549" s="1">
        <v>3.1018518518518517E-3</v>
      </c>
      <c r="I2549" t="s">
        <v>18</v>
      </c>
      <c r="J2549" s="2" t="str">
        <f>HYPERLINK("https://www.nba.com/stats/events?CFID=&amp;CFPARAMS=&amp;GameEventID=65&amp;GameID=0021500909&amp;Season=2015-16&amp;flag=1&amp;title=Leonard%202'%20Driving%20Layup%20(7%20PTS)%20(Diaw%201%20AST)", "Leonard 2' Driving Layup (7 PTS) (Diaw 1 AST)")</f>
        <v>Leonard 2' Driving Layup (7 PTS) (Diaw 1 AST)</v>
      </c>
      <c r="K2549" s="2" t="str">
        <f>HYPERLINK("https://www.nba.com/game/...-vs-...-0021500909/play-by-play?watchFullGame=true", "SAS vs NOP - Q1 04:28.00")</f>
        <v>SAS vs NOP - Q1 04:28.00</v>
      </c>
      <c r="L2549">
        <v>2</v>
      </c>
      <c r="M2549">
        <v>9</v>
      </c>
      <c r="N2549">
        <v>16</v>
      </c>
      <c r="O2549">
        <v>9</v>
      </c>
      <c r="P2549">
        <v>16</v>
      </c>
    </row>
    <row r="2550" spans="1:16" x14ac:dyDescent="0.25">
      <c r="A2550">
        <v>22000002</v>
      </c>
      <c r="B2550">
        <v>2020</v>
      </c>
      <c r="C2550" t="s">
        <v>32</v>
      </c>
      <c r="D2550" t="s">
        <v>47</v>
      </c>
      <c r="E2550">
        <v>15</v>
      </c>
      <c r="F2550">
        <v>33</v>
      </c>
      <c r="G2550">
        <v>1</v>
      </c>
      <c r="H2550" s="1">
        <v>2.1875000000000002E-3</v>
      </c>
      <c r="I2550" t="s">
        <v>23</v>
      </c>
      <c r="J2550" s="2" t="str">
        <f>HYPERLINK("https://www.nba.com/stats/events?CFID=&amp;CFPARAMS=&amp;GameEventID=125&amp;GameID=0022000002&amp;Season=2020-21&amp;flag=1&amp;title=Leonard%20driving%20Layup%20(8%20PTS)%20(L.%20Williams%201%20AST)", "Driving Layup (8 PTS) (L. Williams 1 AST)")</f>
        <v>Driving Layup (8 PTS) (L. Williams 1 AST)</v>
      </c>
      <c r="K2550" s="2" t="str">
        <f>HYPERLINK("https://www.nba.com/game/...-vs-...-0022000002/play-by-play?watchFullGame=true", "LAC vs LAL - Q1 03:09.00")</f>
        <v>LAC vs LAL - Q1 03:09.00</v>
      </c>
      <c r="L2550">
        <v>1.88</v>
      </c>
      <c r="M2550">
        <v>7.31</v>
      </c>
      <c r="N2550">
        <v>48.11</v>
      </c>
      <c r="O2550">
        <v>9</v>
      </c>
      <c r="P2550">
        <v>16</v>
      </c>
    </row>
    <row r="2551" spans="1:16" x14ac:dyDescent="0.25">
      <c r="A2551">
        <v>22200735</v>
      </c>
      <c r="B2551">
        <v>2022</v>
      </c>
      <c r="C2551" t="s">
        <v>32</v>
      </c>
      <c r="D2551" t="s">
        <v>47</v>
      </c>
      <c r="E2551">
        <v>5</v>
      </c>
      <c r="F2551">
        <v>3</v>
      </c>
      <c r="G2551">
        <v>1</v>
      </c>
      <c r="H2551" s="1">
        <v>7.2106481481481483E-3</v>
      </c>
      <c r="I2551" t="s">
        <v>23</v>
      </c>
      <c r="J2551" s="2" t="str">
        <f>HYPERLINK("https://www.nba.com/stats/events?CFID=&amp;CFPARAMS=&amp;GameEventID=20&amp;GameID=0022200735&amp;Season=2022-23&amp;flag=1&amp;title=Leonard%20driving%20Layup%20(2%20PTS)%20(P.%20George%201%20AST)", "Driving Layup (2 PTS) (P. George 1 AST)")</f>
        <v>Driving Layup (2 PTS) (P. George 1 AST)</v>
      </c>
      <c r="K2551" s="2" t="str">
        <f>HYPERLINK("https://www.nba.com/game/...-vs-...-0022200735/play-by-play?watchFullGame=true", "LAC vs SAS - Q1 10:23.00")</f>
        <v>LAC vs SAS - Q1 10:23.00</v>
      </c>
      <c r="L2551">
        <v>1.94</v>
      </c>
      <c r="M2551">
        <v>92.56</v>
      </c>
      <c r="N2551">
        <v>51.72</v>
      </c>
      <c r="O2551">
        <v>9</v>
      </c>
      <c r="P2551">
        <v>17</v>
      </c>
    </row>
    <row r="2552" spans="1:16" x14ac:dyDescent="0.25">
      <c r="A2552">
        <v>41500236</v>
      </c>
      <c r="B2552" t="s">
        <v>25</v>
      </c>
      <c r="C2552" t="s">
        <v>32</v>
      </c>
      <c r="D2552" t="s">
        <v>49</v>
      </c>
      <c r="E2552">
        <v>13</v>
      </c>
      <c r="F2552">
        <v>18</v>
      </c>
      <c r="G2552">
        <v>1</v>
      </c>
      <c r="H2552" s="1">
        <v>2.7430555555555554E-3</v>
      </c>
      <c r="I2552" t="s">
        <v>18</v>
      </c>
      <c r="J2552" s="2" t="str">
        <f>HYPERLINK("https://www.nba.com/stats/events?CFID=&amp;CFPARAMS=&amp;GameEventID=60&amp;GameID=0041500236&amp;Season=2015-16&amp;flag=1&amp;title=Leonard%202'%20Driving%20Layup%20(4%20PTS)", "Leonard 2' Driving Layup (4 PTS)")</f>
        <v>Leonard 2' Driving Layup (4 PTS)</v>
      </c>
      <c r="K2552" s="2" t="str">
        <f>HYPERLINK("https://www.nba.com/game/...-vs-...-0041500236/play-by-play?watchFullGame=true", "SAS vs OKC - Q1 03:57.00")</f>
        <v>SAS vs OKC - Q1 03:57.00</v>
      </c>
      <c r="L2552">
        <v>2</v>
      </c>
      <c r="M2552">
        <v>9</v>
      </c>
      <c r="N2552">
        <v>18</v>
      </c>
      <c r="O2552">
        <v>9</v>
      </c>
      <c r="P2552">
        <v>18</v>
      </c>
    </row>
    <row r="2553" spans="1:16" x14ac:dyDescent="0.25">
      <c r="A2553">
        <v>21500465</v>
      </c>
      <c r="B2553">
        <v>2015</v>
      </c>
      <c r="C2553" t="s">
        <v>32</v>
      </c>
      <c r="D2553" t="s">
        <v>58</v>
      </c>
      <c r="E2553">
        <v>54</v>
      </c>
      <c r="F2553">
        <v>54</v>
      </c>
      <c r="G2553">
        <v>3</v>
      </c>
      <c r="H2553" s="1">
        <v>7.037037037037037E-3</v>
      </c>
      <c r="I2553" t="s">
        <v>18</v>
      </c>
      <c r="J2553" s="2" t="str">
        <f>HYPERLINK("https://www.nba.com/stats/events?CFID=&amp;CFPARAMS=&amp;GameEventID=262&amp;GameID=0021500465&amp;Season=2015-16&amp;flag=1&amp;title=Leonard%202'%20Driving%20Bank%20Hook%20Shot%20(11%20PTS)", "Leonard 2' Driving Bank Hook Shot (11 PTS)")</f>
        <v>Leonard 2' Driving Bank Hook Shot (11 PTS)</v>
      </c>
      <c r="K2553" s="2" t="str">
        <f>HYPERLINK("https://www.nba.com/game/...-vs-...-0021500465/play-by-play?watchFullGame=true", "SAS vs MIN - Q3 10:08.00")</f>
        <v>SAS vs MIN - Q3 10:08.00</v>
      </c>
      <c r="L2553">
        <v>2</v>
      </c>
      <c r="M2553">
        <v>9</v>
      </c>
      <c r="N2553">
        <v>18</v>
      </c>
      <c r="O2553">
        <v>9</v>
      </c>
      <c r="P2553">
        <v>18</v>
      </c>
    </row>
    <row r="2554" spans="1:16" x14ac:dyDescent="0.25">
      <c r="A2554">
        <v>21400637</v>
      </c>
      <c r="B2554">
        <v>2014</v>
      </c>
      <c r="C2554" t="s">
        <v>32</v>
      </c>
      <c r="D2554" t="s">
        <v>57</v>
      </c>
      <c r="E2554">
        <v>30</v>
      </c>
      <c r="F2554">
        <v>26</v>
      </c>
      <c r="G2554">
        <v>2</v>
      </c>
      <c r="H2554" s="1">
        <v>5.8796296296296296E-3</v>
      </c>
      <c r="I2554" t="s">
        <v>18</v>
      </c>
      <c r="J2554" s="2" t="str">
        <f>HYPERLINK("https://www.nba.com/stats/events?CFID=&amp;CFPARAMS=&amp;GameEventID=147&amp;GameID=0021400637&amp;Season=2014-15&amp;flag=1&amp;title=Leonard%202'%20Layup%20(4%20PTS)%20(Diaw%201%20AST)", "Leonard 2' Layup (4 PTS) (Diaw 1 AST)")</f>
        <v>Leonard 2' Layup (4 PTS) (Diaw 1 AST)</v>
      </c>
      <c r="K2554" s="2" t="str">
        <f>HYPERLINK("https://www.nba.com/game/...-vs-...-0021400637/play-by-play?watchFullGame=true", "SAS vs CHI - Q2 08:28.00")</f>
        <v>SAS vs CHI - Q2 08:28.00</v>
      </c>
      <c r="L2554">
        <v>2</v>
      </c>
      <c r="M2554">
        <v>9</v>
      </c>
      <c r="N2554">
        <v>19</v>
      </c>
      <c r="O2554">
        <v>9</v>
      </c>
      <c r="P2554">
        <v>19</v>
      </c>
    </row>
    <row r="2555" spans="1:16" x14ac:dyDescent="0.25">
      <c r="A2555">
        <v>41200236</v>
      </c>
      <c r="B2555" t="s">
        <v>27</v>
      </c>
      <c r="C2555" t="s">
        <v>32</v>
      </c>
      <c r="D2555" t="s">
        <v>57</v>
      </c>
      <c r="E2555">
        <v>15</v>
      </c>
      <c r="F2555">
        <v>16</v>
      </c>
      <c r="G2555">
        <v>1</v>
      </c>
      <c r="H2555" s="1">
        <v>2.1875000000000002E-3</v>
      </c>
      <c r="I2555" t="s">
        <v>18</v>
      </c>
      <c r="J2555" s="2" t="str">
        <f>HYPERLINK("https://www.nba.com/stats/events?CFID=&amp;CFPARAMS=&amp;GameEventID=66&amp;GameID=0041200236&amp;Season=2012-13&amp;flag=1&amp;title=Leonard%202'%20Layup%20(4%20PTS)%20(Ginobili%203%20AST)", "Leonard 2' Layup (4 PTS) (Ginobili 3 AST)")</f>
        <v>Leonard 2' Layup (4 PTS) (Ginobili 3 AST)</v>
      </c>
      <c r="K2555" s="2" t="str">
        <f>HYPERLINK("https://www.nba.com/game/...-vs-...-0041200236/play-by-play?watchFullGame=true", "SAS vs GSW - Q1 03:09.00")</f>
        <v>SAS vs GSW - Q1 03:09.00</v>
      </c>
      <c r="L2555">
        <v>2</v>
      </c>
      <c r="M2555">
        <v>9</v>
      </c>
      <c r="N2555">
        <v>20</v>
      </c>
      <c r="O2555">
        <v>9</v>
      </c>
      <c r="P2555">
        <v>20</v>
      </c>
    </row>
    <row r="2556" spans="1:16" x14ac:dyDescent="0.25">
      <c r="A2556">
        <v>21900523</v>
      </c>
      <c r="B2556">
        <v>2019</v>
      </c>
      <c r="C2556" t="s">
        <v>32</v>
      </c>
      <c r="D2556" t="s">
        <v>50</v>
      </c>
      <c r="E2556">
        <v>91</v>
      </c>
      <c r="F2556">
        <v>110</v>
      </c>
      <c r="G2556">
        <v>4</v>
      </c>
      <c r="H2556" s="1">
        <v>5.208333333333333E-3</v>
      </c>
      <c r="I2556" t="s">
        <v>23</v>
      </c>
      <c r="J2556" s="2" t="str">
        <f>HYPERLINK("https://www.nba.com/stats/events?CFID=&amp;CFPARAMS=&amp;GameEventID=601&amp;GameID=0021900523&amp;Season=2019-20&amp;flag=1&amp;title=Leonard%20layup%20(24%20PTS)", "Layup (24 PTS)")</f>
        <v>Layup (24 PTS)</v>
      </c>
      <c r="K2556" s="2" t="str">
        <f>HYPERLINK("https://www.nba.com/game/...-vs-...-0021900523/play-by-play?watchFullGame=true", "LAC vs MEM - Q4 07:30.00")</f>
        <v>LAC vs MEM - Q4 07:30.00</v>
      </c>
      <c r="L2556">
        <v>2.71</v>
      </c>
      <c r="M2556">
        <v>92.3</v>
      </c>
      <c r="N2556">
        <v>51.89</v>
      </c>
      <c r="O2556">
        <v>9</v>
      </c>
      <c r="P2556">
        <v>20</v>
      </c>
    </row>
    <row r="2557" spans="1:16" x14ac:dyDescent="0.25">
      <c r="A2557">
        <v>21600994</v>
      </c>
      <c r="B2557">
        <v>2016</v>
      </c>
      <c r="C2557" t="s">
        <v>32</v>
      </c>
      <c r="D2557" t="s">
        <v>61</v>
      </c>
      <c r="E2557">
        <v>40</v>
      </c>
      <c r="F2557">
        <v>29</v>
      </c>
      <c r="G2557">
        <v>2</v>
      </c>
      <c r="H2557" s="1">
        <v>2.8819444444444444E-3</v>
      </c>
      <c r="I2557" t="s">
        <v>18</v>
      </c>
      <c r="J2557" s="2" t="str">
        <f>HYPERLINK("https://www.nba.com/stats/events?CFID=&amp;CFPARAMS=&amp;GameEventID=219&amp;GameID=0021600994&amp;Season=2016-17&amp;flag=1&amp;title=Leonard%202'%20Driving%20Finger%20Roll%20Layup%20(15%20PTS)%20(Green%201%20AST)", "Leonard 2' Driving Finger Roll Layup (15 PTS) (Green 1 AST)")</f>
        <v>Leonard 2' Driving Finger Roll Layup (15 PTS) (Green 1 AST)</v>
      </c>
      <c r="K2557" s="2" t="str">
        <f>HYPERLINK("https://www.nba.com/game/...-vs-...-0021600994/play-by-play?watchFullGame=true", "SAS vs ATL - Q2 04:09.00")</f>
        <v>SAS vs ATL - Q2 04:09.00</v>
      </c>
      <c r="L2557">
        <v>2</v>
      </c>
      <c r="M2557">
        <v>9</v>
      </c>
      <c r="N2557">
        <v>21</v>
      </c>
      <c r="O2557">
        <v>9</v>
      </c>
      <c r="P2557">
        <v>21</v>
      </c>
    </row>
    <row r="2558" spans="1:16" x14ac:dyDescent="0.25">
      <c r="A2558">
        <v>22300223</v>
      </c>
      <c r="B2558">
        <v>2023</v>
      </c>
      <c r="C2558" t="s">
        <v>32</v>
      </c>
      <c r="D2558" t="s">
        <v>48</v>
      </c>
      <c r="E2558">
        <v>53</v>
      </c>
      <c r="F2558">
        <v>66</v>
      </c>
      <c r="G2558">
        <v>2</v>
      </c>
      <c r="H2558" s="1">
        <v>3.0902777777777775E-4</v>
      </c>
      <c r="I2558" t="s">
        <v>23</v>
      </c>
      <c r="J2558" s="2" t="str">
        <f>HYPERLINK("https://www.nba.com/stats/events?CFID=&amp;CFPARAMS=&amp;GameEventID=302&amp;GameID=0022300223&amp;Season=2023-24&amp;flag=1&amp;title=Leonard%20driving%20DUNK%20(12%20PTS)", "Driving DUNK (12 PTS)")</f>
        <v>Driving DUNK (12 PTS)</v>
      </c>
      <c r="K2558" s="2" t="str">
        <f>HYPERLINK("https://www.nba.com/game/...-vs-...-0022300223/play-by-play?watchFullGame=true", "LAC vs SAS - Q2 00:26.70")</f>
        <v>LAC vs SAS - Q2 00:26.70</v>
      </c>
      <c r="L2558">
        <v>2.48</v>
      </c>
      <c r="M2558">
        <v>91.93</v>
      </c>
      <c r="N2558">
        <v>51.72</v>
      </c>
      <c r="O2558">
        <v>9</v>
      </c>
      <c r="P2558">
        <v>23</v>
      </c>
    </row>
    <row r="2559" spans="1:16" x14ac:dyDescent="0.25">
      <c r="A2559">
        <v>21900516</v>
      </c>
      <c r="B2559">
        <v>2019</v>
      </c>
      <c r="C2559" t="s">
        <v>32</v>
      </c>
      <c r="D2559" t="s">
        <v>22</v>
      </c>
      <c r="E2559">
        <v>54</v>
      </c>
      <c r="F2559">
        <v>56</v>
      </c>
      <c r="G2559">
        <v>2</v>
      </c>
      <c r="H2559" s="1">
        <v>3.8888888888888888E-3</v>
      </c>
      <c r="I2559" t="s">
        <v>23</v>
      </c>
      <c r="J2559" s="2" t="str">
        <f>HYPERLINK("https://www.nba.com/stats/events?CFID=&amp;CFPARAMS=&amp;GameEventID=278&amp;GameID=0021900516&amp;Season=2019-20&amp;flag=1&amp;title=Leonard%20jumpshot%20(8%20PTS)", "Jumpshot (8 PTS)")</f>
        <v>Jumpshot (8 PTS)</v>
      </c>
      <c r="K2559" s="2" t="str">
        <f>HYPERLINK("https://www.nba.com/game/...-vs-...-0021900516/play-by-play?watchFullGame=true", "LAC vs DET - Q2 05:36.00")</f>
        <v>LAC vs DET - Q2 05:36.00</v>
      </c>
      <c r="L2559">
        <v>3.18</v>
      </c>
      <c r="M2559">
        <v>91.77</v>
      </c>
      <c r="N2559">
        <v>51.89</v>
      </c>
      <c r="O2559">
        <v>9</v>
      </c>
      <c r="P2559">
        <v>25</v>
      </c>
    </row>
    <row r="2560" spans="1:16" x14ac:dyDescent="0.25">
      <c r="A2560">
        <v>22400983</v>
      </c>
      <c r="B2560">
        <v>2024</v>
      </c>
      <c r="C2560" t="s">
        <v>32</v>
      </c>
      <c r="D2560" t="s">
        <v>47</v>
      </c>
      <c r="E2560">
        <v>67</v>
      </c>
      <c r="F2560">
        <v>41</v>
      </c>
      <c r="G2560">
        <v>3</v>
      </c>
      <c r="H2560" s="1">
        <v>7.9745370370370369E-3</v>
      </c>
      <c r="I2560" t="s">
        <v>23</v>
      </c>
      <c r="J2560" s="2" t="str">
        <f>HYPERLINK("https://www.nba.com/stats/events?CFID=&amp;CFPARAMS=&amp;GameEventID=328&amp;GameID=0022400983&amp;Season=2024-25&amp;flag=1&amp;title=Leonard%20driving%20Layup%20(11%20PTS)", "Driving Layup (11 PTS)")</f>
        <v>Driving Layup (11 PTS)</v>
      </c>
      <c r="K2560" s="2" t="str">
        <f>HYPERLINK("https://www.nba.com/game/...-vs-...-0022400983/play-by-play?watchFullGame=true", "LAC vs WAS - Q3 11:29.00")</f>
        <v>LAC vs WAS - Q3 11:29.00</v>
      </c>
      <c r="L2560">
        <v>3.47</v>
      </c>
      <c r="M2560">
        <v>9.2799999999999994</v>
      </c>
      <c r="N2560">
        <v>50</v>
      </c>
      <c r="O2560">
        <v>9</v>
      </c>
      <c r="P2560">
        <v>35</v>
      </c>
    </row>
    <row r="2561" spans="1:16" x14ac:dyDescent="0.25">
      <c r="A2561">
        <v>21900485</v>
      </c>
      <c r="B2561">
        <v>2019</v>
      </c>
      <c r="C2561" t="s">
        <v>32</v>
      </c>
      <c r="D2561" t="s">
        <v>50</v>
      </c>
      <c r="E2561">
        <v>54</v>
      </c>
      <c r="F2561">
        <v>43</v>
      </c>
      <c r="G2561">
        <v>2</v>
      </c>
      <c r="H2561" s="1">
        <v>3.5763888888888889E-3</v>
      </c>
      <c r="I2561" t="s">
        <v>23</v>
      </c>
      <c r="J2561" s="2" t="str">
        <f>HYPERLINK("https://www.nba.com/stats/events?CFID=&amp;CFPARAMS=&amp;GameEventID=253&amp;GameID=0021900485&amp;Season=2019-20&amp;flag=1&amp;title=Leonard%20layup%20(7%20PTS)", "Layup (7 PTS)")</f>
        <v>Layup (7 PTS)</v>
      </c>
      <c r="K2561" s="2" t="str">
        <f>HYPERLINK("https://www.nba.com/game/...-vs-...-0021900485/play-by-play?watchFullGame=true", "LAC vs UTA - Q2 05:09.00")</f>
        <v>LAC vs UTA - Q2 05:09.00</v>
      </c>
      <c r="L2561">
        <v>4.3600000000000003</v>
      </c>
      <c r="M2561">
        <v>9.64</v>
      </c>
      <c r="N2561">
        <v>49.93</v>
      </c>
      <c r="O2561">
        <v>9</v>
      </c>
      <c r="P2561">
        <v>38</v>
      </c>
    </row>
    <row r="2562" spans="1:16" x14ac:dyDescent="0.25">
      <c r="A2562">
        <v>21500156</v>
      </c>
      <c r="B2562">
        <v>2015</v>
      </c>
      <c r="C2562" t="s">
        <v>32</v>
      </c>
      <c r="D2562" t="s">
        <v>19</v>
      </c>
      <c r="E2562">
        <v>30</v>
      </c>
      <c r="F2562">
        <v>19</v>
      </c>
      <c r="G2562">
        <v>2</v>
      </c>
      <c r="H2562" s="1">
        <v>3.8888888888888888E-3</v>
      </c>
      <c r="I2562" t="s">
        <v>18</v>
      </c>
      <c r="J2562" s="2" t="str">
        <f>HYPERLINK("https://www.nba.com/stats/events?CFID=&amp;CFPARAMS=&amp;GameEventID=190&amp;GameID=0021500156&amp;Season=2015-16&amp;flag=1&amp;title=Leonard%204'%20Jump%20Shot%20(6%20PTS)", "Leonard 4' Jump Shot (6 PTS)")</f>
        <v>Leonard 4' Jump Shot (6 PTS)</v>
      </c>
      <c r="K2562" s="2" t="str">
        <f>HYPERLINK("https://www.nba.com/game/...-vs-...-0021500156/play-by-play?watchFullGame=true", "SAS vs POR - Q2 05:36.00")</f>
        <v>SAS vs POR - Q2 05:36.00</v>
      </c>
      <c r="L2562">
        <v>4</v>
      </c>
      <c r="M2562">
        <v>9</v>
      </c>
      <c r="N2562">
        <v>41</v>
      </c>
      <c r="O2562">
        <v>9</v>
      </c>
      <c r="P2562">
        <v>41</v>
      </c>
    </row>
    <row r="2563" spans="1:16" x14ac:dyDescent="0.25">
      <c r="A2563">
        <v>42200172</v>
      </c>
      <c r="B2563" t="s">
        <v>86</v>
      </c>
      <c r="C2563" t="s">
        <v>32</v>
      </c>
      <c r="D2563" t="s">
        <v>19</v>
      </c>
      <c r="E2563">
        <v>65</v>
      </c>
      <c r="F2563">
        <v>61</v>
      </c>
      <c r="G2563">
        <v>3</v>
      </c>
      <c r="H2563" s="1">
        <v>6.9097222222222225E-3</v>
      </c>
      <c r="I2563" t="s">
        <v>23</v>
      </c>
      <c r="J2563" s="2" t="str">
        <f>HYPERLINK("https://www.nba.com/stats/events?CFID=&amp;CFPARAMS=&amp;GameEventID=332&amp;GameID=0042200172&amp;Season=2022-23&amp;flag=1&amp;title=Leonard%20driving%20floating%20Jump%20Shot%20(18%20PTS)", "Driving floating Jump Shot (18 PTS)")</f>
        <v>Driving floating Jump Shot (18 PTS)</v>
      </c>
      <c r="K2563" s="2" t="str">
        <f>HYPERLINK("https://www.nba.com/game/...-vs-...-0042200172/play-by-play?watchFullGame=true", "LAC vs PHX - Q3 09:57.00")</f>
        <v>LAC vs PHX - Q3 09:57.00</v>
      </c>
      <c r="L2563">
        <v>5.33</v>
      </c>
      <c r="M2563">
        <v>9.2799999999999994</v>
      </c>
      <c r="N2563">
        <v>41.91</v>
      </c>
      <c r="O2563">
        <v>9</v>
      </c>
      <c r="P2563">
        <v>41</v>
      </c>
    </row>
    <row r="2564" spans="1:16" x14ac:dyDescent="0.25">
      <c r="A2564">
        <v>42000222</v>
      </c>
      <c r="B2564" t="s">
        <v>85</v>
      </c>
      <c r="C2564" t="s">
        <v>32</v>
      </c>
      <c r="D2564" t="s">
        <v>19</v>
      </c>
      <c r="E2564">
        <v>22</v>
      </c>
      <c r="F2564">
        <v>16</v>
      </c>
      <c r="G2564">
        <v>1</v>
      </c>
      <c r="H2564" s="1">
        <v>3.3333333333333335E-3</v>
      </c>
      <c r="I2564" t="s">
        <v>23</v>
      </c>
      <c r="J2564" s="2" t="str">
        <f>HYPERLINK("https://www.nba.com/stats/events?CFID=&amp;CFPARAMS=&amp;GameEventID=76&amp;GameID=0042000222&amp;Season=2020-21&amp;flag=1&amp;title=Leonard%20driving%20bank%20Jump%20Shot%20(4%20PTS)", "Driving bank Jump Shot (4 PTS)")</f>
        <v>Driving bank Jump Shot (4 PTS)</v>
      </c>
      <c r="K2564" s="2" t="str">
        <f>HYPERLINK("https://www.nba.com/game/...-vs-...-0042000222/play-by-play?watchFullGame=true", "LAC vs UTA - Q1 04:48.00")</f>
        <v>LAC vs UTA - Q1 04:48.00</v>
      </c>
      <c r="L2564">
        <v>5.84</v>
      </c>
      <c r="M2564">
        <v>9.5399999999999991</v>
      </c>
      <c r="N2564">
        <v>41</v>
      </c>
      <c r="O2564">
        <v>9</v>
      </c>
      <c r="P2564">
        <v>41</v>
      </c>
    </row>
    <row r="2565" spans="1:16" x14ac:dyDescent="0.25">
      <c r="A2565">
        <v>21500502</v>
      </c>
      <c r="B2565">
        <v>2015</v>
      </c>
      <c r="C2565" t="s">
        <v>32</v>
      </c>
      <c r="D2565" t="s">
        <v>70</v>
      </c>
      <c r="E2565">
        <v>115</v>
      </c>
      <c r="F2565">
        <v>96</v>
      </c>
      <c r="G2565">
        <v>4</v>
      </c>
      <c r="H2565" s="1">
        <v>1.5162037037037036E-3</v>
      </c>
      <c r="I2565" t="s">
        <v>18</v>
      </c>
      <c r="J2565" s="2" t="str">
        <f>HYPERLINK("https://www.nba.com/stats/events?CFID=&amp;CFPARAMS=&amp;GameEventID=493&amp;GameID=0021500502&amp;Season=2015-16&amp;flag=1&amp;title=Leonard%204'%20Driving%20Hook%20Shot%20(22%20PTS)%20(Parker%2010%20AST)", "Leonard 4' Driving Hook Shot (22 PTS) (Parker 10 AST)")</f>
        <v>Leonard 4' Driving Hook Shot (22 PTS) (Parker 10 AST)</v>
      </c>
      <c r="K2565" s="2" t="str">
        <f>HYPERLINK("https://www.nba.com/game/...-vs-...-0021500502/play-by-play?watchFullGame=true", "SAS vs HOU - Q4 02:11.00")</f>
        <v>SAS vs HOU - Q4 02:11.00</v>
      </c>
      <c r="L2565">
        <v>4</v>
      </c>
      <c r="M2565">
        <v>9</v>
      </c>
      <c r="N2565">
        <v>43</v>
      </c>
      <c r="O2565">
        <v>9</v>
      </c>
      <c r="P2565">
        <v>43</v>
      </c>
    </row>
    <row r="2566" spans="1:16" x14ac:dyDescent="0.25">
      <c r="A2566">
        <v>41800217</v>
      </c>
      <c r="B2566" t="s">
        <v>20</v>
      </c>
      <c r="C2566" t="s">
        <v>32</v>
      </c>
      <c r="D2566" t="s">
        <v>70</v>
      </c>
      <c r="E2566">
        <v>26</v>
      </c>
      <c r="F2566">
        <v>21</v>
      </c>
      <c r="G2566">
        <v>2</v>
      </c>
      <c r="H2566" s="1">
        <v>5.7754629629629631E-3</v>
      </c>
      <c r="I2566" t="s">
        <v>21</v>
      </c>
      <c r="J2566" s="2" t="str">
        <f>HYPERLINK("https://www.nba.com/stats/events?CFID=&amp;CFPARAMS=&amp;GameEventID=196&amp;GameID=0041800217&amp;Season=2018-19&amp;flag=1&amp;title=Leonard%205'%20Driving%20Hook%20Shot%20(10%20PTS)", "Leonard 5' Driving Hook Shot (10 PTS)")</f>
        <v>Leonard 5' Driving Hook Shot (10 PTS)</v>
      </c>
      <c r="K2566" s="2" t="str">
        <f>HYPERLINK("https://www.nba.com/game/...-vs-...-0041800217/play-by-play?watchFullGame=true", "TOR vs PHI - Q2 08:19.00")</f>
        <v>TOR vs PHI - Q2 08:19.00</v>
      </c>
      <c r="L2566">
        <v>5</v>
      </c>
      <c r="M2566">
        <v>9</v>
      </c>
      <c r="N2566">
        <v>45</v>
      </c>
      <c r="O2566">
        <v>9</v>
      </c>
      <c r="P2566">
        <v>45</v>
      </c>
    </row>
    <row r="2567" spans="1:16" x14ac:dyDescent="0.25">
      <c r="A2567">
        <v>41600151</v>
      </c>
      <c r="B2567" t="s">
        <v>30</v>
      </c>
      <c r="C2567" t="s">
        <v>32</v>
      </c>
      <c r="D2567" t="s">
        <v>43</v>
      </c>
      <c r="E2567">
        <v>76</v>
      </c>
      <c r="F2567">
        <v>64</v>
      </c>
      <c r="G2567">
        <v>3</v>
      </c>
      <c r="H2567" s="1">
        <v>1.0300925925925926E-3</v>
      </c>
      <c r="I2567" t="s">
        <v>18</v>
      </c>
      <c r="J2567" s="2" t="str">
        <f>HYPERLINK("https://www.nba.com/stats/events?CFID=&amp;CFPARAMS=&amp;GameEventID=335&amp;GameID=0041600151&amp;Season=2016-17&amp;flag=1&amp;title=Leonard%205'%20Turnaround%20Hook%20Shot%20(27%20PTS)", "Leonard 5' Turnaround Hook Shot (27 PTS)")</f>
        <v>Leonard 5' Turnaround Hook Shot (27 PTS)</v>
      </c>
      <c r="K2567" s="2" t="str">
        <f>HYPERLINK("https://www.nba.com/game/...-vs-...-0041600151/play-by-play?watchFullGame=true", "SAS vs MEM - Q3 01:29.00")</f>
        <v>SAS vs MEM - Q3 01:29.00</v>
      </c>
      <c r="L2567">
        <v>5</v>
      </c>
      <c r="M2567">
        <v>9</v>
      </c>
      <c r="N2567">
        <v>46</v>
      </c>
      <c r="O2567">
        <v>9</v>
      </c>
      <c r="P2567">
        <v>46</v>
      </c>
    </row>
    <row r="2568" spans="1:16" x14ac:dyDescent="0.25">
      <c r="A2568">
        <v>22200639</v>
      </c>
      <c r="B2568">
        <v>2022</v>
      </c>
      <c r="C2568" t="s">
        <v>32</v>
      </c>
      <c r="D2568" t="s">
        <v>44</v>
      </c>
      <c r="E2568">
        <v>56</v>
      </c>
      <c r="F2568">
        <v>53</v>
      </c>
      <c r="G2568">
        <v>2</v>
      </c>
      <c r="H2568" s="1">
        <v>1.261574074074074E-3</v>
      </c>
      <c r="I2568" t="s">
        <v>23</v>
      </c>
      <c r="J2568" s="2" t="str">
        <f>HYPERLINK("https://www.nba.com/stats/events?CFID=&amp;CFPARAMS=&amp;GameEventID=252&amp;GameID=0022200639&amp;Season=2022-23&amp;flag=1&amp;title=Leonard%20Hook%20(14%20PTS)", "Hook (14 PTS)")</f>
        <v>Hook (14 PTS)</v>
      </c>
      <c r="K2568" s="2" t="str">
        <f>HYPERLINK("https://www.nba.com/game/...-vs-...-0022200639/play-by-play?watchFullGame=true", "LAC vs DEN - Q2 01:49.00")</f>
        <v>LAC vs DEN - Q2 01:49.00</v>
      </c>
      <c r="L2568">
        <v>5.03</v>
      </c>
      <c r="M2568">
        <v>89.14</v>
      </c>
      <c r="N2568">
        <v>51.72</v>
      </c>
      <c r="O2568">
        <v>9</v>
      </c>
      <c r="P2568">
        <v>50</v>
      </c>
    </row>
    <row r="2569" spans="1:16" x14ac:dyDescent="0.25">
      <c r="A2569">
        <v>21400291</v>
      </c>
      <c r="B2569">
        <v>2014</v>
      </c>
      <c r="C2569" t="s">
        <v>32</v>
      </c>
      <c r="D2569" t="s">
        <v>19</v>
      </c>
      <c r="E2569">
        <v>55</v>
      </c>
      <c r="F2569">
        <v>42</v>
      </c>
      <c r="G2569">
        <v>2</v>
      </c>
      <c r="H2569" s="1">
        <v>2.4074074074074076E-3</v>
      </c>
      <c r="I2569" t="s">
        <v>18</v>
      </c>
      <c r="J2569" s="2" t="str">
        <f>HYPERLINK("https://www.nba.com/stats/events?CFID=&amp;CFPARAMS=&amp;GameEventID=217&amp;GameID=0021400291&amp;Season=2014-15&amp;flag=1&amp;title=Leonard%205'%20Jump%20Shot%20(10%20PTS)", "Leonard 5' Jump Shot (10 PTS)")</f>
        <v>Leonard 5' Jump Shot (10 PTS)</v>
      </c>
      <c r="K2569" s="2" t="str">
        <f>HYPERLINK("https://www.nba.com/game/...-vs-...-0021400291/play-by-play?watchFullGame=true", "SAS vs MIN - Q2 03:28.00")</f>
        <v>SAS vs MIN - Q2 03:28.00</v>
      </c>
      <c r="L2569">
        <v>5</v>
      </c>
      <c r="M2569">
        <v>9</v>
      </c>
      <c r="N2569">
        <v>53</v>
      </c>
      <c r="O2569">
        <v>9</v>
      </c>
      <c r="P2569">
        <v>53</v>
      </c>
    </row>
    <row r="2570" spans="1:16" x14ac:dyDescent="0.25">
      <c r="A2570">
        <v>21600865</v>
      </c>
      <c r="B2570">
        <v>2016</v>
      </c>
      <c r="C2570" t="s">
        <v>32</v>
      </c>
      <c r="D2570" t="s">
        <v>24</v>
      </c>
      <c r="E2570">
        <v>2</v>
      </c>
      <c r="F2570">
        <v>2</v>
      </c>
      <c r="G2570">
        <v>1</v>
      </c>
      <c r="H2570" s="1">
        <v>7.1064814814814819E-3</v>
      </c>
      <c r="I2570" t="s">
        <v>18</v>
      </c>
      <c r="J2570" s="2" t="str">
        <f>HYPERLINK("https://www.nba.com/stats/events?CFID=&amp;CFPARAMS=&amp;GameEventID=12&amp;GameID=0021600865&amp;Season=2016-17&amp;flag=1&amp;title=Leonard%206'%20Turnaround%20Jump%20Shot%20(2%20PTS)%20(Parker%201%20AST)", "Leonard 6' Turnaround Jump Shot (2 PTS) (Parker 1 AST)")</f>
        <v>Leonard 6' Turnaround Jump Shot (2 PTS) (Parker 1 AST)</v>
      </c>
      <c r="K2570" s="2" t="str">
        <f>HYPERLINK("https://www.nba.com/game/...-vs-...-0021600865/play-by-play?watchFullGame=true", "SAS vs LAC - Q1 10:14.00")</f>
        <v>SAS vs LAC - Q1 10:14.00</v>
      </c>
      <c r="L2570">
        <v>6</v>
      </c>
      <c r="M2570">
        <v>9</v>
      </c>
      <c r="N2570">
        <v>56</v>
      </c>
      <c r="O2570">
        <v>9</v>
      </c>
      <c r="P2570">
        <v>56</v>
      </c>
    </row>
    <row r="2571" spans="1:16" x14ac:dyDescent="0.25">
      <c r="A2571">
        <v>21600114</v>
      </c>
      <c r="B2571">
        <v>2016</v>
      </c>
      <c r="C2571" t="s">
        <v>32</v>
      </c>
      <c r="D2571" t="s">
        <v>37</v>
      </c>
      <c r="E2571">
        <v>44</v>
      </c>
      <c r="F2571">
        <v>47</v>
      </c>
      <c r="G2571">
        <v>2</v>
      </c>
      <c r="H2571" s="1">
        <v>3.460648148148148E-3</v>
      </c>
      <c r="I2571" t="s">
        <v>18</v>
      </c>
      <c r="J2571" s="2" t="str">
        <f>HYPERLINK("https://www.nba.com/stats/events?CFID=&amp;CFPARAMS=&amp;GameEventID=225&amp;GameID=0021600114&amp;Season=2016-17&amp;flag=1&amp;title=Leonard%206'%20Floating%20Jump%20Shot%20(12%20PTS)%20(Aldridge%202%20AST)", "Leonard 6' Floating Jump Shot (12 PTS) (Aldridge 2 AST)")</f>
        <v>Leonard 6' Floating Jump Shot (12 PTS) (Aldridge 2 AST)</v>
      </c>
      <c r="K2571" s="2" t="str">
        <f>HYPERLINK("https://www.nba.com/game/...-vs-...-0021600114/play-by-play?watchFullGame=true", "SAS vs HOU - Q2 04:59.00")</f>
        <v>SAS vs HOU - Q2 04:59.00</v>
      </c>
      <c r="L2571">
        <v>6</v>
      </c>
      <c r="M2571">
        <v>9</v>
      </c>
      <c r="N2571">
        <v>56</v>
      </c>
      <c r="O2571">
        <v>9</v>
      </c>
      <c r="P2571">
        <v>56</v>
      </c>
    </row>
    <row r="2572" spans="1:16" x14ac:dyDescent="0.25">
      <c r="A2572">
        <v>21601135</v>
      </c>
      <c r="B2572">
        <v>2016</v>
      </c>
      <c r="C2572" t="s">
        <v>32</v>
      </c>
      <c r="D2572" t="s">
        <v>35</v>
      </c>
      <c r="E2572">
        <v>47</v>
      </c>
      <c r="F2572">
        <v>32</v>
      </c>
      <c r="G2572">
        <v>2</v>
      </c>
      <c r="H2572" s="1">
        <v>1.6666666666666668E-3</v>
      </c>
      <c r="I2572" t="s">
        <v>18</v>
      </c>
      <c r="J2572" s="2" t="str">
        <f>HYPERLINK("https://www.nba.com/stats/events?CFID=&amp;CFPARAMS=&amp;GameEventID=221&amp;GameID=0021601135&amp;Season=2016-17&amp;flag=1&amp;title=Leonard%206'%20Driving%20Floating%20Jump%20Shot%20(6%20PTS)%20(Mills%202%20AST)", "Leonard 6' Driving Floating Jump Shot (6 PTS) (Mills 2 AST)")</f>
        <v>Leonard 6' Driving Floating Jump Shot (6 PTS) (Mills 2 AST)</v>
      </c>
      <c r="K2572" s="2" t="str">
        <f>HYPERLINK("https://www.nba.com/game/...-vs-...-0021601135/play-by-play?watchFullGame=true", "SAS vs OKC - Q2 02:24.00")</f>
        <v>SAS vs OKC - Q2 02:24.00</v>
      </c>
      <c r="L2572">
        <v>6</v>
      </c>
      <c r="M2572">
        <v>9</v>
      </c>
      <c r="N2572">
        <v>57</v>
      </c>
      <c r="O2572">
        <v>9</v>
      </c>
      <c r="P2572">
        <v>57</v>
      </c>
    </row>
    <row r="2573" spans="1:16" x14ac:dyDescent="0.25">
      <c r="A2573">
        <v>41600151</v>
      </c>
      <c r="B2573" t="s">
        <v>30</v>
      </c>
      <c r="C2573" t="s">
        <v>32</v>
      </c>
      <c r="D2573" t="s">
        <v>19</v>
      </c>
      <c r="E2573">
        <v>81</v>
      </c>
      <c r="F2573">
        <v>64</v>
      </c>
      <c r="G2573">
        <v>3</v>
      </c>
      <c r="H2573" s="1">
        <v>4.1087962962962964E-4</v>
      </c>
      <c r="I2573" t="s">
        <v>18</v>
      </c>
      <c r="J2573" s="2" t="str">
        <f>HYPERLINK("https://www.nba.com/stats/events?CFID=&amp;CFPARAMS=&amp;GameEventID=345&amp;GameID=0041600151&amp;Season=2016-17&amp;flag=1&amp;title=Leonard%206'%20Jump%20Shot%20(29%20PTS)", "Leonard 6' Jump Shot (29 PTS)")</f>
        <v>Leonard 6' Jump Shot (29 PTS)</v>
      </c>
      <c r="K2573" s="2" t="str">
        <f>HYPERLINK("https://www.nba.com/game/...-vs-...-0041600151/play-by-play?watchFullGame=true", "SAS vs MEM - Q3 00:35.50")</f>
        <v>SAS vs MEM - Q3 00:35.50</v>
      </c>
      <c r="L2573">
        <v>6</v>
      </c>
      <c r="M2573">
        <v>9</v>
      </c>
      <c r="N2573">
        <v>62</v>
      </c>
      <c r="O2573">
        <v>9</v>
      </c>
      <c r="P2573">
        <v>62</v>
      </c>
    </row>
    <row r="2574" spans="1:16" x14ac:dyDescent="0.25">
      <c r="A2574">
        <v>21401150</v>
      </c>
      <c r="B2574">
        <v>2014</v>
      </c>
      <c r="C2574" t="s">
        <v>32</v>
      </c>
      <c r="D2574" t="s">
        <v>19</v>
      </c>
      <c r="E2574">
        <v>63</v>
      </c>
      <c r="F2574">
        <v>40</v>
      </c>
      <c r="G2574">
        <v>3</v>
      </c>
      <c r="H2574" s="1">
        <v>7.2569444444444443E-3</v>
      </c>
      <c r="I2574" t="s">
        <v>18</v>
      </c>
      <c r="J2574" s="2" t="str">
        <f>HYPERLINK("https://www.nba.com/stats/events?CFID=&amp;CFPARAMS=&amp;GameEventID=256&amp;GameID=0021401150&amp;Season=2014-15&amp;flag=1&amp;title=Leonard%207'%20Jump%20Shot%20(18%20PTS)", "Leonard 7' Jump Shot (18 PTS)")</f>
        <v>Leonard 7' Jump Shot (18 PTS)</v>
      </c>
      <c r="K2574" s="2" t="str">
        <f>HYPERLINK("https://www.nba.com/game/...-vs-...-0021401150/play-by-play?watchFullGame=true", "SAS vs GSW - Q3 10:27.00")</f>
        <v>SAS vs GSW - Q3 10:27.00</v>
      </c>
      <c r="L2574">
        <v>7</v>
      </c>
      <c r="M2574">
        <v>9</v>
      </c>
      <c r="N2574">
        <v>67</v>
      </c>
      <c r="O2574">
        <v>9</v>
      </c>
      <c r="P2574">
        <v>67</v>
      </c>
    </row>
    <row r="2575" spans="1:16" x14ac:dyDescent="0.25">
      <c r="A2575">
        <v>21500675</v>
      </c>
      <c r="B2575">
        <v>2015</v>
      </c>
      <c r="C2575" t="s">
        <v>32</v>
      </c>
      <c r="D2575" t="s">
        <v>34</v>
      </c>
      <c r="E2575">
        <v>20</v>
      </c>
      <c r="F2575">
        <v>14</v>
      </c>
      <c r="G2575">
        <v>1</v>
      </c>
      <c r="H2575" s="1">
        <v>2.8819444444444444E-3</v>
      </c>
      <c r="I2575" t="s">
        <v>18</v>
      </c>
      <c r="J2575" s="2" t="str">
        <f>HYPERLINK("https://www.nba.com/stats/events?CFID=&amp;CFPARAMS=&amp;GameEventID=69&amp;GameID=0021500675&amp;Season=2015-16&amp;flag=1&amp;title=Leonard%208'%20Turnaround%20Fadeaway%20(4%20PTS)", "Leonard 8' Turnaround Fadeaway (4 PTS)")</f>
        <v>Leonard 8' Turnaround Fadeaway (4 PTS)</v>
      </c>
      <c r="K2575" s="2" t="str">
        <f>HYPERLINK("https://www.nba.com/game/...-vs-...-0021500675/play-by-play?watchFullGame=true", "SAS vs GSW - Q1 04:09.00")</f>
        <v>SAS vs GSW - Q1 04:09.00</v>
      </c>
      <c r="L2575">
        <v>8</v>
      </c>
      <c r="M2575">
        <v>9</v>
      </c>
      <c r="N2575">
        <v>75</v>
      </c>
      <c r="O2575">
        <v>9</v>
      </c>
      <c r="P2575">
        <v>75</v>
      </c>
    </row>
    <row r="2576" spans="1:16" x14ac:dyDescent="0.25">
      <c r="A2576">
        <v>22400646</v>
      </c>
      <c r="B2576">
        <v>2024</v>
      </c>
      <c r="C2576" t="s">
        <v>32</v>
      </c>
      <c r="D2576" t="s">
        <v>19</v>
      </c>
      <c r="E2576">
        <v>10</v>
      </c>
      <c r="F2576">
        <v>12</v>
      </c>
      <c r="G2576">
        <v>1</v>
      </c>
      <c r="H2576" s="1">
        <v>4.1550925925925922E-3</v>
      </c>
      <c r="I2576" t="s">
        <v>23</v>
      </c>
      <c r="J2576" s="2" t="str">
        <f>HYPERLINK("https://www.nba.com/stats/events?CFID=&amp;CFPARAMS=&amp;GameEventID=69&amp;GameID=0022400646&amp;Season=2024-25&amp;flag=1&amp;title=Leonard%208'%20driving%20floating%20Jump%20Shot%20(2%20PTS)%20(J.%20Harden%203%20AST)", "8' driving floating Jump Shot (2 PTS) (J. Harden 3 AST)")</f>
        <v>8' driving floating Jump Shot (2 PTS) (J. Harden 3 AST)</v>
      </c>
      <c r="K2576" s="2" t="str">
        <f>HYPERLINK("https://www.nba.com/game/...-vs-...-0022400646/play-by-play?watchFullGame=true", "LAC vs MIL - Q1 05:59.00")</f>
        <v>LAC vs MIL - Q1 05:59.00</v>
      </c>
      <c r="L2576">
        <v>8.06</v>
      </c>
      <c r="M2576">
        <v>85.89</v>
      </c>
      <c r="N2576">
        <v>51.72</v>
      </c>
      <c r="O2576">
        <v>9</v>
      </c>
      <c r="P2576">
        <v>80</v>
      </c>
    </row>
    <row r="2577" spans="1:16" x14ac:dyDescent="0.25">
      <c r="A2577">
        <v>22000239</v>
      </c>
      <c r="B2577">
        <v>2020</v>
      </c>
      <c r="C2577" t="s">
        <v>32</v>
      </c>
      <c r="D2577" t="s">
        <v>19</v>
      </c>
      <c r="E2577">
        <v>79</v>
      </c>
      <c r="F2577">
        <v>56</v>
      </c>
      <c r="G2577">
        <v>3</v>
      </c>
      <c r="H2577" s="1">
        <v>6.1342592592592594E-3</v>
      </c>
      <c r="I2577" t="s">
        <v>23</v>
      </c>
      <c r="J2577" s="2" t="str">
        <f>HYPERLINK("https://www.nba.com/stats/events?CFID=&amp;CFPARAMS=&amp;GameEventID=354&amp;GameID=0022000239&amp;Season=2020-21&amp;flag=1&amp;title=Leonard%209'%20turnaround%20Jump%20Shot%20(19%20PTS)", "9' turnaround Jump Shot (19 PTS)")</f>
        <v>9' turnaround Jump Shot (19 PTS)</v>
      </c>
      <c r="K2577" s="2" t="str">
        <f>HYPERLINK("https://www.nba.com/game/...-vs-...-0022000239/play-by-play?watchFullGame=true", "LAC vs OKC - Q3 08:50.00")</f>
        <v>LAC vs OKC - Q3 08:50.00</v>
      </c>
      <c r="L2577">
        <v>9.4499999999999993</v>
      </c>
      <c r="M2577">
        <v>15.59</v>
      </c>
      <c r="N2577">
        <v>48.11</v>
      </c>
      <c r="O2577">
        <v>9</v>
      </c>
      <c r="P2577">
        <v>94</v>
      </c>
    </row>
    <row r="2578" spans="1:16" x14ac:dyDescent="0.25">
      <c r="A2578">
        <v>41600155</v>
      </c>
      <c r="B2578" t="s">
        <v>30</v>
      </c>
      <c r="C2578" t="s">
        <v>32</v>
      </c>
      <c r="D2578" t="s">
        <v>29</v>
      </c>
      <c r="E2578">
        <v>21</v>
      </c>
      <c r="F2578">
        <v>16</v>
      </c>
      <c r="G2578">
        <v>1</v>
      </c>
      <c r="H2578" s="1">
        <v>1.5162037037037036E-3</v>
      </c>
      <c r="I2578" t="s">
        <v>18</v>
      </c>
      <c r="J2578" s="2" t="str">
        <f>HYPERLINK("https://www.nba.com/stats/events?CFID=&amp;CFPARAMS=&amp;GameEventID=98&amp;GameID=0041600155&amp;Season=2016-17&amp;flag=1&amp;title=Leonard%2010'%20Pullup%20Jump%20Shot%20(5%20PTS)", "Leonard 10' Pullup Jump Shot (5 PTS)")</f>
        <v>Leonard 10' Pullup Jump Shot (5 PTS)</v>
      </c>
      <c r="K2578" s="2" t="str">
        <f>HYPERLINK("https://www.nba.com/game/...-vs-...-0041600155/play-by-play?watchFullGame=true", "SAS vs MEM - Q1 02:11.00")</f>
        <v>SAS vs MEM - Q1 02:11.00</v>
      </c>
      <c r="L2578">
        <v>10</v>
      </c>
      <c r="M2578">
        <v>9</v>
      </c>
      <c r="N2578">
        <v>100</v>
      </c>
      <c r="O2578">
        <v>9</v>
      </c>
      <c r="P2578">
        <v>100</v>
      </c>
    </row>
    <row r="2579" spans="1:16" x14ac:dyDescent="0.25">
      <c r="A2579">
        <v>22200639</v>
      </c>
      <c r="B2579">
        <v>2022</v>
      </c>
      <c r="C2579" t="s">
        <v>32</v>
      </c>
      <c r="D2579" t="s">
        <v>19</v>
      </c>
      <c r="E2579">
        <v>10</v>
      </c>
      <c r="F2579">
        <v>9</v>
      </c>
      <c r="G2579">
        <v>1</v>
      </c>
      <c r="H2579" s="1">
        <v>6.1574074074074074E-3</v>
      </c>
      <c r="I2579" t="s">
        <v>23</v>
      </c>
      <c r="J2579" s="2" t="str">
        <f>HYPERLINK("https://www.nba.com/stats/events?CFID=&amp;CFPARAMS=&amp;GameEventID=34&amp;GameID=0022200639&amp;Season=2022-23&amp;flag=1&amp;title=Leonard%2011'%20fadeaway%20Jump%20Shot%20(4%20PTS)%20(T.%20Mann%202%20AST)", "11' fadeaway Jump Shot (4 PTS) (T. Mann 2 AST)")</f>
        <v>11' fadeaway Jump Shot (4 PTS) (T. Mann 2 AST)</v>
      </c>
      <c r="K2579" s="2" t="str">
        <f>HYPERLINK("https://www.nba.com/game/...-vs-...-0022200639/play-by-play?watchFullGame=true", "LAC vs DEN - Q1 08:52.00")</f>
        <v>LAC vs DEN - Q1 08:52.00</v>
      </c>
      <c r="L2579">
        <v>11.53</v>
      </c>
      <c r="M2579">
        <v>82.18</v>
      </c>
      <c r="N2579">
        <v>51.72</v>
      </c>
      <c r="O2579">
        <v>9</v>
      </c>
      <c r="P2579">
        <v>115</v>
      </c>
    </row>
    <row r="2580" spans="1:16" x14ac:dyDescent="0.25">
      <c r="A2580">
        <v>21900292</v>
      </c>
      <c r="B2580">
        <v>2019</v>
      </c>
      <c r="C2580" t="s">
        <v>32</v>
      </c>
      <c r="D2580" t="s">
        <v>22</v>
      </c>
      <c r="E2580">
        <v>131</v>
      </c>
      <c r="F2580">
        <v>107</v>
      </c>
      <c r="G2580">
        <v>4</v>
      </c>
      <c r="H2580" s="1">
        <v>5.1736111111111115E-3</v>
      </c>
      <c r="I2580" t="s">
        <v>23</v>
      </c>
      <c r="J2580" s="2" t="str">
        <f>HYPERLINK("https://www.nba.com/stats/events?CFID=&amp;CFPARAMS=&amp;GameEventID=633&amp;GameID=0021900292&amp;Season=2019-20&amp;flag=1&amp;title=Leonard%2014'%20jumpshot%20(29%20PTS)", "14' jumpshot (29 PTS)")</f>
        <v>14' jumpshot (29 PTS)</v>
      </c>
      <c r="K2580" s="2" t="str">
        <f>HYPERLINK("https://www.nba.com/game/...-vs-...-0021900292/play-by-play?watchFullGame=true", "LAC vs WAS - Q4 07:27.00")</f>
        <v>LAC vs WAS - Q4 07:27.00</v>
      </c>
      <c r="L2580">
        <v>13.9</v>
      </c>
      <c r="M2580">
        <v>19.760000000000002</v>
      </c>
      <c r="N2580">
        <v>48.22</v>
      </c>
      <c r="O2580">
        <v>9</v>
      </c>
      <c r="P2580">
        <v>133</v>
      </c>
    </row>
    <row r="2581" spans="1:16" x14ac:dyDescent="0.25">
      <c r="A2581">
        <v>21301017</v>
      </c>
      <c r="B2581">
        <v>2013</v>
      </c>
      <c r="C2581" t="s">
        <v>32</v>
      </c>
      <c r="D2581" t="s">
        <v>19</v>
      </c>
      <c r="E2581">
        <v>42</v>
      </c>
      <c r="F2581">
        <v>42</v>
      </c>
      <c r="G2581">
        <v>2</v>
      </c>
      <c r="H2581" s="1">
        <v>4.5833333333333334E-3</v>
      </c>
      <c r="I2581" t="s">
        <v>18</v>
      </c>
      <c r="J2581" s="2" t="str">
        <f>HYPERLINK("https://www.nba.com/stats/events?CFID=&amp;CFPARAMS=&amp;GameEventID=164&amp;GameID=0021301017&amp;Season=2013-14&amp;flag=1&amp;title=Leonard%2015'%20Jump%20Shot%20(6%20PTS)%20(Splitter%202%20AST)", "Leonard 15' Jump Shot (6 PTS) (Splitter 2 AST)")</f>
        <v>Leonard 15' Jump Shot (6 PTS) (Splitter 2 AST)</v>
      </c>
      <c r="K2581" s="2" t="str">
        <f>HYPERLINK("https://www.nba.com/game/...-vs-...-0021301017/play-by-play?watchFullGame=true", "SAS vs LAL - Q2 06:36.00")</f>
        <v>SAS vs LAL - Q2 06:36.00</v>
      </c>
      <c r="L2581">
        <v>15</v>
      </c>
      <c r="M2581">
        <v>9</v>
      </c>
      <c r="N2581">
        <v>153</v>
      </c>
      <c r="O2581">
        <v>9</v>
      </c>
      <c r="P2581">
        <v>153</v>
      </c>
    </row>
    <row r="2582" spans="1:16" x14ac:dyDescent="0.25">
      <c r="A2582">
        <v>22300637</v>
      </c>
      <c r="B2582">
        <v>2023</v>
      </c>
      <c r="C2582" t="s">
        <v>32</v>
      </c>
      <c r="D2582" t="s">
        <v>19</v>
      </c>
      <c r="E2582">
        <v>65</v>
      </c>
      <c r="F2582">
        <v>83</v>
      </c>
      <c r="G2582">
        <v>3</v>
      </c>
      <c r="H2582" s="1">
        <v>4.2824074074074075E-3</v>
      </c>
      <c r="I2582" t="s">
        <v>23</v>
      </c>
      <c r="J2582" s="2" t="str">
        <f>HYPERLINK("https://www.nba.com/stats/events?CFID=&amp;CFPARAMS=&amp;GameEventID=391&amp;GameID=0022300637&amp;Season=2023-24&amp;flag=1&amp;title=Leonard%2015'%20pullup%20Jump%20Shot%20(13%20PTS)", "15' pullup Jump Shot (13 PTS)")</f>
        <v>15' pullup Jump Shot (13 PTS)</v>
      </c>
      <c r="K2582" s="2" t="str">
        <f>HYPERLINK("https://www.nba.com/game/...-vs-...-0022300637/play-by-play?watchFullGame=true", "LAC vs TOR - Q3 06:10.00")</f>
        <v>LAC vs TOR - Q3 06:10.00</v>
      </c>
      <c r="L2582">
        <v>15.48</v>
      </c>
      <c r="M2582">
        <v>22.03</v>
      </c>
      <c r="N2582">
        <v>48.28</v>
      </c>
      <c r="O2582">
        <v>9</v>
      </c>
      <c r="P2582">
        <v>155</v>
      </c>
    </row>
    <row r="2583" spans="1:16" x14ac:dyDescent="0.25">
      <c r="A2583">
        <v>22301079</v>
      </c>
      <c r="B2583">
        <v>2023</v>
      </c>
      <c r="C2583" t="s">
        <v>32</v>
      </c>
      <c r="D2583" t="s">
        <v>19</v>
      </c>
      <c r="E2583">
        <v>5</v>
      </c>
      <c r="F2583">
        <v>7</v>
      </c>
      <c r="G2583">
        <v>1</v>
      </c>
      <c r="H2583" s="1">
        <v>6.6898148148148151E-3</v>
      </c>
      <c r="I2583" t="s">
        <v>23</v>
      </c>
      <c r="J2583" s="2" t="str">
        <f>HYPERLINK("https://www.nba.com/stats/events?CFID=&amp;CFPARAMS=&amp;GameEventID=29&amp;GameID=0022301079&amp;Season=2023-24&amp;flag=1&amp;title=Leonard%2015'%20Jump%20Shot%20(2%20PTS)%20(J.%20Harden%202%20AST)", "15' Jump Shot (2 PTS) (J. Harden 2 AST)")</f>
        <v>15' Jump Shot (2 PTS) (J. Harden 2 AST)</v>
      </c>
      <c r="K2583" s="2" t="str">
        <f>HYPERLINK("https://www.nba.com/game/...-vs-...-0022301079/play-by-play?watchFullGame=true", "LAC vs CHA - Q1 09:38.00")</f>
        <v>LAC vs CHA - Q1 09:38.00</v>
      </c>
      <c r="L2583">
        <v>15.94</v>
      </c>
      <c r="M2583">
        <v>77.48</v>
      </c>
      <c r="N2583">
        <v>51.72</v>
      </c>
      <c r="O2583">
        <v>9</v>
      </c>
      <c r="P2583">
        <v>159</v>
      </c>
    </row>
    <row r="2584" spans="1:16" x14ac:dyDescent="0.25">
      <c r="A2584">
        <v>41300311</v>
      </c>
      <c r="B2584" t="s">
        <v>26</v>
      </c>
      <c r="C2584" t="s">
        <v>32</v>
      </c>
      <c r="D2584" t="s">
        <v>36</v>
      </c>
      <c r="E2584">
        <v>4</v>
      </c>
      <c r="F2584">
        <v>2</v>
      </c>
      <c r="G2584">
        <v>1</v>
      </c>
      <c r="H2584" s="1">
        <v>6.8055555555555551E-3</v>
      </c>
      <c r="I2584" t="s">
        <v>18</v>
      </c>
      <c r="J2584" s="2" t="str">
        <f>HYPERLINK("https://www.nba.com/stats/events?CFID=&amp;CFPARAMS=&amp;GameEventID=20&amp;GameID=0041300311&amp;Season=2013-14&amp;flag=1&amp;title=Leonard%2016'%20Pullup%20Bank%20Shot%20(2%20PTS)", "Leonard 16' Pullup Bank Shot (2 PTS)")</f>
        <v>Leonard 16' Pullup Bank Shot (2 PTS)</v>
      </c>
      <c r="K2584" s="2" t="str">
        <f>HYPERLINK("https://www.nba.com/game/...-vs-...-0041300311/play-by-play?watchFullGame=true", "SAS vs OKC - Q1 09:48.00")</f>
        <v>SAS vs OKC - Q1 09:48.00</v>
      </c>
      <c r="L2584">
        <v>16</v>
      </c>
      <c r="M2584">
        <v>9</v>
      </c>
      <c r="N2584">
        <v>160</v>
      </c>
      <c r="O2584">
        <v>9</v>
      </c>
      <c r="P2584">
        <v>160</v>
      </c>
    </row>
    <row r="2585" spans="1:16" x14ac:dyDescent="0.25">
      <c r="A2585">
        <v>21600801</v>
      </c>
      <c r="B2585">
        <v>2016</v>
      </c>
      <c r="C2585" t="s">
        <v>32</v>
      </c>
      <c r="D2585" t="s">
        <v>19</v>
      </c>
      <c r="E2585">
        <v>91</v>
      </c>
      <c r="F2585">
        <v>103</v>
      </c>
      <c r="G2585">
        <v>4</v>
      </c>
      <c r="H2585" s="1">
        <v>6.5856481481481484E-4</v>
      </c>
      <c r="I2585" t="s">
        <v>18</v>
      </c>
      <c r="J2585" s="2" t="str">
        <f>HYPERLINK("https://www.nba.com/stats/events?CFID=&amp;CFPARAMS=&amp;GameEventID=462&amp;GameID=0021600801&amp;Season=2016-17&amp;flag=1&amp;title=Leonard%2016'%20Jump%20Shot%20(32%20PTS)", "Leonard 16' Jump Shot (32 PTS)")</f>
        <v>Leonard 16' Jump Shot (32 PTS)</v>
      </c>
      <c r="K2585" s="2" t="str">
        <f>HYPERLINK("https://www.nba.com/game/...-vs-...-0021600801/play-by-play?watchFullGame=true", "SAS vs DET - Q4 00:56.90")</f>
        <v>SAS vs DET - Q4 00:56.90</v>
      </c>
      <c r="L2585">
        <v>16</v>
      </c>
      <c r="M2585">
        <v>9</v>
      </c>
      <c r="N2585">
        <v>164</v>
      </c>
      <c r="O2585">
        <v>9</v>
      </c>
      <c r="P2585">
        <v>164</v>
      </c>
    </row>
    <row r="2586" spans="1:16" x14ac:dyDescent="0.25">
      <c r="A2586">
        <v>41800216</v>
      </c>
      <c r="B2586" t="s">
        <v>20</v>
      </c>
      <c r="C2586" t="s">
        <v>32</v>
      </c>
      <c r="D2586" t="s">
        <v>29</v>
      </c>
      <c r="E2586">
        <v>42</v>
      </c>
      <c r="F2586">
        <v>27</v>
      </c>
      <c r="G2586">
        <v>2</v>
      </c>
      <c r="H2586" s="1">
        <v>5.5902777777777773E-3</v>
      </c>
      <c r="I2586" t="s">
        <v>21</v>
      </c>
      <c r="J2586" s="2" t="str">
        <f>HYPERLINK("https://www.nba.com/stats/events?CFID=&amp;CFPARAMS=&amp;GameEventID=210&amp;GameID=0041800216&amp;Season=2018-19&amp;flag=1&amp;title=Leonard%2017'%20Pullup%20Jump%20Shot%20(10%20PTS)", "Leonard 17' Pullup Jump Shot (10 PTS)")</f>
        <v>Leonard 17' Pullup Jump Shot (10 PTS)</v>
      </c>
      <c r="K2586" s="2" t="str">
        <f>HYPERLINK("https://www.nba.com/game/...-vs-...-0041800216/play-by-play?watchFullGame=true", "TOR vs PHI - Q2 08:03.00")</f>
        <v>TOR vs PHI - Q2 08:03.00</v>
      </c>
      <c r="L2586">
        <v>17</v>
      </c>
      <c r="M2586">
        <v>9</v>
      </c>
      <c r="N2586">
        <v>167</v>
      </c>
      <c r="O2586">
        <v>9</v>
      </c>
      <c r="P2586">
        <v>167</v>
      </c>
    </row>
    <row r="2587" spans="1:16" x14ac:dyDescent="0.25">
      <c r="A2587">
        <v>21300057</v>
      </c>
      <c r="B2587">
        <v>2013</v>
      </c>
      <c r="C2587" t="s">
        <v>32</v>
      </c>
      <c r="D2587" t="s">
        <v>19</v>
      </c>
      <c r="E2587">
        <v>63</v>
      </c>
      <c r="F2587">
        <v>55</v>
      </c>
      <c r="G2587">
        <v>3</v>
      </c>
      <c r="H2587" s="1">
        <v>5.8564814814814816E-3</v>
      </c>
      <c r="I2587" t="s">
        <v>18</v>
      </c>
      <c r="J2587" s="2" t="str">
        <f>HYPERLINK("https://www.nba.com/stats/events?CFID=&amp;CFPARAMS=&amp;GameEventID=293&amp;GameID=0021300057&amp;Season=2013-14&amp;flag=1&amp;title=Leonard%2017'%20Jump%20Shot%20(6%20PTS)%20(Duncan%206%20AST)", "Leonard 17' Jump Shot (6 PTS) (Duncan 6 AST)")</f>
        <v>Leonard 17' Jump Shot (6 PTS) (Duncan 6 AST)</v>
      </c>
      <c r="K2587" s="2" t="str">
        <f>HYPERLINK("https://www.nba.com/game/...-vs-...-0021300057/play-by-play?watchFullGame=true", "SAS vs DEN - Q3 08:26.00")</f>
        <v>SAS vs DEN - Q3 08:26.00</v>
      </c>
      <c r="L2587">
        <v>17</v>
      </c>
      <c r="M2587">
        <v>9</v>
      </c>
      <c r="N2587">
        <v>173</v>
      </c>
      <c r="O2587">
        <v>9</v>
      </c>
      <c r="P2587">
        <v>173</v>
      </c>
    </row>
    <row r="2588" spans="1:16" x14ac:dyDescent="0.25">
      <c r="A2588">
        <v>21601033</v>
      </c>
      <c r="B2588">
        <v>2016</v>
      </c>
      <c r="C2588" t="s">
        <v>32</v>
      </c>
      <c r="D2588" t="s">
        <v>29</v>
      </c>
      <c r="E2588">
        <v>44</v>
      </c>
      <c r="F2588">
        <v>43</v>
      </c>
      <c r="G2588">
        <v>2</v>
      </c>
      <c r="H2588" s="1">
        <v>1.7361111111111111E-5</v>
      </c>
      <c r="I2588" t="s">
        <v>18</v>
      </c>
      <c r="J2588" s="2" t="str">
        <f>HYPERLINK("https://www.nba.com/stats/events?CFID=&amp;CFPARAMS=&amp;GameEventID=242&amp;GameID=0021601033&amp;Season=2016-17&amp;flag=1&amp;title=Leonard%2019'%20Pullup%20Jump%20Shot%20(11%20PTS)", "Leonard 19' Pullup Jump Shot (11 PTS)")</f>
        <v>Leonard 19' Pullup Jump Shot (11 PTS)</v>
      </c>
      <c r="K2588" s="2" t="str">
        <f>HYPERLINK("https://www.nba.com/game/...-vs-...-0021601033/play-by-play?watchFullGame=true", "SAS vs MEM - Q2 00:01.50")</f>
        <v>SAS vs MEM - Q2 00:01.50</v>
      </c>
      <c r="L2588">
        <v>19</v>
      </c>
      <c r="M2588">
        <v>9</v>
      </c>
      <c r="N2588">
        <v>193</v>
      </c>
      <c r="O2588">
        <v>9</v>
      </c>
      <c r="P2588">
        <v>193</v>
      </c>
    </row>
    <row r="2589" spans="1:16" x14ac:dyDescent="0.25">
      <c r="A2589">
        <v>41600234</v>
      </c>
      <c r="B2589" t="s">
        <v>30</v>
      </c>
      <c r="C2589" t="s">
        <v>32</v>
      </c>
      <c r="D2589" t="s">
        <v>29</v>
      </c>
      <c r="E2589">
        <v>41</v>
      </c>
      <c r="F2589">
        <v>35</v>
      </c>
      <c r="G2589">
        <v>2</v>
      </c>
      <c r="H2589" s="1">
        <v>5.4629629629629629E-3</v>
      </c>
      <c r="I2589" t="s">
        <v>18</v>
      </c>
      <c r="J2589" s="2" t="str">
        <f>HYPERLINK("https://www.nba.com/stats/events?CFID=&amp;CFPARAMS=&amp;GameEventID=188&amp;GameID=0041600234&amp;Season=2016-17&amp;flag=1&amp;title=Leonard%2020'%20Pullup%20Jump%20Shot%20(10%20PTS)", "Leonard 20' Pullup Jump Shot (10 PTS)")</f>
        <v>Leonard 20' Pullup Jump Shot (10 PTS)</v>
      </c>
      <c r="K2589" s="2" t="str">
        <f>HYPERLINK("https://www.nba.com/game/...-vs-...-0041600234/play-by-play?watchFullGame=true", "SAS vs HOU - Q2 07:52.00")</f>
        <v>SAS vs HOU - Q2 07:52.00</v>
      </c>
      <c r="L2589">
        <v>20</v>
      </c>
      <c r="M2589">
        <v>9</v>
      </c>
      <c r="N2589">
        <v>195</v>
      </c>
      <c r="O2589">
        <v>9</v>
      </c>
      <c r="P2589">
        <v>195</v>
      </c>
    </row>
    <row r="2590" spans="1:16" x14ac:dyDescent="0.25">
      <c r="A2590">
        <v>21300554</v>
      </c>
      <c r="B2590">
        <v>2013</v>
      </c>
      <c r="C2590" t="s">
        <v>16</v>
      </c>
      <c r="D2590" t="s">
        <v>19</v>
      </c>
      <c r="E2590">
        <v>63</v>
      </c>
      <c r="F2590">
        <v>55</v>
      </c>
      <c r="G2590">
        <v>3</v>
      </c>
      <c r="H2590" s="1">
        <v>5.7754629629629631E-3</v>
      </c>
      <c r="I2590" t="s">
        <v>18</v>
      </c>
      <c r="J2590" s="2" t="str">
        <f>HYPERLINK("https://www.nba.com/stats/events?CFID=&amp;CFPARAMS=&amp;GameEventID=269&amp;GameID=0021300554&amp;Season=2013-14&amp;flag=1&amp;title=Leonard%2025'%203PT%20Jump%20Shot%20(11%20PTS)%20(Parker%208%20AST)", "Leonard 25' 3PT Jump Shot (11 PTS) (Parker 8 AST)")</f>
        <v>Leonard 25' 3PT Jump Shot (11 PTS) (Parker 8 AST)</v>
      </c>
      <c r="K2590" s="2" t="str">
        <f>HYPERLINK("https://www.nba.com/game/...-vs-...-0021300554/play-by-play?watchFullGame=true", "SAS vs MIN - Q3 08:19.00")</f>
        <v>SAS vs MIN - Q3 08:19.00</v>
      </c>
      <c r="L2590">
        <v>25</v>
      </c>
      <c r="M2590">
        <v>9</v>
      </c>
      <c r="N2590">
        <v>246</v>
      </c>
      <c r="O2590">
        <v>9</v>
      </c>
      <c r="P2590">
        <v>246</v>
      </c>
    </row>
    <row r="2591" spans="1:16" x14ac:dyDescent="0.25">
      <c r="A2591">
        <v>21600353</v>
      </c>
      <c r="B2591">
        <v>2016</v>
      </c>
      <c r="C2591" t="s">
        <v>16</v>
      </c>
      <c r="D2591" t="s">
        <v>19</v>
      </c>
      <c r="E2591">
        <v>83</v>
      </c>
      <c r="F2591">
        <v>63</v>
      </c>
      <c r="G2591">
        <v>3</v>
      </c>
      <c r="H2591" s="1">
        <v>4.3518518518518515E-3</v>
      </c>
      <c r="I2591" t="s">
        <v>18</v>
      </c>
      <c r="J2591" s="2" t="str">
        <f>HYPERLINK("https://www.nba.com/stats/events?CFID=&amp;CFPARAMS=&amp;GameEventID=310&amp;GameID=0021600353&amp;Season=2016-17&amp;flag=1&amp;title=Leonard%2026'%203PT%20Jump%20Shot%20(25%20PTS)%20(Parker%207%20AST)", "Leonard 26' 3PT Jump Shot (25 PTS) (Parker 7 AST)")</f>
        <v>Leonard 26' 3PT Jump Shot (25 PTS) (Parker 7 AST)</v>
      </c>
      <c r="K2591" s="2" t="str">
        <f>HYPERLINK("https://www.nba.com/game/...-vs-...-0021600353/play-by-play?watchFullGame=true", "SAS vs BKN - Q3 06:16.00")</f>
        <v>SAS vs BKN - Q3 06:16.00</v>
      </c>
      <c r="L2591">
        <v>26</v>
      </c>
      <c r="M2591">
        <v>9</v>
      </c>
      <c r="N2591">
        <v>264</v>
      </c>
      <c r="O2591">
        <v>9</v>
      </c>
      <c r="P2591">
        <v>264</v>
      </c>
    </row>
    <row r="2592" spans="1:16" x14ac:dyDescent="0.25">
      <c r="A2592">
        <v>22300052</v>
      </c>
      <c r="B2592">
        <v>2023</v>
      </c>
      <c r="C2592" t="s">
        <v>32</v>
      </c>
      <c r="D2592" t="s">
        <v>48</v>
      </c>
      <c r="E2592">
        <v>71</v>
      </c>
      <c r="F2592">
        <v>67</v>
      </c>
      <c r="G2592">
        <v>3</v>
      </c>
      <c r="H2592" s="1">
        <v>5.138888888888889E-3</v>
      </c>
      <c r="I2592" t="s">
        <v>23</v>
      </c>
      <c r="J2592" s="2" t="str">
        <f>HYPERLINK("https://www.nba.com/stats/events?CFID=&amp;CFPARAMS=&amp;GameEventID=387&amp;GameID=0022300052&amp;Season=2023-24&amp;flag=1&amp;title=Leonard%20running%20DUNK%20(14%20PTS)%20(J.%20Harden%207%20AST)", "Running DUNK (14 PTS) (J. Harden 7 AST)")</f>
        <v>Running DUNK (14 PTS) (J. Harden 7 AST)</v>
      </c>
      <c r="K2592" s="2" t="str">
        <f>HYPERLINK("https://www.nba.com/game/...-vs-...-0022300052/play-by-play?watchFullGame=true", "LAC vs NOP - Q3 07:24.00")</f>
        <v>LAC vs NOP - Q3 07:24.00</v>
      </c>
      <c r="L2592">
        <v>1.47</v>
      </c>
      <c r="M2592">
        <v>95.58</v>
      </c>
      <c r="N2592">
        <v>51.96</v>
      </c>
      <c r="O2592">
        <v>10</v>
      </c>
      <c r="P2592">
        <v>-11</v>
      </c>
    </row>
    <row r="2593" spans="1:16" x14ac:dyDescent="0.25">
      <c r="A2593">
        <v>41300316</v>
      </c>
      <c r="B2593" t="s">
        <v>26</v>
      </c>
      <c r="C2593" t="s">
        <v>32</v>
      </c>
      <c r="D2593" t="s">
        <v>62</v>
      </c>
      <c r="E2593">
        <v>51</v>
      </c>
      <c r="F2593">
        <v>51</v>
      </c>
      <c r="G2593">
        <v>3</v>
      </c>
      <c r="H2593" s="1">
        <v>6.1111111111111114E-3</v>
      </c>
      <c r="I2593" t="s">
        <v>18</v>
      </c>
      <c r="J2593" s="2" t="str">
        <f>HYPERLINK("https://www.nba.com/stats/events?CFID=&amp;CFPARAMS=&amp;GameEventID=276&amp;GameID=0041300316&amp;Season=2013-14&amp;flag=1&amp;title=Leonard%201'%20Dunk%20(13%20PTS)%20(Green%202%20AST)", "Leonard 1' Dunk (13 PTS) (Green 2 AST)")</f>
        <v>Leonard 1' Dunk (13 PTS) (Green 2 AST)</v>
      </c>
      <c r="K2593" s="2" t="str">
        <f>HYPERLINK("https://www.nba.com/game/...-vs-...-0041300316/play-by-play?watchFullGame=true", "SAS vs OKC - Q3 08:48.00")</f>
        <v>SAS vs OKC - Q3 08:48.00</v>
      </c>
      <c r="L2593">
        <v>1</v>
      </c>
      <c r="M2593">
        <v>10</v>
      </c>
      <c r="N2593">
        <v>-5</v>
      </c>
      <c r="O2593">
        <v>10</v>
      </c>
      <c r="P2593">
        <v>-5</v>
      </c>
    </row>
    <row r="2594" spans="1:16" x14ac:dyDescent="0.25">
      <c r="A2594">
        <v>21900239</v>
      </c>
      <c r="B2594">
        <v>2019</v>
      </c>
      <c r="C2594" t="s">
        <v>32</v>
      </c>
      <c r="D2594" t="s">
        <v>50</v>
      </c>
      <c r="E2594">
        <v>119</v>
      </c>
      <c r="F2594">
        <v>102</v>
      </c>
      <c r="G2594">
        <v>4</v>
      </c>
      <c r="H2594" s="1">
        <v>3.449074074074074E-3</v>
      </c>
      <c r="I2594" t="s">
        <v>23</v>
      </c>
      <c r="J2594" s="2" t="str">
        <f>HYPERLINK("https://www.nba.com/stats/events?CFID=&amp;CFPARAMS=&amp;GameEventID=616&amp;GameID=0021900239&amp;Season=2019-20&amp;flag=1&amp;title=Leonard%20layup%20(24%20PTS)", "Layup (24 PTS)")</f>
        <v>Layup (24 PTS)</v>
      </c>
      <c r="K2594" s="2" t="str">
        <f>HYPERLINK("https://www.nba.com/game/...-vs-...-0021900239/play-by-play?watchFullGame=true", "LAC vs NOP - Q4 04:58.00")</f>
        <v>LAC vs NOP - Q4 04:58.00</v>
      </c>
      <c r="L2594">
        <v>1.0900000000000001</v>
      </c>
      <c r="M2594">
        <v>5.44</v>
      </c>
      <c r="N2594">
        <v>47.97</v>
      </c>
      <c r="O2594">
        <v>10</v>
      </c>
      <c r="P2594">
        <v>-1</v>
      </c>
    </row>
    <row r="2595" spans="1:16" x14ac:dyDescent="0.25">
      <c r="A2595">
        <v>21600264</v>
      </c>
      <c r="B2595">
        <v>2016</v>
      </c>
      <c r="C2595" t="s">
        <v>32</v>
      </c>
      <c r="D2595" t="s">
        <v>61</v>
      </c>
      <c r="E2595">
        <v>28</v>
      </c>
      <c r="F2595">
        <v>29</v>
      </c>
      <c r="G2595">
        <v>2</v>
      </c>
      <c r="H2595" s="1">
        <v>3.0208333333333333E-3</v>
      </c>
      <c r="I2595" t="s">
        <v>18</v>
      </c>
      <c r="J2595" s="2" t="str">
        <f>HYPERLINK("https://www.nba.com/stats/events?CFID=&amp;CFPARAMS=&amp;GameEventID=189&amp;GameID=0021600264&amp;Season=2016-17&amp;flag=1&amp;title=Leonard%201'%20Driving%20Finger%20Roll%20Layup%20(6%20PTS)", "Leonard 1' Driving Finger Roll Layup (6 PTS)")</f>
        <v>Leonard 1' Driving Finger Roll Layup (6 PTS)</v>
      </c>
      <c r="K2595" s="2" t="str">
        <f>HYPERLINK("https://www.nba.com/game/...-vs-...-0021600264/play-by-play?watchFullGame=true", "SAS vs ORL - Q2 04:21.00")</f>
        <v>SAS vs ORL - Q2 04:21.00</v>
      </c>
      <c r="L2595">
        <v>1</v>
      </c>
      <c r="M2595">
        <v>10</v>
      </c>
      <c r="N2595">
        <v>0</v>
      </c>
      <c r="O2595">
        <v>10</v>
      </c>
      <c r="P2595">
        <v>0</v>
      </c>
    </row>
    <row r="2596" spans="1:16" x14ac:dyDescent="0.25">
      <c r="A2596">
        <v>21301054</v>
      </c>
      <c r="B2596">
        <v>2013</v>
      </c>
      <c r="C2596" t="s">
        <v>32</v>
      </c>
      <c r="D2596" t="s">
        <v>62</v>
      </c>
      <c r="E2596">
        <v>13</v>
      </c>
      <c r="F2596">
        <v>7</v>
      </c>
      <c r="G2596">
        <v>1</v>
      </c>
      <c r="H2596" s="1">
        <v>5.3009259259259259E-3</v>
      </c>
      <c r="I2596" t="s">
        <v>18</v>
      </c>
      <c r="J2596" s="2" t="str">
        <f>HYPERLINK("https://www.nba.com/stats/events?CFID=&amp;CFPARAMS=&amp;GameEventID=30&amp;GameID=0021301054&amp;Season=2013-14&amp;flag=1&amp;title=Leonard%201'%20Dunk%20(4%20PTS)", "Leonard 1' Dunk (4 PTS)")</f>
        <v>Leonard 1' Dunk (4 PTS)</v>
      </c>
      <c r="K2596" s="2" t="str">
        <f>HYPERLINK("https://www.nba.com/game/...-vs-...-0021301054/play-by-play?watchFullGame=true", "SAS vs PHI - Q1 07:38.00")</f>
        <v>SAS vs PHI - Q1 07:38.00</v>
      </c>
      <c r="L2596">
        <v>1</v>
      </c>
      <c r="M2596">
        <v>10</v>
      </c>
      <c r="N2596">
        <v>1</v>
      </c>
      <c r="O2596">
        <v>10</v>
      </c>
      <c r="P2596">
        <v>1</v>
      </c>
    </row>
    <row r="2597" spans="1:16" x14ac:dyDescent="0.25">
      <c r="A2597">
        <v>21400064</v>
      </c>
      <c r="B2597">
        <v>2014</v>
      </c>
      <c r="C2597" t="s">
        <v>32</v>
      </c>
      <c r="D2597" t="s">
        <v>57</v>
      </c>
      <c r="E2597">
        <v>46</v>
      </c>
      <c r="F2597">
        <v>30</v>
      </c>
      <c r="G2597">
        <v>2</v>
      </c>
      <c r="H2597" s="1">
        <v>1.5046296296296296E-3</v>
      </c>
      <c r="I2597" t="s">
        <v>18</v>
      </c>
      <c r="J2597" s="2" t="str">
        <f>HYPERLINK("https://www.nba.com/stats/events?CFID=&amp;CFPARAMS=&amp;GameEventID=231&amp;GameID=0021400064&amp;Season=2014-15&amp;flag=1&amp;title=Leonard%201'%20Layup%20(5%20PTS)%20(Duncan%202%20AST)", "Leonard 1' Layup (5 PTS) (Duncan 2 AST)")</f>
        <v>Leonard 1' Layup (5 PTS) (Duncan 2 AST)</v>
      </c>
      <c r="K2597" s="2" t="str">
        <f>HYPERLINK("https://www.nba.com/game/...-vs-...-0021400064/play-by-play?watchFullGame=true", "SAS vs ATL - Q2 02:10.00")</f>
        <v>SAS vs ATL - Q2 02:10.00</v>
      </c>
      <c r="L2597">
        <v>1</v>
      </c>
      <c r="M2597">
        <v>10</v>
      </c>
      <c r="N2597">
        <v>1</v>
      </c>
      <c r="O2597">
        <v>10</v>
      </c>
      <c r="P2597">
        <v>1</v>
      </c>
    </row>
    <row r="2598" spans="1:16" x14ac:dyDescent="0.25">
      <c r="A2598">
        <v>21500450</v>
      </c>
      <c r="B2598">
        <v>2015</v>
      </c>
      <c r="C2598" t="s">
        <v>32</v>
      </c>
      <c r="D2598" t="s">
        <v>59</v>
      </c>
      <c r="E2598">
        <v>10</v>
      </c>
      <c r="F2598">
        <v>6</v>
      </c>
      <c r="G2598">
        <v>1</v>
      </c>
      <c r="H2598" s="1">
        <v>5.5671296296296293E-3</v>
      </c>
      <c r="I2598" t="s">
        <v>18</v>
      </c>
      <c r="J2598" s="2" t="str">
        <f>HYPERLINK("https://www.nba.com/stats/events?CFID=&amp;CFPARAMS=&amp;GameEventID=36&amp;GameID=0021500450&amp;Season=2015-16&amp;flag=1&amp;title=Leonard%201'%20Putback%20Layup%20(4%20PTS)", "Leonard 1' Putback Layup (4 PTS)")</f>
        <v>Leonard 1' Putback Layup (4 PTS)</v>
      </c>
      <c r="K2598" s="2" t="str">
        <f>HYPERLINK("https://www.nba.com/game/...-vs-...-0021500450/play-by-play?watchFullGame=true", "SAS vs DEN - Q1 08:01.00")</f>
        <v>SAS vs DEN - Q1 08:01.00</v>
      </c>
      <c r="L2598">
        <v>1</v>
      </c>
      <c r="M2598">
        <v>10</v>
      </c>
      <c r="N2598">
        <v>2</v>
      </c>
      <c r="O2598">
        <v>10</v>
      </c>
      <c r="P2598">
        <v>2</v>
      </c>
    </row>
    <row r="2599" spans="1:16" x14ac:dyDescent="0.25">
      <c r="A2599">
        <v>21500207</v>
      </c>
      <c r="B2599">
        <v>2015</v>
      </c>
      <c r="C2599" t="s">
        <v>32</v>
      </c>
      <c r="D2599" t="s">
        <v>49</v>
      </c>
      <c r="E2599">
        <v>65</v>
      </c>
      <c r="F2599">
        <v>51</v>
      </c>
      <c r="G2599">
        <v>3</v>
      </c>
      <c r="H2599" s="1">
        <v>2.1296296296296298E-3</v>
      </c>
      <c r="I2599" t="s">
        <v>18</v>
      </c>
      <c r="J2599" s="2" t="str">
        <f>HYPERLINK("https://www.nba.com/stats/events?CFID=&amp;CFPARAMS=&amp;GameEventID=329&amp;GameID=0021500207&amp;Season=2015-16&amp;flag=1&amp;title=Leonard%201'%20Driving%20Layup%20(20%20PTS)", "Leonard 1' Driving Layup (20 PTS)")</f>
        <v>Leonard 1' Driving Layup (20 PTS)</v>
      </c>
      <c r="K2599" s="2" t="str">
        <f>HYPERLINK("https://www.nba.com/game/...-vs-...-0021500207/play-by-play?watchFullGame=true", "SAS vs PHX - Q3 03:04.00")</f>
        <v>SAS vs PHX - Q3 03:04.00</v>
      </c>
      <c r="L2599">
        <v>1</v>
      </c>
      <c r="M2599">
        <v>10</v>
      </c>
      <c r="N2599">
        <v>2</v>
      </c>
      <c r="O2599">
        <v>10</v>
      </c>
      <c r="P2599">
        <v>2</v>
      </c>
    </row>
    <row r="2600" spans="1:16" x14ac:dyDescent="0.25">
      <c r="A2600">
        <v>21300312</v>
      </c>
      <c r="B2600">
        <v>2013</v>
      </c>
      <c r="C2600" t="s">
        <v>32</v>
      </c>
      <c r="D2600" t="s">
        <v>57</v>
      </c>
      <c r="E2600">
        <v>53</v>
      </c>
      <c r="F2600">
        <v>59</v>
      </c>
      <c r="G2600">
        <v>2</v>
      </c>
      <c r="H2600" s="1">
        <v>6.8287037037037044E-5</v>
      </c>
      <c r="I2600" t="s">
        <v>18</v>
      </c>
      <c r="J2600" s="2" t="str">
        <f>HYPERLINK("https://www.nba.com/stats/events?CFID=&amp;CFPARAMS=&amp;GameEventID=237&amp;GameID=0021300312&amp;Season=2013-14&amp;flag=1&amp;title=Leonard%201'%20Layup%20(5%20PTS)%20(Ginobili%203%20AST)", "Leonard 1' Layup (5 PTS) (Ginobili 3 AST)")</f>
        <v>Leonard 1' Layup (5 PTS) (Ginobili 3 AST)</v>
      </c>
      <c r="K2600" s="2" t="str">
        <f>HYPERLINK("https://www.nba.com/game/...-vs-...-0021300312/play-by-play?watchFullGame=true", "SAS vs TOR - Q2 00:05.90")</f>
        <v>SAS vs TOR - Q2 00:05.90</v>
      </c>
      <c r="L2600">
        <v>1</v>
      </c>
      <c r="M2600">
        <v>10</v>
      </c>
      <c r="N2600">
        <v>3</v>
      </c>
      <c r="O2600">
        <v>10</v>
      </c>
      <c r="P2600">
        <v>3</v>
      </c>
    </row>
    <row r="2601" spans="1:16" x14ac:dyDescent="0.25">
      <c r="A2601">
        <v>21600817</v>
      </c>
      <c r="B2601">
        <v>2016</v>
      </c>
      <c r="C2601" t="s">
        <v>32</v>
      </c>
      <c r="D2601" t="s">
        <v>57</v>
      </c>
      <c r="E2601">
        <v>92</v>
      </c>
      <c r="F2601">
        <v>88</v>
      </c>
      <c r="G2601">
        <v>4</v>
      </c>
      <c r="H2601" s="1">
        <v>3.2986111111111112E-4</v>
      </c>
      <c r="I2601" t="s">
        <v>18</v>
      </c>
      <c r="J2601" s="2" t="str">
        <f>HYPERLINK("https://www.nba.com/stats/events?CFID=&amp;CFPARAMS=&amp;GameEventID=508&amp;GameID=0021600817&amp;Season=2016-17&amp;flag=1&amp;title=Leonard%201'%20Layup%20(36%20PTS)", "Leonard 1' Layup (36 PTS)")</f>
        <v>Leonard 1' Layup (36 PTS)</v>
      </c>
      <c r="K2601" s="2" t="str">
        <f>HYPERLINK("https://www.nba.com/game/...-vs-...-0021600817/play-by-play?watchFullGame=true", "SAS vs NYK - Q4 00:28.50")</f>
        <v>SAS vs NYK - Q4 00:28.50</v>
      </c>
      <c r="L2601">
        <v>1</v>
      </c>
      <c r="M2601">
        <v>10</v>
      </c>
      <c r="N2601">
        <v>3</v>
      </c>
      <c r="O2601">
        <v>10</v>
      </c>
      <c r="P2601">
        <v>3</v>
      </c>
    </row>
    <row r="2602" spans="1:16" x14ac:dyDescent="0.25">
      <c r="A2602">
        <v>21401028</v>
      </c>
      <c r="B2602">
        <v>2014</v>
      </c>
      <c r="C2602" t="s">
        <v>32</v>
      </c>
      <c r="D2602" t="s">
        <v>57</v>
      </c>
      <c r="E2602">
        <v>77</v>
      </c>
      <c r="F2602">
        <v>58</v>
      </c>
      <c r="G2602">
        <v>3</v>
      </c>
      <c r="H2602" s="1">
        <v>3.1018518518518517E-3</v>
      </c>
      <c r="I2602" t="s">
        <v>18</v>
      </c>
      <c r="J2602" s="2" t="str">
        <f>HYPERLINK("https://www.nba.com/stats/events?CFID=&amp;CFPARAMS=&amp;GameEventID=325&amp;GameID=0021401028&amp;Season=2014-15&amp;flag=1&amp;title=Leonard%201'%20Layup%20(19%20PTS)%20(Mills%203%20AST)", "Leonard 1' Layup (19 PTS) (Mills 3 AST)")</f>
        <v>Leonard 1' Layup (19 PTS) (Mills 3 AST)</v>
      </c>
      <c r="K2602" s="2" t="str">
        <f>HYPERLINK("https://www.nba.com/game/...-vs-...-0021401028/play-by-play?watchFullGame=true", "SAS vs BOS - Q3 04:28.00")</f>
        <v>SAS vs BOS - Q3 04:28.00</v>
      </c>
      <c r="L2602">
        <v>1</v>
      </c>
      <c r="M2602">
        <v>10</v>
      </c>
      <c r="N2602">
        <v>4</v>
      </c>
      <c r="O2602">
        <v>10</v>
      </c>
      <c r="P2602">
        <v>4</v>
      </c>
    </row>
    <row r="2603" spans="1:16" x14ac:dyDescent="0.25">
      <c r="A2603">
        <v>21400231</v>
      </c>
      <c r="B2603">
        <v>2014</v>
      </c>
      <c r="C2603" t="s">
        <v>32</v>
      </c>
      <c r="D2603" t="s">
        <v>57</v>
      </c>
      <c r="E2603">
        <v>18</v>
      </c>
      <c r="F2603">
        <v>16</v>
      </c>
      <c r="G2603">
        <v>1</v>
      </c>
      <c r="H2603" s="1">
        <v>1.8981481481481482E-3</v>
      </c>
      <c r="I2603" t="s">
        <v>18</v>
      </c>
      <c r="J2603" s="2" t="str">
        <f>HYPERLINK("https://www.nba.com/stats/events?CFID=&amp;CFPARAMS=&amp;GameEventID=82&amp;GameID=0021400231&amp;Season=2014-15&amp;flag=1&amp;title=Leonard%201'%20Layup%20(2%20PTS)%20(Ginobili%202%20AST)", "Leonard 1' Layup (2 PTS) (Ginobili 2 AST)")</f>
        <v>Leonard 1' Layup (2 PTS) (Ginobili 2 AST)</v>
      </c>
      <c r="K2603" s="2" t="str">
        <f>HYPERLINK("https://www.nba.com/game/...-vs-...-0021400231/play-by-play?watchFullGame=true", "SAS vs SAC - Q1 02:44.00")</f>
        <v>SAS vs SAC - Q1 02:44.00</v>
      </c>
      <c r="L2603">
        <v>1</v>
      </c>
      <c r="M2603">
        <v>10</v>
      </c>
      <c r="N2603">
        <v>6</v>
      </c>
      <c r="O2603">
        <v>10</v>
      </c>
      <c r="P2603">
        <v>6</v>
      </c>
    </row>
    <row r="2604" spans="1:16" x14ac:dyDescent="0.25">
      <c r="A2604">
        <v>21401098</v>
      </c>
      <c r="B2604">
        <v>2014</v>
      </c>
      <c r="C2604" t="s">
        <v>32</v>
      </c>
      <c r="D2604" t="s">
        <v>59</v>
      </c>
      <c r="E2604">
        <v>16</v>
      </c>
      <c r="F2604">
        <v>9</v>
      </c>
      <c r="G2604">
        <v>1</v>
      </c>
      <c r="H2604" s="1">
        <v>4.2361111111111115E-3</v>
      </c>
      <c r="I2604" t="s">
        <v>18</v>
      </c>
      <c r="J2604" s="2" t="str">
        <f>HYPERLINK("https://www.nba.com/stats/events?CFID=&amp;CFPARAMS=&amp;GameEventID=46&amp;GameID=0021401098&amp;Season=2014-15&amp;flag=1&amp;title=Leonard%201'%20Putback%20Layup%20(4%20PTS)", "Leonard 1' Putback Layup (4 PTS)")</f>
        <v>Leonard 1' Putback Layup (4 PTS)</v>
      </c>
      <c r="K2604" s="2" t="str">
        <f>HYPERLINK("https://www.nba.com/game/...-vs-...-0021401098/play-by-play?watchFullGame=true", "SAS vs MEM - Q1 06:06.00")</f>
        <v>SAS vs MEM - Q1 06:06.00</v>
      </c>
      <c r="L2604">
        <v>1</v>
      </c>
      <c r="M2604">
        <v>10</v>
      </c>
      <c r="N2604">
        <v>6</v>
      </c>
      <c r="O2604">
        <v>10</v>
      </c>
      <c r="P2604">
        <v>6</v>
      </c>
    </row>
    <row r="2605" spans="1:16" x14ac:dyDescent="0.25">
      <c r="A2605">
        <v>22300956</v>
      </c>
      <c r="B2605">
        <v>2023</v>
      </c>
      <c r="C2605" t="s">
        <v>32</v>
      </c>
      <c r="D2605" t="s">
        <v>47</v>
      </c>
      <c r="E2605">
        <v>53</v>
      </c>
      <c r="F2605">
        <v>64</v>
      </c>
      <c r="G2605">
        <v>2</v>
      </c>
      <c r="H2605" s="1">
        <v>2.7777777777777776E-5</v>
      </c>
      <c r="I2605" t="s">
        <v>23</v>
      </c>
      <c r="J2605" s="2" t="str">
        <f>HYPERLINK("https://www.nba.com/stats/events?CFID=&amp;CFPARAMS=&amp;GameEventID=286&amp;GameID=0022300956&amp;Season=2023-24&amp;flag=1&amp;title=Leonard%20driving%20Layup%20(16%20PTS)%20(T.%20Mann%201%20AST)", "Driving Layup (16 PTS) (T. Mann 1 AST)")</f>
        <v>Driving Layup (16 PTS) (T. Mann 1 AST)</v>
      </c>
      <c r="K2605" s="2" t="str">
        <f>HYPERLINK("https://www.nba.com/game/...-vs-...-0022300956/play-by-play?watchFullGame=true", "LAC vs CHI - Q2 00:02.40")</f>
        <v>LAC vs CHI - Q2 00:02.40</v>
      </c>
      <c r="L2605">
        <v>1.17</v>
      </c>
      <c r="M2605">
        <v>6.26</v>
      </c>
      <c r="N2605">
        <v>48.04</v>
      </c>
      <c r="O2605">
        <v>10</v>
      </c>
      <c r="P2605">
        <v>6</v>
      </c>
    </row>
    <row r="2606" spans="1:16" x14ac:dyDescent="0.25">
      <c r="A2606">
        <v>21400774</v>
      </c>
      <c r="B2606">
        <v>2014</v>
      </c>
      <c r="C2606" t="s">
        <v>32</v>
      </c>
      <c r="D2606" t="s">
        <v>57</v>
      </c>
      <c r="E2606">
        <v>91</v>
      </c>
      <c r="F2606">
        <v>86</v>
      </c>
      <c r="G2606">
        <v>4</v>
      </c>
      <c r="H2606" s="1">
        <v>3.0092592592592593E-3</v>
      </c>
      <c r="I2606" t="s">
        <v>18</v>
      </c>
      <c r="J2606" s="2" t="str">
        <f>HYPERLINK("https://www.nba.com/stats/events?CFID=&amp;CFPARAMS=&amp;GameEventID=419&amp;GameID=0021400774&amp;Season=2014-15&amp;flag=1&amp;title=Leonard%201'%20Layup%20(9%20PTS)", "Leonard 1' Layup (9 PTS)")</f>
        <v>Leonard 1' Layup (9 PTS)</v>
      </c>
      <c r="K2606" s="2" t="str">
        <f>HYPERLINK("https://www.nba.com/game/...-vs-...-0021400774/play-by-play?watchFullGame=true", "SAS vs IND - Q4 04:20.00")</f>
        <v>SAS vs IND - Q4 04:20.00</v>
      </c>
      <c r="L2606">
        <v>1</v>
      </c>
      <c r="M2606">
        <v>10</v>
      </c>
      <c r="N2606">
        <v>7</v>
      </c>
      <c r="O2606">
        <v>10</v>
      </c>
      <c r="P2606">
        <v>7</v>
      </c>
    </row>
    <row r="2607" spans="1:16" x14ac:dyDescent="0.25">
      <c r="A2607">
        <v>22300637</v>
      </c>
      <c r="B2607">
        <v>2023</v>
      </c>
      <c r="C2607" t="s">
        <v>32</v>
      </c>
      <c r="D2607" t="s">
        <v>48</v>
      </c>
      <c r="E2607">
        <v>13</v>
      </c>
      <c r="F2607">
        <v>23</v>
      </c>
      <c r="G2607">
        <v>1</v>
      </c>
      <c r="H2607" s="1">
        <v>2.7430555555555554E-3</v>
      </c>
      <c r="I2607" t="s">
        <v>23</v>
      </c>
      <c r="J2607" s="2" t="str">
        <f>HYPERLINK("https://www.nba.com/stats/events?CFID=&amp;CFPARAMS=&amp;GameEventID=100&amp;GameID=0022300637&amp;Season=2023-24&amp;flag=1&amp;title=Leonard%20running%20DUNK%20(4%20PTS)%20(R.%20Westbrook%201%20AST)", "Running DUNK (4 PTS) (R. Westbrook 1 AST)")</f>
        <v>Running DUNK (4 PTS) (R. Westbrook 1 AST)</v>
      </c>
      <c r="K2607" s="2" t="str">
        <f>HYPERLINK("https://www.nba.com/game/...-vs-...-0022300637/play-by-play?watchFullGame=true", "LAC vs TOR - Q1 03:57.00")</f>
        <v>LAC vs TOR - Q1 03:57.00</v>
      </c>
      <c r="L2607">
        <v>1.3</v>
      </c>
      <c r="M2607">
        <v>93.51</v>
      </c>
      <c r="N2607">
        <v>51.96</v>
      </c>
      <c r="O2607">
        <v>10</v>
      </c>
      <c r="P2607">
        <v>8</v>
      </c>
    </row>
    <row r="2608" spans="1:16" x14ac:dyDescent="0.25">
      <c r="A2608">
        <v>21600134</v>
      </c>
      <c r="B2608">
        <v>2016</v>
      </c>
      <c r="C2608" t="s">
        <v>32</v>
      </c>
      <c r="D2608" t="s">
        <v>49</v>
      </c>
      <c r="E2608">
        <v>13</v>
      </c>
      <c r="F2608">
        <v>18</v>
      </c>
      <c r="G2608">
        <v>1</v>
      </c>
      <c r="H2608" s="1">
        <v>2.3958333333333331E-3</v>
      </c>
      <c r="I2608" t="s">
        <v>18</v>
      </c>
      <c r="J2608" s="2" t="str">
        <f>HYPERLINK("https://www.nba.com/stats/events?CFID=&amp;CFPARAMS=&amp;GameEventID=84&amp;GameID=0021600134&amp;Season=2016-17&amp;flag=1&amp;title=Leonard%201'%20Driving%20Layup%20(8%20PTS)", "Leonard 1' Driving Layup (8 PTS)")</f>
        <v>Leonard 1' Driving Layup (8 PTS)</v>
      </c>
      <c r="K2608" s="2" t="str">
        <f>HYPERLINK("https://www.nba.com/game/...-vs-...-0021600134/play-by-play?watchFullGame=true", "SAS vs HOU - Q1 03:27.00")</f>
        <v>SAS vs HOU - Q1 03:27.00</v>
      </c>
      <c r="L2608">
        <v>1</v>
      </c>
      <c r="M2608">
        <v>10</v>
      </c>
      <c r="N2608">
        <v>11</v>
      </c>
      <c r="O2608">
        <v>10</v>
      </c>
      <c r="P2608">
        <v>11</v>
      </c>
    </row>
    <row r="2609" spans="1:16" x14ac:dyDescent="0.25">
      <c r="A2609">
        <v>21600387</v>
      </c>
      <c r="B2609">
        <v>2016</v>
      </c>
      <c r="C2609" t="s">
        <v>32</v>
      </c>
      <c r="D2609" t="s">
        <v>49</v>
      </c>
      <c r="E2609">
        <v>30</v>
      </c>
      <c r="F2609">
        <v>31</v>
      </c>
      <c r="G2609">
        <v>2</v>
      </c>
      <c r="H2609" s="1">
        <v>6.1111111111111114E-3</v>
      </c>
      <c r="I2609" t="s">
        <v>18</v>
      </c>
      <c r="J2609" s="2" t="str">
        <f>HYPERLINK("https://www.nba.com/stats/events?CFID=&amp;CFPARAMS=&amp;GameEventID=162&amp;GameID=0021600387&amp;Season=2016-17&amp;flag=1&amp;title=Leonard%201'%20Driving%20Layup%20(7%20PTS)", "Leonard 1' Driving Layup (7 PTS)")</f>
        <v>Leonard 1' Driving Layup (7 PTS)</v>
      </c>
      <c r="K2609" s="2" t="str">
        <f>HYPERLINK("https://www.nba.com/game/...-vs-...-0021600387/play-by-play?watchFullGame=true", "SAS vs PHX - Q2 08:48.00")</f>
        <v>SAS vs PHX - Q2 08:48.00</v>
      </c>
      <c r="L2609">
        <v>1</v>
      </c>
      <c r="M2609">
        <v>10</v>
      </c>
      <c r="N2609">
        <v>11</v>
      </c>
      <c r="O2609">
        <v>10</v>
      </c>
      <c r="P2609">
        <v>11</v>
      </c>
    </row>
    <row r="2610" spans="1:16" x14ac:dyDescent="0.25">
      <c r="A2610">
        <v>22000736</v>
      </c>
      <c r="B2610">
        <v>2020</v>
      </c>
      <c r="C2610" t="s">
        <v>32</v>
      </c>
      <c r="D2610" t="s">
        <v>47</v>
      </c>
      <c r="E2610">
        <v>16</v>
      </c>
      <c r="F2610">
        <v>25</v>
      </c>
      <c r="G2610">
        <v>1</v>
      </c>
      <c r="H2610" s="1">
        <v>1.9907407407407408E-3</v>
      </c>
      <c r="I2610" t="s">
        <v>23</v>
      </c>
      <c r="J2610" s="2" t="str">
        <f>HYPERLINK("https://www.nba.com/stats/events?CFID=&amp;CFPARAMS=&amp;GameEventID=91&amp;GameID=0022000736&amp;Season=2020-21&amp;flag=1&amp;title=Leonard%20driving%20Layup%20(4%20PTS)", "Driving Layup (4 PTS)")</f>
        <v>Driving Layup (4 PTS)</v>
      </c>
      <c r="K2610" s="2" t="str">
        <f>HYPERLINK("https://www.nba.com/game/...-vs-...-0022000736/play-by-play?watchFullGame=true", "LAC vs DEN - Q1 02:52.00")</f>
        <v>LAC vs DEN - Q1 02:52.00</v>
      </c>
      <c r="L2610">
        <v>1.58</v>
      </c>
      <c r="M2610">
        <v>93.12</v>
      </c>
      <c r="N2610">
        <v>52.03</v>
      </c>
      <c r="O2610">
        <v>10</v>
      </c>
      <c r="P2610">
        <v>12</v>
      </c>
    </row>
    <row r="2611" spans="1:16" x14ac:dyDescent="0.25">
      <c r="A2611">
        <v>21300421</v>
      </c>
      <c r="B2611">
        <v>2013</v>
      </c>
      <c r="C2611" t="s">
        <v>32</v>
      </c>
      <c r="D2611" t="s">
        <v>57</v>
      </c>
      <c r="E2611">
        <v>64</v>
      </c>
      <c r="F2611">
        <v>71</v>
      </c>
      <c r="G2611">
        <v>3</v>
      </c>
      <c r="H2611" s="1">
        <v>4.31712962962963E-3</v>
      </c>
      <c r="I2611" t="s">
        <v>18</v>
      </c>
      <c r="J2611" s="2" t="str">
        <f>HYPERLINK("https://www.nba.com/stats/events?CFID=&amp;CFPARAMS=&amp;GameEventID=297&amp;GameID=0021300421&amp;Season=2013-14&amp;flag=1&amp;title=Leonard%202'%20Layup%20(6%20PTS)%20(Duncan%205%20AST)", "Leonard 2' Layup (6 PTS) (Duncan 5 AST)")</f>
        <v>Leonard 2' Layup (6 PTS) (Duncan 5 AST)</v>
      </c>
      <c r="K2611" s="2" t="str">
        <f>HYPERLINK("https://www.nba.com/game/...-vs-...-0021300421/play-by-play?watchFullGame=true", "SAS vs HOU - Q3 06:13.00")</f>
        <v>SAS vs HOU - Q3 06:13.00</v>
      </c>
      <c r="L2611">
        <v>2</v>
      </c>
      <c r="M2611">
        <v>10</v>
      </c>
      <c r="N2611">
        <v>15</v>
      </c>
      <c r="O2611">
        <v>10</v>
      </c>
      <c r="P2611">
        <v>15</v>
      </c>
    </row>
    <row r="2612" spans="1:16" x14ac:dyDescent="0.25">
      <c r="A2612">
        <v>21900339</v>
      </c>
      <c r="B2612">
        <v>2019</v>
      </c>
      <c r="C2612" t="s">
        <v>32</v>
      </c>
      <c r="D2612" t="s">
        <v>50</v>
      </c>
      <c r="E2612">
        <v>112</v>
      </c>
      <c r="F2612">
        <v>123</v>
      </c>
      <c r="G2612">
        <v>4</v>
      </c>
      <c r="H2612" s="1">
        <v>3.0092592592592593E-3</v>
      </c>
      <c r="I2612" t="s">
        <v>23</v>
      </c>
      <c r="J2612" s="2" t="str">
        <f>HYPERLINK("https://www.nba.com/stats/events?CFID=&amp;CFPARAMS=&amp;GameEventID=664&amp;GameID=0021900339&amp;Season=2019-20&amp;flag=1&amp;title=Leonard%20layup%20(32%20PTS)", "Layup (32 PTS)")</f>
        <v>Layup (32 PTS)</v>
      </c>
      <c r="K2612" s="2" t="str">
        <f>HYPERLINK("https://www.nba.com/game/...-vs-...-0021900339/play-by-play?watchFullGame=true", "LAC vs WAS - Q4 04:20.00")</f>
        <v>LAC vs WAS - Q4 04:20.00</v>
      </c>
      <c r="L2612">
        <v>2.37</v>
      </c>
      <c r="M2612">
        <v>7.28</v>
      </c>
      <c r="N2612">
        <v>47.97</v>
      </c>
      <c r="O2612">
        <v>10</v>
      </c>
      <c r="P2612">
        <v>16</v>
      </c>
    </row>
    <row r="2613" spans="1:16" x14ac:dyDescent="0.25">
      <c r="A2613">
        <v>21500784</v>
      </c>
      <c r="B2613">
        <v>2015</v>
      </c>
      <c r="C2613" t="s">
        <v>32</v>
      </c>
      <c r="D2613" t="s">
        <v>49</v>
      </c>
      <c r="E2613">
        <v>2</v>
      </c>
      <c r="F2613">
        <v>2</v>
      </c>
      <c r="G2613">
        <v>1</v>
      </c>
      <c r="H2613" s="1">
        <v>7.4999999999999997E-3</v>
      </c>
      <c r="I2613" t="s">
        <v>18</v>
      </c>
      <c r="J2613" s="2" t="str">
        <f>HYPERLINK("https://www.nba.com/stats/events?CFID=&amp;CFPARAMS=&amp;GameEventID=7&amp;GameID=0021500784&amp;Season=2015-16&amp;flag=1&amp;title=Leonard%202'%20Driving%20Layup%20(2%20PTS)", "Leonard 2' Driving Layup (2 PTS)")</f>
        <v>Leonard 2' Driving Layup (2 PTS)</v>
      </c>
      <c r="K2613" s="2" t="str">
        <f>HYPERLINK("https://www.nba.com/game/...-vs-...-0021500784/play-by-play?watchFullGame=true", "SAS vs MIA - Q1 10:48.00")</f>
        <v>SAS vs MIA - Q1 10:48.00</v>
      </c>
      <c r="L2613">
        <v>2</v>
      </c>
      <c r="M2613">
        <v>10</v>
      </c>
      <c r="N2613">
        <v>16</v>
      </c>
      <c r="O2613">
        <v>10</v>
      </c>
      <c r="P2613">
        <v>16</v>
      </c>
    </row>
    <row r="2614" spans="1:16" x14ac:dyDescent="0.25">
      <c r="A2614">
        <v>22200810</v>
      </c>
      <c r="B2614">
        <v>2022</v>
      </c>
      <c r="C2614" t="s">
        <v>32</v>
      </c>
      <c r="D2614" t="s">
        <v>47</v>
      </c>
      <c r="E2614">
        <v>77</v>
      </c>
      <c r="F2614">
        <v>77</v>
      </c>
      <c r="G2614">
        <v>3</v>
      </c>
      <c r="H2614" s="1">
        <v>3.3912037037037036E-3</v>
      </c>
      <c r="I2614" t="s">
        <v>23</v>
      </c>
      <c r="J2614" s="2" t="str">
        <f>HYPERLINK("https://www.nba.com/stats/events?CFID=&amp;CFPARAMS=&amp;GameEventID=404&amp;GameID=0022200810&amp;Season=2022-23&amp;flag=1&amp;title=Leonard%20driving%20finger%20roll%20Layup%20(13%20PTS)", "Driving finger roll Layup (13 PTS)")</f>
        <v>Driving finger roll Layup (13 PTS)</v>
      </c>
      <c r="K2614" s="2" t="str">
        <f>HYPERLINK("https://www.nba.com/game/...-vs-...-0022200810/play-by-play?watchFullGame=true", "LAC vs BKN - Q3 04:53.00")</f>
        <v>LAC vs BKN - Q3 04:53.00</v>
      </c>
      <c r="L2614">
        <v>2.68</v>
      </c>
      <c r="M2614">
        <v>8.23</v>
      </c>
      <c r="N2614">
        <v>48.04</v>
      </c>
      <c r="O2614">
        <v>10</v>
      </c>
      <c r="P2614">
        <v>25</v>
      </c>
    </row>
    <row r="2615" spans="1:16" x14ac:dyDescent="0.25">
      <c r="A2615">
        <v>21301017</v>
      </c>
      <c r="B2615">
        <v>2013</v>
      </c>
      <c r="C2615" t="s">
        <v>32</v>
      </c>
      <c r="D2615" t="s">
        <v>49</v>
      </c>
      <c r="E2615">
        <v>13</v>
      </c>
      <c r="F2615">
        <v>15</v>
      </c>
      <c r="G2615">
        <v>1</v>
      </c>
      <c r="H2615" s="1">
        <v>4.9074074074074072E-3</v>
      </c>
      <c r="I2615" t="s">
        <v>18</v>
      </c>
      <c r="J2615" s="2" t="str">
        <f>HYPERLINK("https://www.nba.com/stats/events?CFID=&amp;CFPARAMS=&amp;GameEventID=43&amp;GameID=0021301017&amp;Season=2013-14&amp;flag=1&amp;title=Leonard%203'%20Driving%20Layup%20(4%20PTS)", "Leonard 3' Driving Layup (4 PTS)")</f>
        <v>Leonard 3' Driving Layup (4 PTS)</v>
      </c>
      <c r="K2615" s="2" t="str">
        <f>HYPERLINK("https://www.nba.com/game/...-vs-...-0021301017/play-by-play?watchFullGame=true", "SAS vs LAL - Q1 07:04.00")</f>
        <v>SAS vs LAL - Q1 07:04.00</v>
      </c>
      <c r="L2615">
        <v>3</v>
      </c>
      <c r="M2615">
        <v>10</v>
      </c>
      <c r="N2615">
        <v>31</v>
      </c>
      <c r="O2615">
        <v>10</v>
      </c>
      <c r="P2615">
        <v>31</v>
      </c>
    </row>
    <row r="2616" spans="1:16" x14ac:dyDescent="0.25">
      <c r="A2616">
        <v>21300229</v>
      </c>
      <c r="B2616">
        <v>2013</v>
      </c>
      <c r="C2616" t="s">
        <v>32</v>
      </c>
      <c r="D2616" t="s">
        <v>57</v>
      </c>
      <c r="E2616">
        <v>40</v>
      </c>
      <c r="F2616">
        <v>46</v>
      </c>
      <c r="G2616">
        <v>2</v>
      </c>
      <c r="H2616" s="1">
        <v>3.6342592592592594E-3</v>
      </c>
      <c r="I2616" t="s">
        <v>18</v>
      </c>
      <c r="J2616" s="2" t="str">
        <f>HYPERLINK("https://www.nba.com/stats/events?CFID=&amp;CFPARAMS=&amp;GameEventID=173&amp;GameID=0021300229&amp;Season=2013-14&amp;flag=1&amp;title=Leonard%203'%20Layup%20(8%20PTS)", "Leonard 3' Layup (8 PTS)")</f>
        <v>Leonard 3' Layup (8 PTS)</v>
      </c>
      <c r="K2616" s="2" t="str">
        <f>HYPERLINK("https://www.nba.com/game/...-vs-...-0021300229/play-by-play?watchFullGame=true", "SAS vs ORL - Q2 05:14.00")</f>
        <v>SAS vs ORL - Q2 05:14.00</v>
      </c>
      <c r="L2616">
        <v>3</v>
      </c>
      <c r="M2616">
        <v>10</v>
      </c>
      <c r="N2616">
        <v>33</v>
      </c>
      <c r="O2616">
        <v>10</v>
      </c>
      <c r="P2616">
        <v>33</v>
      </c>
    </row>
    <row r="2617" spans="1:16" x14ac:dyDescent="0.25">
      <c r="A2617">
        <v>22300309</v>
      </c>
      <c r="B2617">
        <v>2023</v>
      </c>
      <c r="C2617" t="s">
        <v>32</v>
      </c>
      <c r="D2617" t="s">
        <v>47</v>
      </c>
      <c r="E2617">
        <v>72</v>
      </c>
      <c r="F2617">
        <v>50</v>
      </c>
      <c r="G2617">
        <v>3</v>
      </c>
      <c r="H2617" s="1">
        <v>7.3842592592592597E-3</v>
      </c>
      <c r="I2617" t="s">
        <v>23</v>
      </c>
      <c r="J2617" s="2" t="str">
        <f>HYPERLINK("https://www.nba.com/stats/events?CFID=&amp;CFPARAMS=&amp;GameEventID=337&amp;GameID=0022300309&amp;Season=2023-24&amp;flag=1&amp;title=Leonard%20driving%20finger%20roll%20Layup%20(19%20PTS)", "Driving finger roll Layup (19 PTS)")</f>
        <v>Driving finger roll Layup (19 PTS)</v>
      </c>
      <c r="K2617" s="2" t="str">
        <f>HYPERLINK("https://www.nba.com/game/...-vs-...-0022300309/play-by-play?watchFullGame=true", "LAC vs SAC - Q3 10:38.00")</f>
        <v>LAC vs SAC - Q3 10:38.00</v>
      </c>
      <c r="L2617">
        <v>4.29</v>
      </c>
      <c r="M2617">
        <v>10.039999999999999</v>
      </c>
      <c r="N2617">
        <v>48.04</v>
      </c>
      <c r="O2617">
        <v>10</v>
      </c>
      <c r="P2617">
        <v>42</v>
      </c>
    </row>
    <row r="2618" spans="1:16" x14ac:dyDescent="0.25">
      <c r="A2618">
        <v>22301043</v>
      </c>
      <c r="B2618">
        <v>2023</v>
      </c>
      <c r="C2618" t="s">
        <v>32</v>
      </c>
      <c r="D2618" t="s">
        <v>47</v>
      </c>
      <c r="E2618">
        <v>29</v>
      </c>
      <c r="F2618">
        <v>24</v>
      </c>
      <c r="G2618">
        <v>1</v>
      </c>
      <c r="H2618" s="1">
        <v>1.4583333333333334E-3</v>
      </c>
      <c r="I2618" t="s">
        <v>23</v>
      </c>
      <c r="J2618" s="2" t="str">
        <f>HYPERLINK("https://www.nba.com/stats/events?CFID=&amp;CFPARAMS=&amp;GameEventID=113&amp;GameID=0022301043&amp;Season=2023-24&amp;flag=1&amp;title=Leonard%20driving%20Layup%20(4%20PTS)%20(R.%20Westbrook%202%20AST)", "Driving Layup (4 PTS) (R. Westbrook 2 AST)")</f>
        <v>Driving Layup (4 PTS) (R. Westbrook 2 AST)</v>
      </c>
      <c r="K2618" s="2" t="str">
        <f>HYPERLINK("https://www.nba.com/game/...-vs-...-0022301043/play-by-play?watchFullGame=true", "LAC vs IND - Q1 02:06.00")</f>
        <v>LAC vs IND - Q1 02:06.00</v>
      </c>
      <c r="L2618">
        <v>4.42</v>
      </c>
      <c r="M2618">
        <v>10.17</v>
      </c>
      <c r="N2618">
        <v>48.04</v>
      </c>
      <c r="O2618">
        <v>10</v>
      </c>
      <c r="P2618">
        <v>43</v>
      </c>
    </row>
    <row r="2619" spans="1:16" x14ac:dyDescent="0.25">
      <c r="A2619">
        <v>22301079</v>
      </c>
      <c r="B2619">
        <v>2023</v>
      </c>
      <c r="C2619" t="s">
        <v>32</v>
      </c>
      <c r="D2619" t="s">
        <v>19</v>
      </c>
      <c r="E2619">
        <v>113</v>
      </c>
      <c r="F2619">
        <v>122</v>
      </c>
      <c r="G2619">
        <v>4</v>
      </c>
      <c r="H2619" s="1">
        <v>1.3541666666666667E-3</v>
      </c>
      <c r="I2619" t="s">
        <v>23</v>
      </c>
      <c r="J2619" s="2" t="str">
        <f>HYPERLINK("https://www.nba.com/stats/events?CFID=&amp;CFPARAMS=&amp;GameEventID=558&amp;GameID=0022301079&amp;Season=2023-24&amp;flag=1&amp;title=Leonard%20fadeaway%20Jump%20Shot%20(22%20PTS)%20(P.%20George%204%20AST)", "Fadeaway Jump Shot (22 PTS) (P. George 4 AST)")</f>
        <v>Fadeaway Jump Shot (22 PTS) (P. George 4 AST)</v>
      </c>
      <c r="K2619" s="2" t="str">
        <f>HYPERLINK("https://www.nba.com/game/...-vs-...-0022301079/play-by-play?watchFullGame=true", "LAC vs CHA - Q4 01:57.00")</f>
        <v>LAC vs CHA - Q4 01:57.00</v>
      </c>
      <c r="L2619">
        <v>4.46</v>
      </c>
      <c r="M2619">
        <v>10.33</v>
      </c>
      <c r="N2619">
        <v>50</v>
      </c>
      <c r="O2619">
        <v>10</v>
      </c>
      <c r="P2619">
        <v>45</v>
      </c>
    </row>
    <row r="2620" spans="1:16" x14ac:dyDescent="0.25">
      <c r="A2620">
        <v>22000224</v>
      </c>
      <c r="B2620">
        <v>2020</v>
      </c>
      <c r="C2620" t="s">
        <v>32</v>
      </c>
      <c r="D2620" t="s">
        <v>44</v>
      </c>
      <c r="E2620">
        <v>78</v>
      </c>
      <c r="F2620">
        <v>63</v>
      </c>
      <c r="G2620">
        <v>3</v>
      </c>
      <c r="H2620" s="1">
        <v>4.8032407407407407E-3</v>
      </c>
      <c r="I2620" t="s">
        <v>23</v>
      </c>
      <c r="J2620" s="2" t="str">
        <f>HYPERLINK("https://www.nba.com/stats/events?CFID=&amp;CFPARAMS=&amp;GameEventID=368&amp;GameID=0022000224&amp;Season=2020-21&amp;flag=1&amp;title=Leonard%20turnaround%20Hook%20(23%20PTS)", "Turnaround Hook (23 PTS)")</f>
        <v>Turnaround Hook (23 PTS)</v>
      </c>
      <c r="K2620" s="2" t="str">
        <f>HYPERLINK("https://www.nba.com/game/...-vs-...-0022000224/play-by-play?watchFullGame=true", "LAC vs SAC - Q3 06:55.00")</f>
        <v>LAC vs SAC - Q3 06:55.00</v>
      </c>
      <c r="L2620">
        <v>4.83</v>
      </c>
      <c r="M2620">
        <v>10.73</v>
      </c>
      <c r="N2620">
        <v>50.07</v>
      </c>
      <c r="O2620">
        <v>10</v>
      </c>
      <c r="P2620">
        <v>48</v>
      </c>
    </row>
    <row r="2621" spans="1:16" x14ac:dyDescent="0.25">
      <c r="A2621">
        <v>22200016</v>
      </c>
      <c r="B2621">
        <v>2022</v>
      </c>
      <c r="C2621" t="s">
        <v>32</v>
      </c>
      <c r="D2621" t="s">
        <v>44</v>
      </c>
      <c r="E2621">
        <v>93</v>
      </c>
      <c r="F2621">
        <v>97</v>
      </c>
      <c r="G2621">
        <v>4</v>
      </c>
      <c r="H2621" s="1">
        <v>3.449074074074074E-3</v>
      </c>
      <c r="I2621" t="s">
        <v>23</v>
      </c>
      <c r="J2621" s="2" t="str">
        <f>HYPERLINK("https://www.nba.com/stats/events?CFID=&amp;CFPARAMS=&amp;GameEventID=643&amp;GameID=0022200016&amp;Season=2022-23&amp;flag=1&amp;title=Leonard%20turnaround%20bank%20Hook%20(12%20PTS)", "Turnaround bank Hook (12 PTS)")</f>
        <v>Turnaround bank Hook (12 PTS)</v>
      </c>
      <c r="K2621" s="2" t="str">
        <f>HYPERLINK("https://www.nba.com/game/...-vs-...-0022200016/play-by-play?watchFullGame=true", "LAC vs LAL - Q4 04:58.00")</f>
        <v>LAC vs LAL - Q4 04:58.00</v>
      </c>
      <c r="L2621">
        <v>4.8</v>
      </c>
      <c r="M2621">
        <v>10.69</v>
      </c>
      <c r="N2621">
        <v>50</v>
      </c>
      <c r="O2621">
        <v>10</v>
      </c>
      <c r="P2621">
        <v>48</v>
      </c>
    </row>
    <row r="2622" spans="1:16" x14ac:dyDescent="0.25">
      <c r="A2622">
        <v>22400783</v>
      </c>
      <c r="B2622">
        <v>2024</v>
      </c>
      <c r="C2622" t="s">
        <v>32</v>
      </c>
      <c r="D2622" t="s">
        <v>48</v>
      </c>
      <c r="E2622">
        <v>119</v>
      </c>
      <c r="F2622">
        <v>102</v>
      </c>
      <c r="G2622">
        <v>4</v>
      </c>
      <c r="H2622" s="1">
        <v>3.3680555555555556E-3</v>
      </c>
      <c r="I2622" t="s">
        <v>23</v>
      </c>
      <c r="J2622" s="2" t="str">
        <f>HYPERLINK("https://www.nba.com/stats/events?CFID=&amp;CFPARAMS=&amp;GameEventID=631&amp;GameID=0022400783&amp;Season=2024-25&amp;flag=1&amp;title=Leonard%20driving%20DUNK%20(23%20PTS)%20(I.%20Zubac%203%20AST)", "Driving DUNK (23 PTS) (I. Zubac 3 AST)")</f>
        <v>Driving DUNK (23 PTS) (I. Zubac 3 AST)</v>
      </c>
      <c r="K2622" s="2" t="str">
        <f>HYPERLINK("https://www.nba.com/game/...-vs-...-0022400783/play-by-play?watchFullGame=true", "LAC vs MEM - Q4 04:51.00")</f>
        <v>LAC vs MEM - Q4 04:51.00</v>
      </c>
      <c r="L2622">
        <v>5.59</v>
      </c>
      <c r="M2622">
        <v>88.57</v>
      </c>
      <c r="N2622">
        <v>52.02</v>
      </c>
      <c r="O2622">
        <v>10</v>
      </c>
      <c r="P2622">
        <v>55</v>
      </c>
    </row>
    <row r="2623" spans="1:16" x14ac:dyDescent="0.25">
      <c r="A2623">
        <v>42000175</v>
      </c>
      <c r="B2623" t="s">
        <v>83</v>
      </c>
      <c r="C2623" t="s">
        <v>32</v>
      </c>
      <c r="D2623" t="s">
        <v>19</v>
      </c>
      <c r="E2623">
        <v>72</v>
      </c>
      <c r="F2623">
        <v>67</v>
      </c>
      <c r="G2623">
        <v>3</v>
      </c>
      <c r="H2623" s="1">
        <v>3.5532407407407409E-3</v>
      </c>
      <c r="I2623" t="s">
        <v>23</v>
      </c>
      <c r="J2623" s="2" t="str">
        <f>HYPERLINK("https://www.nba.com/stats/events?CFID=&amp;CFPARAMS=&amp;GameEventID=425&amp;GameID=0042000175&amp;Season=2020-21&amp;flag=1&amp;title=Leonard%206'%20driving%20floating%20bank%20Jump%20Shot%20(15%20PTS)%20(R.%20Jackson%202%20AST)", "6' driving floating bank Jump Shot (15 PTS) (R. Jackson 2 AST)")</f>
        <v>6' driving floating bank Jump Shot (15 PTS) (R. Jackson 2 AST)</v>
      </c>
      <c r="K2623" s="2" t="str">
        <f>HYPERLINK("https://www.nba.com/game/...-vs-...-0042000175/play-by-play?watchFullGame=true", "LAC vs DAL - Q3 05:07.00")</f>
        <v>LAC vs DAL - Q3 05:07.00</v>
      </c>
      <c r="L2623">
        <v>6.08</v>
      </c>
      <c r="M2623">
        <v>10.99</v>
      </c>
      <c r="N2623">
        <v>56.69</v>
      </c>
      <c r="O2623">
        <v>10</v>
      </c>
      <c r="P2623">
        <v>56</v>
      </c>
    </row>
    <row r="2624" spans="1:16" x14ac:dyDescent="0.25">
      <c r="A2624">
        <v>21900068</v>
      </c>
      <c r="B2624">
        <v>2019</v>
      </c>
      <c r="C2624" t="s">
        <v>32</v>
      </c>
      <c r="D2624" t="s">
        <v>22</v>
      </c>
      <c r="E2624">
        <v>33</v>
      </c>
      <c r="F2624">
        <v>31</v>
      </c>
      <c r="G2624">
        <v>2</v>
      </c>
      <c r="H2624" s="1">
        <v>5.3009259259259259E-3</v>
      </c>
      <c r="I2624" t="s">
        <v>23</v>
      </c>
      <c r="J2624" s="2" t="str">
        <f>HYPERLINK("https://www.nba.com/stats/events?CFID=&amp;CFPARAMS=&amp;GameEventID=223&amp;GameID=0021900068&amp;Season=2019-20&amp;flag=1&amp;title=[LAC]%20Leonard%20jumpshot:%20Made%20(12%20PTS)", "[LAC] Leonard jumpshot: Made (12 PTS)")</f>
        <v>[LAC] Leonard jumpshot: Made (12 PTS)</v>
      </c>
      <c r="K2624" s="2" t="str">
        <f>HYPERLINK("https://www.nba.com/game/...-vs-...-0021900068/play-by-play?watchFullGame=true", "LAC vs SAS - Q2 07:38.00")</f>
        <v>LAC vs SAS - Q2 07:38.00</v>
      </c>
      <c r="L2624">
        <v>8.3800000000000008</v>
      </c>
      <c r="M2624">
        <v>13.85</v>
      </c>
      <c r="N2624">
        <v>47.97</v>
      </c>
      <c r="O2624">
        <v>10</v>
      </c>
      <c r="P2624">
        <v>78</v>
      </c>
    </row>
    <row r="2625" spans="1:16" x14ac:dyDescent="0.25">
      <c r="A2625">
        <v>41600154</v>
      </c>
      <c r="B2625" t="s">
        <v>30</v>
      </c>
      <c r="C2625" t="s">
        <v>32</v>
      </c>
      <c r="D2625" t="s">
        <v>33</v>
      </c>
      <c r="E2625">
        <v>100</v>
      </c>
      <c r="F2625">
        <v>102</v>
      </c>
      <c r="G2625">
        <v>5</v>
      </c>
      <c r="H2625" s="1">
        <v>1.4351851851851852E-3</v>
      </c>
      <c r="I2625" t="s">
        <v>18</v>
      </c>
      <c r="J2625" s="2" t="str">
        <f>HYPERLINK("https://www.nba.com/stats/events?CFID=&amp;CFPARAMS=&amp;GameEventID=548&amp;GameID=0041600154&amp;Season=2016-17&amp;flag=1&amp;title=Leonard%208'%20Fadeaway%20Jumper%20(37%20PTS)", "Leonard 8' Fadeaway Jumper (37 PTS)")</f>
        <v>Leonard 8' Fadeaway Jumper (37 PTS)</v>
      </c>
      <c r="K2625" s="2" t="str">
        <f>HYPERLINK("https://www.nba.com/game/...-vs-...-0041600154/play-by-play?watchFullGame=true", "SAS vs MEM - Q5 02:04.00")</f>
        <v>SAS vs MEM - Q5 02:04.00</v>
      </c>
      <c r="L2625">
        <v>8</v>
      </c>
      <c r="M2625">
        <v>10</v>
      </c>
      <c r="N2625">
        <v>80</v>
      </c>
      <c r="O2625">
        <v>10</v>
      </c>
      <c r="P2625">
        <v>80</v>
      </c>
    </row>
    <row r="2626" spans="1:16" x14ac:dyDescent="0.25">
      <c r="A2626">
        <v>41600155</v>
      </c>
      <c r="B2626" t="s">
        <v>30</v>
      </c>
      <c r="C2626" t="s">
        <v>32</v>
      </c>
      <c r="D2626" t="s">
        <v>29</v>
      </c>
      <c r="E2626">
        <v>55</v>
      </c>
      <c r="F2626">
        <v>47</v>
      </c>
      <c r="G2626">
        <v>2</v>
      </c>
      <c r="H2626" s="1">
        <v>3.8541666666666661E-4</v>
      </c>
      <c r="I2626" t="s">
        <v>18</v>
      </c>
      <c r="J2626" s="2" t="str">
        <f>HYPERLINK("https://www.nba.com/stats/events?CFID=&amp;CFPARAMS=&amp;GameEventID=222&amp;GameID=0041600155&amp;Season=2016-17&amp;flag=1&amp;title=Leonard%208'%20Pullup%20Jump%20Shot%20(12%20PTS)", "Leonard 8' Pullup Jump Shot (12 PTS)")</f>
        <v>Leonard 8' Pullup Jump Shot (12 PTS)</v>
      </c>
      <c r="K2626" s="2" t="str">
        <f>HYPERLINK("https://www.nba.com/game/...-vs-...-0041600155/play-by-play?watchFullGame=true", "SAS vs MEM - Q2 00:33.30")</f>
        <v>SAS vs MEM - Q2 00:33.30</v>
      </c>
      <c r="L2626">
        <v>8</v>
      </c>
      <c r="M2626">
        <v>10</v>
      </c>
      <c r="N2626">
        <v>82</v>
      </c>
      <c r="O2626">
        <v>10</v>
      </c>
      <c r="P2626">
        <v>82</v>
      </c>
    </row>
    <row r="2627" spans="1:16" x14ac:dyDescent="0.25">
      <c r="A2627">
        <v>22201004</v>
      </c>
      <c r="B2627">
        <v>2022</v>
      </c>
      <c r="C2627" t="s">
        <v>32</v>
      </c>
      <c r="D2627" t="s">
        <v>44</v>
      </c>
      <c r="E2627">
        <v>5</v>
      </c>
      <c r="F2627">
        <v>2</v>
      </c>
      <c r="G2627">
        <v>1</v>
      </c>
      <c r="H2627" s="1">
        <v>6.3888888888888893E-3</v>
      </c>
      <c r="I2627" t="s">
        <v>23</v>
      </c>
      <c r="J2627" s="2" t="str">
        <f>HYPERLINK("https://www.nba.com/stats/events?CFID=&amp;CFPARAMS=&amp;GameEventID=31&amp;GameID=0022201004&amp;Season=2022-23&amp;flag=1&amp;title=Leonard%208'%20driving%20Hook%20(2%20PTS)", "8' driving Hook (2 PTS)")</f>
        <v>8' driving Hook (2 PTS)</v>
      </c>
      <c r="K2627" s="2" t="str">
        <f>HYPERLINK("https://www.nba.com/game/...-vs-...-0022201004/play-by-play?watchFullGame=true", "LAC vs NYK - Q1 09:12.00")</f>
        <v>LAC vs NYK - Q1 09:12.00</v>
      </c>
      <c r="L2627">
        <v>8.35</v>
      </c>
      <c r="M2627">
        <v>85.59</v>
      </c>
      <c r="N2627">
        <v>51.96</v>
      </c>
      <c r="O2627">
        <v>10</v>
      </c>
      <c r="P2627">
        <v>83</v>
      </c>
    </row>
    <row r="2628" spans="1:16" x14ac:dyDescent="0.25">
      <c r="A2628">
        <v>22400751</v>
      </c>
      <c r="B2628">
        <v>2024</v>
      </c>
      <c r="C2628" t="s">
        <v>32</v>
      </c>
      <c r="D2628" t="s">
        <v>44</v>
      </c>
      <c r="E2628">
        <v>73</v>
      </c>
      <c r="F2628">
        <v>73</v>
      </c>
      <c r="G2628">
        <v>3</v>
      </c>
      <c r="H2628" s="1">
        <v>4.0046296296296297E-3</v>
      </c>
      <c r="I2628" t="s">
        <v>23</v>
      </c>
      <c r="J2628" s="2" t="str">
        <f>HYPERLINK("https://www.nba.com/stats/events?CFID=&amp;CFPARAMS=&amp;GameEventID=417&amp;GameID=0022400751&amp;Season=2024-25&amp;flag=1&amp;title=Leonard%209'%20driving%20Hook%20(8%20PTS)", "9' driving Hook (8 PTS)")</f>
        <v>9' driving Hook (8 PTS)</v>
      </c>
      <c r="K2628" s="2" t="str">
        <f>HYPERLINK("https://www.nba.com/game/...-vs-...-0022400751/play-by-play?watchFullGame=true", "LAC vs UTA - Q3 05:46.00")</f>
        <v>LAC vs UTA - Q3 05:46.00</v>
      </c>
      <c r="L2628">
        <v>9.17</v>
      </c>
      <c r="M2628">
        <v>84.71</v>
      </c>
      <c r="N2628">
        <v>51.96</v>
      </c>
      <c r="O2628">
        <v>10</v>
      </c>
      <c r="P2628">
        <v>91</v>
      </c>
    </row>
    <row r="2629" spans="1:16" x14ac:dyDescent="0.25">
      <c r="A2629">
        <v>22400889</v>
      </c>
      <c r="B2629">
        <v>2024</v>
      </c>
      <c r="C2629" t="s">
        <v>32</v>
      </c>
      <c r="D2629" t="s">
        <v>19</v>
      </c>
      <c r="E2629">
        <v>7</v>
      </c>
      <c r="F2629">
        <v>13</v>
      </c>
      <c r="G2629">
        <v>1</v>
      </c>
      <c r="H2629" s="1">
        <v>4.5949074074074078E-3</v>
      </c>
      <c r="I2629" t="s">
        <v>23</v>
      </c>
      <c r="J2629" s="2" t="str">
        <f>HYPERLINK("https://www.nba.com/stats/events?CFID=&amp;CFPARAMS=&amp;GameEventID=61&amp;GameID=0022400889&amp;Season=2024-25&amp;flag=1&amp;title=Leonard%2011'%20pullup%20Jump%20Shot%20(2%20PTS)", "11' pullup Jump Shot (2 PTS)")</f>
        <v>11' pullup Jump Shot (2 PTS)</v>
      </c>
      <c r="K2629" s="2" t="str">
        <f>HYPERLINK("https://www.nba.com/game/...-vs-...-0022400889/play-by-play?watchFullGame=true", "LAC vs PHX - Q1 06:37.00")</f>
        <v>LAC vs PHX - Q1 06:37.00</v>
      </c>
      <c r="L2629">
        <v>11.23</v>
      </c>
      <c r="M2629">
        <v>82.52</v>
      </c>
      <c r="N2629">
        <v>52.06</v>
      </c>
      <c r="O2629">
        <v>10</v>
      </c>
      <c r="P2629">
        <v>112</v>
      </c>
    </row>
    <row r="2630" spans="1:16" x14ac:dyDescent="0.25">
      <c r="A2630">
        <v>21600801</v>
      </c>
      <c r="B2630">
        <v>2016</v>
      </c>
      <c r="C2630" t="s">
        <v>32</v>
      </c>
      <c r="D2630" t="s">
        <v>24</v>
      </c>
      <c r="E2630">
        <v>45</v>
      </c>
      <c r="F2630">
        <v>66</v>
      </c>
      <c r="G2630">
        <v>3</v>
      </c>
      <c r="H2630" s="1">
        <v>6.5393518518518517E-3</v>
      </c>
      <c r="I2630" t="s">
        <v>18</v>
      </c>
      <c r="J2630" s="2" t="str">
        <f>HYPERLINK("https://www.nba.com/stats/events?CFID=&amp;CFPARAMS=&amp;GameEventID=240&amp;GameID=0021600801&amp;Season=2016-17&amp;flag=1&amp;title=Leonard%2012'%20Turnaround%20Jump%20Shot%20(19%20PTS)%20(Parker%208%20AST)", "Leonard 12' Turnaround Jump Shot (19 PTS) (Parker 8 AST)")</f>
        <v>Leonard 12' Turnaround Jump Shot (19 PTS) (Parker 8 AST)</v>
      </c>
      <c r="K2630" s="2" t="str">
        <f>HYPERLINK("https://www.nba.com/game/...-vs-...-0021600801/play-by-play?watchFullGame=true", "SAS vs DET - Q3 09:25.00")</f>
        <v>SAS vs DET - Q3 09:25.00</v>
      </c>
      <c r="L2630">
        <v>12</v>
      </c>
      <c r="M2630">
        <v>10</v>
      </c>
      <c r="N2630">
        <v>115</v>
      </c>
      <c r="O2630">
        <v>10</v>
      </c>
      <c r="P2630">
        <v>115</v>
      </c>
    </row>
    <row r="2631" spans="1:16" x14ac:dyDescent="0.25">
      <c r="A2631">
        <v>22400874</v>
      </c>
      <c r="B2631">
        <v>2024</v>
      </c>
      <c r="C2631" t="s">
        <v>32</v>
      </c>
      <c r="D2631" t="s">
        <v>19</v>
      </c>
      <c r="E2631">
        <v>99</v>
      </c>
      <c r="F2631">
        <v>90</v>
      </c>
      <c r="G2631">
        <v>4</v>
      </c>
      <c r="H2631" s="1">
        <v>4.1666666666666666E-3</v>
      </c>
      <c r="I2631" t="s">
        <v>23</v>
      </c>
      <c r="J2631" s="2" t="str">
        <f>HYPERLINK("https://www.nba.com/stats/events?CFID=&amp;CFPARAMS=&amp;GameEventID=544&amp;GameID=0022400874&amp;Season=2024-25&amp;flag=1&amp;title=Leonard%2011'%20turnaround%20fadeaway%20Jump%20Shot%20(30%20PTS)%20(Dunn%203%20AST)", "11' turnaround fadeaway Jump Shot (30 PTS) (K. Dunn 3 AST)")</f>
        <v>11' turnaround fadeaway Jump Shot (30 PTS) (K. Dunn 3 AST)</v>
      </c>
      <c r="K2631" s="2" t="str">
        <f>HYPERLINK("https://www.nba.com/game/...-vs-...-0022400874/play-by-play?watchFullGame=true", "LAC vs LAL - Q4 06:00.00")</f>
        <v>LAC vs LAL - Q4 06:00.00</v>
      </c>
      <c r="L2631">
        <v>11.51</v>
      </c>
      <c r="M2631">
        <v>17.79</v>
      </c>
      <c r="N2631">
        <v>48.04</v>
      </c>
      <c r="O2631">
        <v>10</v>
      </c>
      <c r="P2631">
        <v>115</v>
      </c>
    </row>
    <row r="2632" spans="1:16" x14ac:dyDescent="0.25">
      <c r="A2632">
        <v>41300222</v>
      </c>
      <c r="B2632" t="s">
        <v>26</v>
      </c>
      <c r="C2632" t="s">
        <v>32</v>
      </c>
      <c r="D2632" t="s">
        <v>29</v>
      </c>
      <c r="E2632">
        <v>38</v>
      </c>
      <c r="F2632">
        <v>30</v>
      </c>
      <c r="G2632">
        <v>2</v>
      </c>
      <c r="H2632" s="1">
        <v>7.2106481481481483E-3</v>
      </c>
      <c r="I2632" t="s">
        <v>18</v>
      </c>
      <c r="J2632" s="2" t="str">
        <f>HYPERLINK("https://www.nba.com/stats/events?CFID=&amp;CFPARAMS=&amp;GameEventID=137&amp;GameID=0041300222&amp;Season=2013-14&amp;flag=1&amp;title=Leonard%2016'%20Pullup%20Jump%20Shot%20(14%20PTS)", "Leonard 16' Pullup Jump Shot (14 PTS)")</f>
        <v>Leonard 16' Pullup Jump Shot (14 PTS)</v>
      </c>
      <c r="K2632" s="2" t="str">
        <f>HYPERLINK("https://www.nba.com/game/...-vs-...-0041300222/play-by-play?watchFullGame=true", "SAS vs POR - Q2 10:23.00")</f>
        <v>SAS vs POR - Q2 10:23.00</v>
      </c>
      <c r="L2632">
        <v>16</v>
      </c>
      <c r="M2632">
        <v>10</v>
      </c>
      <c r="N2632">
        <v>157</v>
      </c>
      <c r="O2632">
        <v>10</v>
      </c>
      <c r="P2632">
        <v>157</v>
      </c>
    </row>
    <row r="2633" spans="1:16" x14ac:dyDescent="0.25">
      <c r="A2633">
        <v>21500909</v>
      </c>
      <c r="B2633">
        <v>2015</v>
      </c>
      <c r="C2633" t="s">
        <v>16</v>
      </c>
      <c r="D2633" t="s">
        <v>29</v>
      </c>
      <c r="E2633">
        <v>86</v>
      </c>
      <c r="F2633">
        <v>94</v>
      </c>
      <c r="G2633">
        <v>4</v>
      </c>
      <c r="H2633" s="1">
        <v>4.0856481481481478E-4</v>
      </c>
      <c r="I2633" t="s">
        <v>18</v>
      </c>
      <c r="J2633" s="2" t="str">
        <f>HYPERLINK("https://www.nba.com/stats/events?CFID=&amp;CFPARAMS=&amp;GameEventID=461&amp;GameID=0021500909&amp;Season=2015-16&amp;flag=1&amp;title=Leonard%2025'%203PT%20Pullup%20Jump%20Shot%20(30%20PTS)", "Leonard 25' 3PT Pullup Jump Shot (30 PTS)")</f>
        <v>Leonard 25' 3PT Pullup Jump Shot (30 PTS)</v>
      </c>
      <c r="K2633" s="2" t="str">
        <f>HYPERLINK("https://www.nba.com/game/...-vs-...-0021500909/play-by-play?watchFullGame=true", "SAS vs NOP - Q4 00:35.30")</f>
        <v>SAS vs NOP - Q4 00:35.30</v>
      </c>
      <c r="L2633">
        <v>25</v>
      </c>
      <c r="M2633">
        <v>10</v>
      </c>
      <c r="N2633">
        <v>247</v>
      </c>
      <c r="O2633">
        <v>10</v>
      </c>
      <c r="P2633">
        <v>247</v>
      </c>
    </row>
    <row r="2634" spans="1:16" x14ac:dyDescent="0.25">
      <c r="A2634">
        <v>22000520</v>
      </c>
      <c r="B2634">
        <v>2020</v>
      </c>
      <c r="C2634" t="s">
        <v>16</v>
      </c>
      <c r="D2634" t="s">
        <v>19</v>
      </c>
      <c r="E2634">
        <v>7</v>
      </c>
      <c r="F2634">
        <v>9</v>
      </c>
      <c r="G2634">
        <v>1</v>
      </c>
      <c r="H2634" s="1">
        <v>5.4976851851851853E-3</v>
      </c>
      <c r="I2634" t="s">
        <v>23</v>
      </c>
      <c r="J2634" s="2" t="str">
        <f>HYPERLINK("https://www.nba.com/stats/events?CFID=&amp;CFPARAMS=&amp;GameEventID=40&amp;GameID=0022000520&amp;Season=2020-21&amp;flag=1&amp;title=Leonard%2025'%203PT%20pullup%20(3%20PTS)", "25' 3PT pullup (3 PTS)")</f>
        <v>25' 3PT pullup (3 PTS)</v>
      </c>
      <c r="K2634" s="2" t="str">
        <f>HYPERLINK("https://www.nba.com/game/...-vs-...-0022000520/play-by-play?watchFullGame=true", "LAC vs MIL - Q1 07:55.00")</f>
        <v>LAC vs MIL - Q1 07:55.00</v>
      </c>
      <c r="L2634">
        <v>25.7</v>
      </c>
      <c r="M2634">
        <v>67.099999999999994</v>
      </c>
      <c r="N2634">
        <v>52.03</v>
      </c>
      <c r="O2634">
        <v>10</v>
      </c>
      <c r="P2634">
        <v>257</v>
      </c>
    </row>
    <row r="2635" spans="1:16" x14ac:dyDescent="0.25">
      <c r="A2635">
        <v>22301225</v>
      </c>
      <c r="B2635">
        <v>2023</v>
      </c>
      <c r="C2635" t="s">
        <v>16</v>
      </c>
      <c r="D2635" t="s">
        <v>19</v>
      </c>
      <c r="E2635">
        <v>2</v>
      </c>
      <c r="F2635">
        <v>5</v>
      </c>
      <c r="G2635">
        <v>1</v>
      </c>
      <c r="H2635" s="1">
        <v>7.3726851851851852E-3</v>
      </c>
      <c r="I2635" t="s">
        <v>23</v>
      </c>
      <c r="J2635" s="2" t="str">
        <f>HYPERLINK("https://www.nba.com/stats/events?CFID=&amp;CFPARAMS=&amp;GameEventID=15&amp;GameID=0022301225&amp;Season=2023-24&amp;flag=1&amp;title=Leonard%2025'%203PT%20%20(3%20PTS)%20(I.%20Zubac%201%20AST)", "25' 3PT  (3 PTS) (I. Zubac 1 AST)")</f>
        <v>25' 3PT  (3 PTS) (I. Zubac 1 AST)</v>
      </c>
      <c r="K2635" s="2" t="str">
        <f>HYPERLINK("https://www.nba.com/game/...-vs-...-0022301225/play-by-play?watchFullGame=true", "LAC vs UTA - Q1 10:37.00")</f>
        <v>LAC vs UTA - Q1 10:37.00</v>
      </c>
      <c r="L2635">
        <v>25.7</v>
      </c>
      <c r="M2635">
        <v>67.099999999999994</v>
      </c>
      <c r="N2635">
        <v>51.96</v>
      </c>
      <c r="O2635">
        <v>10</v>
      </c>
      <c r="P2635">
        <v>257</v>
      </c>
    </row>
    <row r="2636" spans="1:16" x14ac:dyDescent="0.25">
      <c r="A2636">
        <v>21500103</v>
      </c>
      <c r="B2636">
        <v>2015</v>
      </c>
      <c r="C2636" t="s">
        <v>16</v>
      </c>
      <c r="D2636" t="s">
        <v>19</v>
      </c>
      <c r="E2636">
        <v>18</v>
      </c>
      <c r="F2636">
        <v>21</v>
      </c>
      <c r="G2636">
        <v>1</v>
      </c>
      <c r="H2636" s="1">
        <v>2.3032407407407407E-3</v>
      </c>
      <c r="I2636" t="s">
        <v>18</v>
      </c>
      <c r="J2636" s="2" t="str">
        <f>HYPERLINK("https://www.nba.com/stats/events?CFID=&amp;CFPARAMS=&amp;GameEventID=82&amp;GameID=0021500103&amp;Season=2015-16&amp;flag=1&amp;title=Leonard%2026'%203PT%20Jump%20Shot%20(8%20PTS)%20(Mills%201%20AST)", "Leonard 26' 3PT Jump Shot (8 PTS) (Mills 1 AST)")</f>
        <v>Leonard 26' 3PT Jump Shot (8 PTS) (Mills 1 AST)</v>
      </c>
      <c r="K2636" s="2" t="str">
        <f>HYPERLINK("https://www.nba.com/game/...-vs-...-0021500103/play-by-play?watchFullGame=true", "SAS vs SAC - Q1 03:19.00")</f>
        <v>SAS vs SAC - Q1 03:19.00</v>
      </c>
      <c r="L2636">
        <v>26</v>
      </c>
      <c r="M2636">
        <v>10</v>
      </c>
      <c r="N2636">
        <v>257</v>
      </c>
      <c r="O2636">
        <v>10</v>
      </c>
      <c r="P2636">
        <v>257</v>
      </c>
    </row>
    <row r="2637" spans="1:16" x14ac:dyDescent="0.25">
      <c r="A2637">
        <v>21601161</v>
      </c>
      <c r="B2637">
        <v>2016</v>
      </c>
      <c r="C2637" t="s">
        <v>16</v>
      </c>
      <c r="D2637" t="s">
        <v>19</v>
      </c>
      <c r="E2637">
        <v>12</v>
      </c>
      <c r="F2637">
        <v>4</v>
      </c>
      <c r="G2637">
        <v>1</v>
      </c>
      <c r="H2637" s="1">
        <v>5.347222222222222E-3</v>
      </c>
      <c r="I2637" t="s">
        <v>18</v>
      </c>
      <c r="J2637" s="2" t="str">
        <f>HYPERLINK("https://www.nba.com/stats/events?CFID=&amp;CFPARAMS=&amp;GameEventID=34&amp;GameID=0021601161&amp;Season=2016-17&amp;flag=1&amp;title=Leonard%2026'%203PT%20Jump%20Shot%20(3%20PTS)%20(Simmons%201%20AST)", "Leonard 26' 3PT Jump Shot (3 PTS) (Simmons 1 AST)")</f>
        <v>Leonard 26' 3PT Jump Shot (3 PTS) (Simmons 1 AST)</v>
      </c>
      <c r="K2637" s="2" t="str">
        <f>HYPERLINK("https://www.nba.com/game/...-vs-...-0021601161/play-by-play?watchFullGame=true", "SAS vs MEM - Q1 07:42.00")</f>
        <v>SAS vs MEM - Q1 07:42.00</v>
      </c>
      <c r="L2637">
        <v>26</v>
      </c>
      <c r="M2637">
        <v>10</v>
      </c>
      <c r="N2637">
        <v>262</v>
      </c>
      <c r="O2637">
        <v>10</v>
      </c>
      <c r="P2637">
        <v>262</v>
      </c>
    </row>
    <row r="2638" spans="1:16" x14ac:dyDescent="0.25">
      <c r="A2638">
        <v>41800217</v>
      </c>
      <c r="B2638" t="s">
        <v>20</v>
      </c>
      <c r="C2638" t="s">
        <v>16</v>
      </c>
      <c r="D2638" t="s">
        <v>19</v>
      </c>
      <c r="E2638">
        <v>80</v>
      </c>
      <c r="F2638">
        <v>78</v>
      </c>
      <c r="G2638">
        <v>4</v>
      </c>
      <c r="H2638" s="1">
        <v>4.2939814814814811E-3</v>
      </c>
      <c r="I2638" t="s">
        <v>21</v>
      </c>
      <c r="J2638" s="2" t="str">
        <f>HYPERLINK("https://www.nba.com/stats/events?CFID=&amp;CFPARAMS=&amp;GameEventID=526&amp;GameID=0041800217&amp;Season=2018-19&amp;flag=1&amp;title=Leonard%2027'%203PT%20Jump%20Shot%20(31%20PTS)%20(Siakam%202%20AST)", "Leonard 27' 3PT Jump Shot (31 PTS) (Siakam 2 AST)")</f>
        <v>Leonard 27' 3PT Jump Shot (31 PTS) (Siakam 2 AST)</v>
      </c>
      <c r="K2638" s="2" t="str">
        <f>HYPERLINK("https://www.nba.com/game/...-vs-...-0041800217/play-by-play?watchFullGame=true", "TOR vs PHI - Q4 06:11.00")</f>
        <v>TOR vs PHI - Q4 06:11.00</v>
      </c>
      <c r="L2638">
        <v>27</v>
      </c>
      <c r="M2638">
        <v>10</v>
      </c>
      <c r="N2638">
        <v>269</v>
      </c>
      <c r="O2638">
        <v>10</v>
      </c>
      <c r="P2638">
        <v>269</v>
      </c>
    </row>
    <row r="2639" spans="1:16" x14ac:dyDescent="0.25">
      <c r="A2639">
        <v>22201162</v>
      </c>
      <c r="B2639">
        <v>2022</v>
      </c>
      <c r="C2639" t="s">
        <v>32</v>
      </c>
      <c r="D2639" t="s">
        <v>47</v>
      </c>
      <c r="E2639">
        <v>121</v>
      </c>
      <c r="F2639">
        <v>114</v>
      </c>
      <c r="G2639">
        <v>4</v>
      </c>
      <c r="H2639" s="1">
        <v>9.0277777777777774E-5</v>
      </c>
      <c r="I2639" t="s">
        <v>23</v>
      </c>
      <c r="J2639" s="2" t="str">
        <f>HYPERLINK("https://www.nba.com/stats/events?CFID=&amp;CFPARAMS=&amp;GameEventID=635&amp;GameID=0022201162&amp;Season=2022-23&amp;flag=1&amp;title=Leonard%20cutting%20Layup%20(40%20PTS)%20(R.%20Westbrook%209%20AST)", "Cutting Layup (40 PTS) (R. Westbrook 9 AST)")</f>
        <v>Cutting Layup (40 PTS) (R. Westbrook 9 AST)</v>
      </c>
      <c r="K2639" s="2" t="str">
        <f>HYPERLINK("https://www.nba.com/game/...-vs-...-0022201162/play-by-play?watchFullGame=true", "LAC vs NOP - Q4 00:07.80")</f>
        <v>LAC vs NOP - Q4 00:07.80</v>
      </c>
      <c r="L2639">
        <v>1.1100000000000001</v>
      </c>
      <c r="M2639">
        <v>5.73</v>
      </c>
      <c r="N2639">
        <v>47.79</v>
      </c>
      <c r="O2639">
        <v>11</v>
      </c>
      <c r="P2639">
        <v>1</v>
      </c>
    </row>
    <row r="2640" spans="1:16" x14ac:dyDescent="0.25">
      <c r="A2640">
        <v>22000251</v>
      </c>
      <c r="B2640">
        <v>2020</v>
      </c>
      <c r="C2640" t="s">
        <v>32</v>
      </c>
      <c r="D2640" t="s">
        <v>47</v>
      </c>
      <c r="E2640">
        <v>34</v>
      </c>
      <c r="F2640">
        <v>19</v>
      </c>
      <c r="G2640">
        <v>1</v>
      </c>
      <c r="H2640" s="1">
        <v>3.4374999999999998E-4</v>
      </c>
      <c r="I2640" t="s">
        <v>23</v>
      </c>
      <c r="J2640" s="2" t="str">
        <f>HYPERLINK("https://www.nba.com/stats/events?CFID=&amp;CFPARAMS=&amp;GameEventID=150&amp;GameID=0022000251&amp;Season=2020-21&amp;flag=1&amp;title=Leonard%20driving%20Layup%20(12%20PTS)", "Driving Layup (12 PTS)")</f>
        <v>Driving Layup (12 PTS)</v>
      </c>
      <c r="K2640" s="2" t="str">
        <f>HYPERLINK("https://www.nba.com/game/...-vs-...-0022000251/play-by-play?watchFullGame=true", "LAC vs OKC - Q1 00:29.70")</f>
        <v>LAC vs OKC - Q1 00:29.70</v>
      </c>
      <c r="L2640">
        <v>1.24</v>
      </c>
      <c r="M2640">
        <v>93.91</v>
      </c>
      <c r="N2640">
        <v>52.27</v>
      </c>
      <c r="O2640">
        <v>11</v>
      </c>
      <c r="P2640">
        <v>5</v>
      </c>
    </row>
    <row r="2641" spans="1:16" x14ac:dyDescent="0.25">
      <c r="A2641">
        <v>22200735</v>
      </c>
      <c r="B2641">
        <v>2022</v>
      </c>
      <c r="C2641" t="s">
        <v>32</v>
      </c>
      <c r="D2641" t="s">
        <v>47</v>
      </c>
      <c r="E2641">
        <v>35</v>
      </c>
      <c r="F2641">
        <v>23</v>
      </c>
      <c r="G2641">
        <v>1</v>
      </c>
      <c r="H2641" s="1">
        <v>5.8912037037037038E-4</v>
      </c>
      <c r="I2641" t="s">
        <v>23</v>
      </c>
      <c r="J2641" s="2" t="str">
        <f>HYPERLINK("https://www.nba.com/stats/events?CFID=&amp;CFPARAMS=&amp;GameEventID=140&amp;GameID=0022200735&amp;Season=2022-23&amp;flag=1&amp;title=Leonard%20driving%20Layup%20(8%20PTS)", "Driving Layup (8 PTS)")</f>
        <v>Driving Layup (8 PTS)</v>
      </c>
      <c r="K2641" s="2" t="str">
        <f>HYPERLINK("https://www.nba.com/game/...-vs-...-0022200735/play-by-play?watchFullGame=true", "LAC vs SAS - Q1 00:50.90")</f>
        <v>LAC vs SAS - Q1 00:50.90</v>
      </c>
      <c r="L2641">
        <v>1.27</v>
      </c>
      <c r="M2641">
        <v>93.74</v>
      </c>
      <c r="N2641">
        <v>52.21</v>
      </c>
      <c r="O2641">
        <v>11</v>
      </c>
      <c r="P2641">
        <v>6</v>
      </c>
    </row>
    <row r="2642" spans="1:16" x14ac:dyDescent="0.25">
      <c r="A2642">
        <v>22200766</v>
      </c>
      <c r="B2642">
        <v>2022</v>
      </c>
      <c r="C2642" t="s">
        <v>32</v>
      </c>
      <c r="D2642" t="s">
        <v>47</v>
      </c>
      <c r="E2642">
        <v>66</v>
      </c>
      <c r="F2642">
        <v>67</v>
      </c>
      <c r="G2642">
        <v>3</v>
      </c>
      <c r="H2642" s="1">
        <v>4.4907407407407405E-3</v>
      </c>
      <c r="I2642" t="s">
        <v>23</v>
      </c>
      <c r="J2642" s="2" t="str">
        <f>HYPERLINK("https://www.nba.com/stats/events?CFID=&amp;CFPARAMS=&amp;GameEventID=382&amp;GameID=0022200766&amp;Season=2022-23&amp;flag=1&amp;title=Leonard%20running%20Layup%20(15%20PTS)%20(P.%20George%206%20AST)", "Running Layup (15 PTS) (P. George 6 AST)")</f>
        <v>Running Layup (15 PTS) (P. George 6 AST)</v>
      </c>
      <c r="K2642" s="2" t="str">
        <f>HYPERLINK("https://www.nba.com/game/...-vs-...-0022200766/play-by-play?watchFullGame=true", "LAC vs CHI - Q3 06:28.00")</f>
        <v>LAC vs CHI - Q3 06:28.00</v>
      </c>
      <c r="L2642">
        <v>1.25</v>
      </c>
      <c r="M2642">
        <v>93.77</v>
      </c>
      <c r="N2642">
        <v>52.21</v>
      </c>
      <c r="O2642">
        <v>11</v>
      </c>
      <c r="P2642">
        <v>6</v>
      </c>
    </row>
    <row r="2643" spans="1:16" x14ac:dyDescent="0.25">
      <c r="A2643">
        <v>22000675</v>
      </c>
      <c r="B2643">
        <v>2020</v>
      </c>
      <c r="C2643" t="s">
        <v>32</v>
      </c>
      <c r="D2643" t="s">
        <v>48</v>
      </c>
      <c r="E2643">
        <v>21</v>
      </c>
      <c r="F2643">
        <v>38</v>
      </c>
      <c r="G2643">
        <v>1</v>
      </c>
      <c r="H2643" s="1">
        <v>1.3657407407407407E-3</v>
      </c>
      <c r="I2643" t="s">
        <v>23</v>
      </c>
      <c r="J2643" s="2" t="str">
        <f>HYPERLINK("https://www.nba.com/stats/events?CFID=&amp;CFPARAMS=&amp;GameEventID=122&amp;GameID=0022000675&amp;Season=2020-21&amp;flag=1&amp;title=Leonard%20driving%20DUNK%20(12%20PTS)", "Driving DUNK (12 PTS)")</f>
        <v>Driving DUNK (12 PTS)</v>
      </c>
      <c r="K2643" s="2" t="str">
        <f>HYPERLINK("https://www.nba.com/game/...-vs-...-0022000675/play-by-play?watchFullGame=true", "LAC vs SAS - Q1 01:58.00")</f>
        <v>LAC vs SAS - Q1 01:58.00</v>
      </c>
      <c r="L2643">
        <v>1.24</v>
      </c>
      <c r="M2643">
        <v>6.26</v>
      </c>
      <c r="N2643">
        <v>47.86</v>
      </c>
      <c r="O2643">
        <v>11</v>
      </c>
      <c r="P2643">
        <v>6</v>
      </c>
    </row>
    <row r="2644" spans="1:16" x14ac:dyDescent="0.25">
      <c r="A2644">
        <v>22000061</v>
      </c>
      <c r="B2644">
        <v>2020</v>
      </c>
      <c r="C2644" t="s">
        <v>32</v>
      </c>
      <c r="D2644" t="s">
        <v>47</v>
      </c>
      <c r="E2644">
        <v>15</v>
      </c>
      <c r="F2644">
        <v>11</v>
      </c>
      <c r="G2644">
        <v>1</v>
      </c>
      <c r="H2644" s="1">
        <v>4.5833333333333334E-3</v>
      </c>
      <c r="I2644" t="s">
        <v>23</v>
      </c>
      <c r="J2644" s="2" t="str">
        <f>HYPERLINK("https://www.nba.com/stats/events?CFID=&amp;CFPARAMS=&amp;GameEventID=57&amp;GameID=0022000061&amp;Season=2020-21&amp;flag=1&amp;title=Leonard%20driving%20Layup%20(2%20PTS)", "Driving Layup (2 PTS)")</f>
        <v>Driving Layup (2 PTS)</v>
      </c>
      <c r="K2644" s="2" t="str">
        <f>HYPERLINK("https://www.nba.com/game/...-vs-...-0022000061/play-by-play?watchFullGame=true", "LAC vs POR - Q1 06:36.00")</f>
        <v>LAC vs POR - Q1 06:36.00</v>
      </c>
      <c r="L2644">
        <v>1.46</v>
      </c>
      <c r="M2644">
        <v>6.65</v>
      </c>
      <c r="N2644">
        <v>47.86</v>
      </c>
      <c r="O2644">
        <v>11</v>
      </c>
      <c r="P2644">
        <v>10</v>
      </c>
    </row>
    <row r="2645" spans="1:16" x14ac:dyDescent="0.25">
      <c r="A2645">
        <v>22400679</v>
      </c>
      <c r="B2645">
        <v>2024</v>
      </c>
      <c r="C2645" t="s">
        <v>32</v>
      </c>
      <c r="D2645" t="s">
        <v>48</v>
      </c>
      <c r="E2645">
        <v>56</v>
      </c>
      <c r="F2645">
        <v>66</v>
      </c>
      <c r="G2645">
        <v>3</v>
      </c>
      <c r="H2645" s="1">
        <v>6.2268518518518515E-3</v>
      </c>
      <c r="I2645" t="s">
        <v>23</v>
      </c>
      <c r="J2645" s="2" t="str">
        <f>HYPERLINK("https://www.nba.com/stats/events?CFID=&amp;CFPARAMS=&amp;GameEventID=348&amp;GameID=0022400679&amp;Season=2024-25&amp;flag=1&amp;title=Leonard%20running%20alley-oop%20DUNK%20(13%20PTS)%20(N.%20Powell%203%20AST)", "Running alley-oop DUNK (13 PTS) (N. Powell 3 AST)")</f>
        <v>Running alley-oop DUNK (13 PTS) (N. Powell 3 AST)</v>
      </c>
      <c r="K2645" s="2" t="str">
        <f>HYPERLINK("https://www.nba.com/game/...-vs-...-0022400679/play-by-play?watchFullGame=true", "LAC vs CHA - Q3 08:58.00")</f>
        <v>LAC vs CHA - Q3 08:58.00</v>
      </c>
      <c r="L2645">
        <v>1.58</v>
      </c>
      <c r="M2645">
        <v>6.78</v>
      </c>
      <c r="N2645">
        <v>47.79</v>
      </c>
      <c r="O2645">
        <v>11</v>
      </c>
      <c r="P2645">
        <v>11</v>
      </c>
    </row>
    <row r="2646" spans="1:16" x14ac:dyDescent="0.25">
      <c r="A2646">
        <v>41800216</v>
      </c>
      <c r="B2646" t="s">
        <v>20</v>
      </c>
      <c r="C2646" t="s">
        <v>32</v>
      </c>
      <c r="D2646" t="s">
        <v>56</v>
      </c>
      <c r="E2646">
        <v>42</v>
      </c>
      <c r="F2646">
        <v>31</v>
      </c>
      <c r="G2646">
        <v>2</v>
      </c>
      <c r="H2646" s="1">
        <v>4.8148148148148152E-3</v>
      </c>
      <c r="I2646" t="s">
        <v>21</v>
      </c>
      <c r="J2646" s="2" t="str">
        <f>HYPERLINK("https://www.nba.com/stats/events?CFID=&amp;CFPARAMS=&amp;GameEventID=224&amp;GameID=0041800216&amp;Season=2018-19&amp;flag=1&amp;title=Leonard%202'%20Running%20Layup%20(12%20PTS)%20(Green%201%20AST)", "Leonard 2' Running Layup (12 PTS) (Green 1 AST)")</f>
        <v>Leonard 2' Running Layup (12 PTS) (Green 1 AST)</v>
      </c>
      <c r="K2646" s="2" t="str">
        <f>HYPERLINK("https://www.nba.com/game/...-vs-...-0041800216/play-by-play?watchFullGame=true", "TOR vs PHI - Q2 06:56.00")</f>
        <v>TOR vs PHI - Q2 06:56.00</v>
      </c>
      <c r="L2646">
        <v>2</v>
      </c>
      <c r="M2646">
        <v>11</v>
      </c>
      <c r="N2646">
        <v>11</v>
      </c>
      <c r="O2646">
        <v>11</v>
      </c>
      <c r="P2646">
        <v>11</v>
      </c>
    </row>
    <row r="2647" spans="1:16" x14ac:dyDescent="0.25">
      <c r="A2647">
        <v>21900276</v>
      </c>
      <c r="B2647">
        <v>2019</v>
      </c>
      <c r="C2647" t="s">
        <v>32</v>
      </c>
      <c r="D2647" t="s">
        <v>65</v>
      </c>
      <c r="E2647">
        <v>7</v>
      </c>
      <c r="F2647">
        <v>13</v>
      </c>
      <c r="G2647">
        <v>1</v>
      </c>
      <c r="H2647" s="1">
        <v>4.4560185185185189E-3</v>
      </c>
      <c r="I2647" t="s">
        <v>23</v>
      </c>
      <c r="J2647" s="2" t="str">
        <f>HYPERLINK("https://www.nba.com/stats/events?CFID=&amp;CFPARAMS=&amp;GameEventID=61&amp;GameID=0021900276&amp;Season=2019-20&amp;flag=1&amp;title=Leonard%20dunk%20(2%20PTS)", "Dunk (2 PTS)")</f>
        <v>Dunk (2 PTS)</v>
      </c>
      <c r="K2647" s="2" t="str">
        <f>HYPERLINK("https://www.nba.com/game/...-vs-...-0021900276/play-by-play?watchFullGame=true", "LAC vs SAS - Q1 06:25.00")</f>
        <v>LAC vs SAS - Q1 06:25.00</v>
      </c>
      <c r="L2647">
        <v>1.99</v>
      </c>
      <c r="M2647">
        <v>6.78</v>
      </c>
      <c r="N2647">
        <v>47.86</v>
      </c>
      <c r="O2647">
        <v>11</v>
      </c>
      <c r="P2647">
        <v>11</v>
      </c>
    </row>
    <row r="2648" spans="1:16" x14ac:dyDescent="0.25">
      <c r="A2648">
        <v>22000061</v>
      </c>
      <c r="B2648">
        <v>2020</v>
      </c>
      <c r="C2648" t="s">
        <v>32</v>
      </c>
      <c r="D2648" t="s">
        <v>47</v>
      </c>
      <c r="E2648">
        <v>100</v>
      </c>
      <c r="F2648">
        <v>76</v>
      </c>
      <c r="G2648">
        <v>3</v>
      </c>
      <c r="H2648" s="1">
        <v>1.9444444444444444E-3</v>
      </c>
      <c r="I2648" t="s">
        <v>23</v>
      </c>
      <c r="J2648" s="2" t="str">
        <f>HYPERLINK("https://www.nba.com/stats/events?CFID=&amp;CFPARAMS=&amp;GameEventID=421&amp;GameID=0022000061&amp;Season=2020-21&amp;flag=1&amp;title=Leonard%20driving%20finger%20roll%20Layup%20(24%20PTS)%20(N.%20Batum%203%20AST)", "Driving finger roll Layup (24 PTS) (N. Batum 3 AST)")</f>
        <v>Driving finger roll Layup (24 PTS) (N. Batum 3 AST)</v>
      </c>
      <c r="K2648" s="2" t="str">
        <f>HYPERLINK("https://www.nba.com/game/...-vs-...-0022000061/play-by-play?watchFullGame=true", "LAC vs POR - Q3 02:48.00")</f>
        <v>LAC vs POR - Q3 02:48.00</v>
      </c>
      <c r="L2648">
        <v>1.67</v>
      </c>
      <c r="M2648">
        <v>93.12</v>
      </c>
      <c r="N2648">
        <v>52.27</v>
      </c>
      <c r="O2648">
        <v>11</v>
      </c>
      <c r="P2648">
        <v>12</v>
      </c>
    </row>
    <row r="2649" spans="1:16" x14ac:dyDescent="0.25">
      <c r="A2649">
        <v>21900292</v>
      </c>
      <c r="B2649">
        <v>2019</v>
      </c>
      <c r="C2649" t="s">
        <v>32</v>
      </c>
      <c r="D2649" t="s">
        <v>50</v>
      </c>
      <c r="E2649">
        <v>123</v>
      </c>
      <c r="F2649">
        <v>100</v>
      </c>
      <c r="G2649">
        <v>4</v>
      </c>
      <c r="H2649" s="1">
        <v>6.898148148148148E-3</v>
      </c>
      <c r="I2649" t="s">
        <v>23</v>
      </c>
      <c r="J2649" s="2" t="str">
        <f>HYPERLINK("https://www.nba.com/stats/events?CFID=&amp;CFPARAMS=&amp;GameEventID=606&amp;GameID=0021900292&amp;Season=2019-20&amp;flag=1&amp;title=Leonard%20layup%20(25%20PTS)%20(L.%20Williams%208%20AST)", "Layup (25 PTS) (L. Williams 8 AST)")</f>
        <v>Layup (25 PTS) (L. Williams 8 AST)</v>
      </c>
      <c r="K2649" s="2" t="str">
        <f>HYPERLINK("https://www.nba.com/game/...-vs-...-0021900292/play-by-play?watchFullGame=true", "LAC vs WAS - Q4 09:56.00")</f>
        <v>LAC vs WAS - Q4 09:56.00</v>
      </c>
      <c r="L2649">
        <v>2.3199999999999998</v>
      </c>
      <c r="M2649">
        <v>7.15</v>
      </c>
      <c r="N2649">
        <v>47.73</v>
      </c>
      <c r="O2649">
        <v>11</v>
      </c>
      <c r="P2649">
        <v>15</v>
      </c>
    </row>
    <row r="2650" spans="1:16" x14ac:dyDescent="0.25">
      <c r="A2650">
        <v>22300505</v>
      </c>
      <c r="B2650">
        <v>2023</v>
      </c>
      <c r="C2650" t="s">
        <v>32</v>
      </c>
      <c r="D2650" t="s">
        <v>48</v>
      </c>
      <c r="E2650">
        <v>42</v>
      </c>
      <c r="F2650">
        <v>48</v>
      </c>
      <c r="G2650">
        <v>2</v>
      </c>
      <c r="H2650" s="1">
        <v>2.1990740740740742E-3</v>
      </c>
      <c r="I2650" t="s">
        <v>23</v>
      </c>
      <c r="J2650" s="2" t="str">
        <f>HYPERLINK("https://www.nba.com/stats/events?CFID=&amp;CFPARAMS=&amp;GameEventID=254&amp;GameID=0022300505&amp;Season=2023-24&amp;flag=1&amp;title=Leonard%20running%20DUNK%20(6%20PTS)%20(T.%20Mann%203%20AST)", "Running DUNK (6 PTS) (T. Mann 3 AST)")</f>
        <v>Running DUNK (6 PTS) (T. Mann 3 AST)</v>
      </c>
      <c r="K2650" s="2" t="str">
        <f>HYPERLINK("https://www.nba.com/game/...-vs-...-0022300505/play-by-play?watchFullGame=true", "LAC vs LAL - Q2 03:10.00")</f>
        <v>LAC vs LAL - Q2 03:10.00</v>
      </c>
      <c r="L2650">
        <v>1.86</v>
      </c>
      <c r="M2650">
        <v>92.82</v>
      </c>
      <c r="N2650">
        <v>52.21</v>
      </c>
      <c r="O2650">
        <v>11</v>
      </c>
      <c r="P2650">
        <v>15</v>
      </c>
    </row>
    <row r="2651" spans="1:16" x14ac:dyDescent="0.25">
      <c r="A2651">
        <v>22000188</v>
      </c>
      <c r="B2651">
        <v>2020</v>
      </c>
      <c r="C2651" t="s">
        <v>32</v>
      </c>
      <c r="D2651" t="s">
        <v>47</v>
      </c>
      <c r="E2651">
        <v>69</v>
      </c>
      <c r="F2651">
        <v>91</v>
      </c>
      <c r="G2651">
        <v>3</v>
      </c>
      <c r="H2651" s="1">
        <v>3.6921296296296298E-3</v>
      </c>
      <c r="I2651" t="s">
        <v>23</v>
      </c>
      <c r="J2651" s="2" t="str">
        <f>HYPERLINK("https://www.nba.com/stats/events?CFID=&amp;CFPARAMS=&amp;GameEventID=401&amp;GameID=0022000188&amp;Season=2020-21&amp;flag=1&amp;title=Leonard%20running%20Layup%20(23%20PTS)%20(R.%20Jackson%203%20AST)", "Running Layup (23 PTS) (R. Jackson 3 AST)")</f>
        <v>Running Layup (23 PTS) (R. Jackson 3 AST)</v>
      </c>
      <c r="K2651" s="2" t="str">
        <f>HYPERLINK("https://www.nba.com/game/...-vs-...-0022000188/play-by-play?watchFullGame=true", "LAC vs SAC - Q3 05:19.00")</f>
        <v>LAC vs SAC - Q3 05:19.00</v>
      </c>
      <c r="L2651">
        <v>1.84</v>
      </c>
      <c r="M2651">
        <v>7.18</v>
      </c>
      <c r="N2651">
        <v>47.86</v>
      </c>
      <c r="O2651">
        <v>11</v>
      </c>
      <c r="P2651">
        <v>15</v>
      </c>
    </row>
    <row r="2652" spans="1:16" x14ac:dyDescent="0.25">
      <c r="A2652">
        <v>42000171</v>
      </c>
      <c r="B2652" t="s">
        <v>83</v>
      </c>
      <c r="C2652" t="s">
        <v>32</v>
      </c>
      <c r="D2652" t="s">
        <v>19</v>
      </c>
      <c r="E2652">
        <v>91</v>
      </c>
      <c r="F2652">
        <v>90</v>
      </c>
      <c r="G2652">
        <v>4</v>
      </c>
      <c r="H2652" s="1">
        <v>5.6712962962962967E-3</v>
      </c>
      <c r="I2652" t="s">
        <v>23</v>
      </c>
      <c r="J2652" s="2" t="str">
        <f>HYPERLINK("https://www.nba.com/stats/events?CFID=&amp;CFPARAMS=&amp;GameEventID=513&amp;GameID=0042000171&amp;Season=2020-21&amp;flag=1&amp;title=Leonard%2017'%20step%20back%20Jump%20Shot%20(25%20PTS)", "17' step back Jump Shot (25 PTS)")</f>
        <v>17' step back Jump Shot (25 PTS)</v>
      </c>
      <c r="K2652" s="2" t="str">
        <f>HYPERLINK("https://www.nba.com/game/...-vs-...-0042000171/play-by-play?watchFullGame=true", "LAC vs DAL - Q4 08:10.00")</f>
        <v>LAC vs DAL - Q4 08:10.00</v>
      </c>
      <c r="L2652">
        <v>17.73</v>
      </c>
      <c r="M2652">
        <v>11.78</v>
      </c>
      <c r="N2652">
        <v>16.489999999999998</v>
      </c>
      <c r="O2652">
        <v>11</v>
      </c>
      <c r="P2652">
        <v>16</v>
      </c>
    </row>
    <row r="2653" spans="1:16" x14ac:dyDescent="0.25">
      <c r="A2653">
        <v>21900051</v>
      </c>
      <c r="B2653">
        <v>2019</v>
      </c>
      <c r="C2653" t="s">
        <v>32</v>
      </c>
      <c r="D2653" t="s">
        <v>50</v>
      </c>
      <c r="E2653">
        <v>37</v>
      </c>
      <c r="F2653">
        <v>38</v>
      </c>
      <c r="G2653">
        <v>2</v>
      </c>
      <c r="H2653" s="1">
        <v>6.0069444444444441E-3</v>
      </c>
      <c r="I2653" t="s">
        <v>23</v>
      </c>
      <c r="J2653" s="2" t="str">
        <f>HYPERLINK("https://www.nba.com/stats/events?CFID=&amp;CFPARAMS=&amp;GameEventID=197&amp;GameID=0021900051&amp;Season=2019-20&amp;flag=1&amp;title=[LAC]%20Leonard%20layup:%20Made%20(10%20PTS)%20assist:%20Williams%20(1%20AST)", "[LAC] Leonard layup: Made (10 PTS) assist: Williams (1 AST)")</f>
        <v>[LAC] Leonard layup: Made (10 PTS) assist: Williams (1 AST)</v>
      </c>
      <c r="K2653" s="2" t="str">
        <f>HYPERLINK("https://www.nba.com/game/...-vs-...-0021900051/play-by-play?watchFullGame=true", "LAC vs CHA - Q2 08:39.00")</f>
        <v>LAC vs CHA - Q2 08:39.00</v>
      </c>
      <c r="L2653">
        <v>2.42</v>
      </c>
      <c r="M2653">
        <v>92.69</v>
      </c>
      <c r="N2653">
        <v>52.14</v>
      </c>
      <c r="O2653">
        <v>11</v>
      </c>
      <c r="P2653">
        <v>16</v>
      </c>
    </row>
    <row r="2654" spans="1:16" x14ac:dyDescent="0.25">
      <c r="A2654">
        <v>21900523</v>
      </c>
      <c r="B2654">
        <v>2019</v>
      </c>
      <c r="C2654" t="s">
        <v>32</v>
      </c>
      <c r="D2654" t="s">
        <v>50</v>
      </c>
      <c r="E2654">
        <v>10</v>
      </c>
      <c r="F2654">
        <v>16</v>
      </c>
      <c r="G2654">
        <v>1</v>
      </c>
      <c r="H2654" s="1">
        <v>4.8726851851851848E-3</v>
      </c>
      <c r="I2654" t="s">
        <v>23</v>
      </c>
      <c r="J2654" s="2" t="str">
        <f>HYPERLINK("https://www.nba.com/stats/events?CFID=&amp;CFPARAMS=&amp;GameEventID=63&amp;GameID=0021900523&amp;Season=2019-20&amp;flag=1&amp;title=Leonard%20layup%20(4%20PTS)", "Layup (4 PTS)")</f>
        <v>Layup (4 PTS)</v>
      </c>
      <c r="K2654" s="2" t="str">
        <f>HYPERLINK("https://www.nba.com/game/...-vs-...-0021900523/play-by-play?watchFullGame=true", "LAC vs MEM - Q1 07:01.00")</f>
        <v>LAC vs MEM - Q1 07:01.00</v>
      </c>
      <c r="L2654">
        <v>2.65</v>
      </c>
      <c r="M2654">
        <v>7.54</v>
      </c>
      <c r="N2654">
        <v>47.73</v>
      </c>
      <c r="O2654">
        <v>11</v>
      </c>
      <c r="P2654">
        <v>18</v>
      </c>
    </row>
    <row r="2655" spans="1:16" x14ac:dyDescent="0.25">
      <c r="A2655">
        <v>22200480</v>
      </c>
      <c r="B2655">
        <v>2022</v>
      </c>
      <c r="C2655" t="s">
        <v>32</v>
      </c>
      <c r="D2655" t="s">
        <v>47</v>
      </c>
      <c r="E2655">
        <v>103</v>
      </c>
      <c r="F2655">
        <v>102</v>
      </c>
      <c r="G2655">
        <v>4</v>
      </c>
      <c r="H2655" s="1">
        <v>4.1435185185185186E-3</v>
      </c>
      <c r="I2655" t="s">
        <v>23</v>
      </c>
      <c r="J2655" s="2" t="str">
        <f>HYPERLINK("https://www.nba.com/stats/events?CFID=&amp;CFPARAMS=&amp;GameEventID=527&amp;GameID=0022200480&amp;Season=2022-23&amp;flag=1&amp;title=Leonard%20driving%20Layup%20(26%20PTS)", "Driving Layup (26 PTS)")</f>
        <v>Driving Layup (26 PTS)</v>
      </c>
      <c r="K2655" s="2" t="str">
        <f>HYPERLINK("https://www.nba.com/game/...-vs-...-0022200480/play-by-play?watchFullGame=true", "LAC vs PHI - Q4 05:58.00")</f>
        <v>LAC vs PHI - Q4 05:58.00</v>
      </c>
      <c r="L2655">
        <v>2.14</v>
      </c>
      <c r="M2655">
        <v>7.54</v>
      </c>
      <c r="N2655">
        <v>47.79</v>
      </c>
      <c r="O2655">
        <v>11</v>
      </c>
      <c r="P2655">
        <v>18</v>
      </c>
    </row>
    <row r="2656" spans="1:16" x14ac:dyDescent="0.25">
      <c r="A2656">
        <v>22300127</v>
      </c>
      <c r="B2656">
        <v>2023</v>
      </c>
      <c r="C2656" t="s">
        <v>32</v>
      </c>
      <c r="D2656" t="s">
        <v>47</v>
      </c>
      <c r="E2656">
        <v>18</v>
      </c>
      <c r="F2656">
        <v>29</v>
      </c>
      <c r="G2656">
        <v>1</v>
      </c>
      <c r="H2656" s="1">
        <v>2.0138888888888888E-3</v>
      </c>
      <c r="I2656" t="s">
        <v>23</v>
      </c>
      <c r="J2656" s="2" t="str">
        <f>HYPERLINK("https://www.nba.com/stats/events?CFID=&amp;CFPARAMS=&amp;GameEventID=109&amp;GameID=0022300127&amp;Season=2023-24&amp;flag=1&amp;title=Leonard%20driving%20Layup%20(15%20PTS)", "Driving Layup (15 PTS)")</f>
        <v>Driving Layup (15 PTS)</v>
      </c>
      <c r="K2656" s="2" t="str">
        <f>HYPERLINK("https://www.nba.com/game/...-vs-...-0022300127/play-by-play?watchFullGame=true", "LAC vs LAL - Q1 02:54.00")</f>
        <v>LAC vs LAL - Q1 02:54.00</v>
      </c>
      <c r="L2656">
        <v>2.38</v>
      </c>
      <c r="M2656">
        <v>92.16</v>
      </c>
      <c r="N2656">
        <v>52.21</v>
      </c>
      <c r="O2656">
        <v>11</v>
      </c>
      <c r="P2656">
        <v>21</v>
      </c>
    </row>
    <row r="2657" spans="1:16" x14ac:dyDescent="0.25">
      <c r="A2657">
        <v>42000176</v>
      </c>
      <c r="B2657" t="s">
        <v>83</v>
      </c>
      <c r="C2657" t="s">
        <v>32</v>
      </c>
      <c r="D2657" t="s">
        <v>19</v>
      </c>
      <c r="E2657">
        <v>82</v>
      </c>
      <c r="F2657">
        <v>84</v>
      </c>
      <c r="G2657">
        <v>4</v>
      </c>
      <c r="H2657" s="1">
        <v>5.5092592592592589E-3</v>
      </c>
      <c r="I2657" t="s">
        <v>23</v>
      </c>
      <c r="J2657" s="2" t="str">
        <f>HYPERLINK("https://www.nba.com/stats/events?CFID=&amp;CFPARAMS=&amp;GameEventID=527&amp;GameID=0042000176&amp;Season=2020-21&amp;flag=1&amp;title=Leonard%2015'%20turnaround%20Jump%20Shot%20(35%20PTS)%20(R.%20Jackson%203%20AST)", "15' turnaround Jump Shot (35 PTS) (R. Jackson 3 AST)")</f>
        <v>15' turnaround Jump Shot (35 PTS) (R. Jackson 3 AST)</v>
      </c>
      <c r="K2657" s="2" t="str">
        <f>HYPERLINK("https://www.nba.com/game/...-vs-...-0042000176/play-by-play?watchFullGame=true", "LAC vs DAL - Q4 07:56.00")</f>
        <v>LAC vs DAL - Q4 07:56.00</v>
      </c>
      <c r="L2657">
        <v>15.1</v>
      </c>
      <c r="M2657">
        <v>11.12</v>
      </c>
      <c r="N2657">
        <v>21.64</v>
      </c>
      <c r="O2657">
        <v>11</v>
      </c>
      <c r="P2657">
        <v>21</v>
      </c>
    </row>
    <row r="2658" spans="1:16" x14ac:dyDescent="0.25">
      <c r="A2658">
        <v>22000366</v>
      </c>
      <c r="B2658">
        <v>2020</v>
      </c>
      <c r="C2658" t="s">
        <v>32</v>
      </c>
      <c r="D2658" t="s">
        <v>47</v>
      </c>
      <c r="E2658">
        <v>108</v>
      </c>
      <c r="F2658">
        <v>109</v>
      </c>
      <c r="G2658">
        <v>4</v>
      </c>
      <c r="H2658" s="1">
        <v>5.7638888888888887E-4</v>
      </c>
      <c r="I2658" t="s">
        <v>23</v>
      </c>
      <c r="J2658" s="2" t="str">
        <f>HYPERLINK("https://www.nba.com/stats/events?CFID=&amp;CFPARAMS=&amp;GameEventID=630&amp;GameID=0022000366&amp;Season=2020-21&amp;flag=1&amp;title=Leonard%20Layup%20(20%20PTS)", "Layup (20 PTS)")</f>
        <v>Layup (20 PTS)</v>
      </c>
      <c r="K2658" s="2" t="str">
        <f>HYPERLINK("https://www.nba.com/game/...-vs-...-0022000366/play-by-play?watchFullGame=true", "LAC vs SAC - Q4 00:49.80")</f>
        <v>LAC vs SAC - Q4 00:49.80</v>
      </c>
      <c r="L2658">
        <v>2.48</v>
      </c>
      <c r="M2658">
        <v>7.97</v>
      </c>
      <c r="N2658">
        <v>47.86</v>
      </c>
      <c r="O2658">
        <v>11</v>
      </c>
      <c r="P2658">
        <v>22</v>
      </c>
    </row>
    <row r="2659" spans="1:16" x14ac:dyDescent="0.25">
      <c r="A2659">
        <v>22201082</v>
      </c>
      <c r="B2659">
        <v>2022</v>
      </c>
      <c r="C2659" t="s">
        <v>32</v>
      </c>
      <c r="D2659" t="s">
        <v>47</v>
      </c>
      <c r="E2659">
        <v>41</v>
      </c>
      <c r="F2659">
        <v>37</v>
      </c>
      <c r="G2659">
        <v>2</v>
      </c>
      <c r="H2659" s="1">
        <v>3.0902777777777777E-3</v>
      </c>
      <c r="I2659" t="s">
        <v>23</v>
      </c>
      <c r="J2659" s="2" t="str">
        <f>HYPERLINK("https://www.nba.com/stats/events?CFID=&amp;CFPARAMS=&amp;GameEventID=253&amp;GameID=0022201082&amp;Season=2022-23&amp;flag=1&amp;title=Leonard%20driving%20Layup%20(6%20PTS)%20(P.%20George%202%20AST)", "Driving Layup (6 PTS) (P. George 2 AST)")</f>
        <v>Driving Layup (6 PTS) (P. George 2 AST)</v>
      </c>
      <c r="K2659" s="2" t="str">
        <f>HYPERLINK("https://www.nba.com/game/...-vs-...-0022201082/play-by-play?watchFullGame=true", "LAC vs OKC - Q2 04:27.00")</f>
        <v>LAC vs OKC - Q2 04:27.00</v>
      </c>
      <c r="L2659">
        <v>2.5</v>
      </c>
      <c r="M2659">
        <v>92.03</v>
      </c>
      <c r="N2659">
        <v>52.21</v>
      </c>
      <c r="O2659">
        <v>11</v>
      </c>
      <c r="P2659">
        <v>22</v>
      </c>
    </row>
    <row r="2660" spans="1:16" x14ac:dyDescent="0.25">
      <c r="A2660">
        <v>22200408</v>
      </c>
      <c r="B2660">
        <v>2022</v>
      </c>
      <c r="C2660" t="s">
        <v>32</v>
      </c>
      <c r="D2660" t="s">
        <v>44</v>
      </c>
      <c r="E2660">
        <v>63</v>
      </c>
      <c r="F2660">
        <v>48</v>
      </c>
      <c r="G2660">
        <v>3</v>
      </c>
      <c r="H2660" s="1">
        <v>7.0023148148148145E-3</v>
      </c>
      <c r="I2660" t="s">
        <v>23</v>
      </c>
      <c r="J2660" s="2" t="str">
        <f>HYPERLINK("https://www.nba.com/stats/events?CFID=&amp;CFPARAMS=&amp;GameEventID=364&amp;GameID=0022200408&amp;Season=2022-23&amp;flag=1&amp;title=Leonard%20driving%20Hook%20(15%20PTS)", "Driving Hook (15 PTS)")</f>
        <v>Driving Hook (15 PTS)</v>
      </c>
      <c r="K2660" s="2" t="str">
        <f>HYPERLINK("https://www.nba.com/game/...-vs-...-0022200408/play-by-play?watchFullGame=true", "LAC vs BOS - Q3 10:05.00")</f>
        <v>LAC vs BOS - Q3 10:05.00</v>
      </c>
      <c r="L2660">
        <v>2.58</v>
      </c>
      <c r="M2660">
        <v>8.07</v>
      </c>
      <c r="N2660">
        <v>47.79</v>
      </c>
      <c r="O2660">
        <v>11</v>
      </c>
      <c r="P2660">
        <v>23</v>
      </c>
    </row>
    <row r="2661" spans="1:16" x14ac:dyDescent="0.25">
      <c r="A2661">
        <v>22000799</v>
      </c>
      <c r="B2661">
        <v>2020</v>
      </c>
      <c r="C2661" t="s">
        <v>32</v>
      </c>
      <c r="D2661" t="s">
        <v>47</v>
      </c>
      <c r="E2661">
        <v>64</v>
      </c>
      <c r="F2661">
        <v>44</v>
      </c>
      <c r="G2661">
        <v>2</v>
      </c>
      <c r="H2661" s="1">
        <v>7.0601851851851847E-4</v>
      </c>
      <c r="I2661" t="s">
        <v>23</v>
      </c>
      <c r="J2661" s="2" t="str">
        <f>HYPERLINK("https://www.nba.com/stats/events?CFID=&amp;CFPARAMS=&amp;GameEventID=329&amp;GameID=0022000799&amp;Season=2020-21&amp;flag=1&amp;title=Leonard%20running%20Layup%20(15%20PTS)", "Running Layup (15 PTS)")</f>
        <v>Running Layup (15 PTS)</v>
      </c>
      <c r="K2661" s="2" t="str">
        <f>HYPERLINK("https://www.nba.com/game/...-vs-...-0022000799/play-by-play?watchFullGame=true", "LAC vs HOU - Q2 01:01.00")</f>
        <v>LAC vs HOU - Q2 01:01.00</v>
      </c>
      <c r="L2661">
        <v>2.93</v>
      </c>
      <c r="M2661">
        <v>91.54</v>
      </c>
      <c r="N2661">
        <v>52.27</v>
      </c>
      <c r="O2661">
        <v>11</v>
      </c>
      <c r="P2661">
        <v>27</v>
      </c>
    </row>
    <row r="2662" spans="1:16" x14ac:dyDescent="0.25">
      <c r="A2662">
        <v>22301215</v>
      </c>
      <c r="B2662">
        <v>2023</v>
      </c>
      <c r="C2662" t="s">
        <v>32</v>
      </c>
      <c r="D2662" t="s">
        <v>19</v>
      </c>
      <c r="E2662">
        <v>97</v>
      </c>
      <c r="F2662">
        <v>93</v>
      </c>
      <c r="G2662">
        <v>4</v>
      </c>
      <c r="H2662" s="1">
        <v>2.8009259259259259E-3</v>
      </c>
      <c r="I2662" t="s">
        <v>23</v>
      </c>
      <c r="J2662" s="2" t="str">
        <f>HYPERLINK("https://www.nba.com/stats/events?CFID=&amp;CFPARAMS=&amp;GameEventID=578&amp;GameID=0022301215&amp;Season=2023-24&amp;flag=1&amp;title=Leonard%20Jump%20Shot%20(13%20PTS)%20(J.%20Harden%2010%20AST)", "Jump Shot (13 PTS) (J. Harden 10 AST)")</f>
        <v>Jump Shot (13 PTS) (J. Harden 10 AST)</v>
      </c>
      <c r="K2662" s="2" t="str">
        <f>HYPERLINK("https://www.nba.com/game/...-vs-...-0022301215/play-by-play?watchFullGame=true", "LAC vs DEN - Q4 04:02.00")</f>
        <v>LAC vs DEN - Q4 04:02.00</v>
      </c>
      <c r="L2662">
        <v>3.15</v>
      </c>
      <c r="M2662">
        <v>8.7200000000000006</v>
      </c>
      <c r="N2662">
        <v>47.79</v>
      </c>
      <c r="O2662">
        <v>11</v>
      </c>
      <c r="P2662">
        <v>29</v>
      </c>
    </row>
    <row r="2663" spans="1:16" x14ac:dyDescent="0.25">
      <c r="A2663">
        <v>22300257</v>
      </c>
      <c r="B2663">
        <v>2023</v>
      </c>
      <c r="C2663" t="s">
        <v>32</v>
      </c>
      <c r="D2663" t="s">
        <v>47</v>
      </c>
      <c r="E2663">
        <v>102</v>
      </c>
      <c r="F2663">
        <v>106</v>
      </c>
      <c r="G2663">
        <v>4</v>
      </c>
      <c r="H2663" s="1">
        <v>8.4490740740740739E-4</v>
      </c>
      <c r="I2663" t="s">
        <v>23</v>
      </c>
      <c r="J2663" s="2" t="str">
        <f>HYPERLINK("https://www.nba.com/stats/events?CFID=&amp;CFPARAMS=&amp;GameEventID=695&amp;GameID=0022300257&amp;Season=2023-24&amp;flag=1&amp;title=Leonard%20driving%20Layup%20(31%20PTS)", "Driving Layup (31 PTS)")</f>
        <v>Driving Layup (31 PTS)</v>
      </c>
      <c r="K2663" s="2" t="str">
        <f>HYPERLINK("https://www.nba.com/game/...-vs-...-0022300257/play-by-play?watchFullGame=true", "LAC vs DEN - Q4 01:13.00")</f>
        <v>LAC vs DEN - Q4 01:13.00</v>
      </c>
      <c r="L2663">
        <v>3.61</v>
      </c>
      <c r="M2663">
        <v>9.25</v>
      </c>
      <c r="N2663">
        <v>47.79</v>
      </c>
      <c r="O2663">
        <v>11</v>
      </c>
      <c r="P2663">
        <v>34</v>
      </c>
    </row>
    <row r="2664" spans="1:16" x14ac:dyDescent="0.25">
      <c r="A2664">
        <v>21900485</v>
      </c>
      <c r="B2664">
        <v>2019</v>
      </c>
      <c r="C2664" t="s">
        <v>32</v>
      </c>
      <c r="D2664" t="s">
        <v>50</v>
      </c>
      <c r="E2664">
        <v>42</v>
      </c>
      <c r="F2664">
        <v>36</v>
      </c>
      <c r="G2664">
        <v>2</v>
      </c>
      <c r="H2664" s="1">
        <v>5.7870370370370367E-3</v>
      </c>
      <c r="I2664" t="s">
        <v>23</v>
      </c>
      <c r="J2664" s="2" t="str">
        <f>HYPERLINK("https://www.nba.com/stats/events?CFID=&amp;CFPARAMS=&amp;GameEventID=205&amp;GameID=0021900485&amp;Season=2019-20&amp;flag=1&amp;title=Leonard%20layup%20(2%20PTS)", "Layup (2 PTS)")</f>
        <v>Layup (2 PTS)</v>
      </c>
      <c r="K2664" s="2" t="str">
        <f>HYPERLINK("https://www.nba.com/game/...-vs-...-0021900485/play-by-play?watchFullGame=true", "LAC vs UTA - Q2 08:20.00")</f>
        <v>LAC vs UTA - Q2 08:20.00</v>
      </c>
      <c r="L2664">
        <v>4.75</v>
      </c>
      <c r="M2664">
        <v>9.9</v>
      </c>
      <c r="N2664">
        <v>47.73</v>
      </c>
      <c r="O2664">
        <v>11</v>
      </c>
      <c r="P2664">
        <v>41</v>
      </c>
    </row>
    <row r="2665" spans="1:16" x14ac:dyDescent="0.25">
      <c r="A2665">
        <v>22300749</v>
      </c>
      <c r="B2665">
        <v>2023</v>
      </c>
      <c r="C2665" t="s">
        <v>32</v>
      </c>
      <c r="D2665" t="s">
        <v>48</v>
      </c>
      <c r="E2665">
        <v>26</v>
      </c>
      <c r="F2665">
        <v>24</v>
      </c>
      <c r="G2665">
        <v>1</v>
      </c>
      <c r="H2665" s="1">
        <v>1.0648148148148149E-3</v>
      </c>
      <c r="I2665" t="s">
        <v>23</v>
      </c>
      <c r="J2665" s="2" t="str">
        <f>HYPERLINK("https://www.nba.com/stats/events?CFID=&amp;CFPARAMS=&amp;GameEventID=142&amp;GameID=0022300749&amp;Season=2023-24&amp;flag=1&amp;title=Leonard%20running%20DUNK%20(8%20PTS)", "Running DUNK (8 PTS)")</f>
        <v>Running DUNK (8 PTS)</v>
      </c>
      <c r="K2665" s="2" t="str">
        <f>HYPERLINK("https://www.nba.com/game/...-vs-...-0022300749/play-by-play?watchFullGame=true", "LAC vs DET - Q1 01:32.00")</f>
        <v>LAC vs DET - Q1 01:32.00</v>
      </c>
      <c r="L2665">
        <v>4.45</v>
      </c>
      <c r="M2665">
        <v>89.83</v>
      </c>
      <c r="N2665">
        <v>52.21</v>
      </c>
      <c r="O2665">
        <v>11</v>
      </c>
      <c r="P2665">
        <v>43</v>
      </c>
    </row>
    <row r="2666" spans="1:16" x14ac:dyDescent="0.25">
      <c r="A2666">
        <v>41800112</v>
      </c>
      <c r="B2666" t="s">
        <v>20</v>
      </c>
      <c r="C2666" t="s">
        <v>32</v>
      </c>
      <c r="D2666" t="s">
        <v>87</v>
      </c>
      <c r="E2666">
        <v>11</v>
      </c>
      <c r="F2666">
        <v>0</v>
      </c>
      <c r="G2666">
        <v>1</v>
      </c>
      <c r="H2666" s="1">
        <v>5.3587962962962964E-3</v>
      </c>
      <c r="I2666" t="s">
        <v>21</v>
      </c>
      <c r="J2666" s="2" t="str">
        <f>HYPERLINK("https://www.nba.com/stats/events?CFID=&amp;CFPARAMS=&amp;GameEventID=67&amp;GameID=0041800112&amp;Season=2018-19&amp;flag=1&amp;title=Leonard%209'%20Running%20Pull-Up%20Jump%20Shot%20(8%20PTS)", "Leonard 9' Running Pull-Up Jump Shot (8 PTS)")</f>
        <v>Leonard 9' Running Pull-Up Jump Shot (8 PTS)</v>
      </c>
      <c r="K2666" s="2" t="str">
        <f>HYPERLINK("https://www.nba.com/game/...-vs-...-0041800112/play-by-play?watchFullGame=true", "TOR vs ORL - Q1 07:43.00")</f>
        <v>TOR vs ORL - Q1 07:43.00</v>
      </c>
      <c r="L2666">
        <v>9</v>
      </c>
      <c r="M2666">
        <v>11</v>
      </c>
      <c r="N2666">
        <v>91</v>
      </c>
      <c r="O2666">
        <v>11</v>
      </c>
      <c r="P2666">
        <v>91</v>
      </c>
    </row>
    <row r="2667" spans="1:16" x14ac:dyDescent="0.25">
      <c r="A2667">
        <v>22300827</v>
      </c>
      <c r="B2667">
        <v>2023</v>
      </c>
      <c r="C2667" t="s">
        <v>32</v>
      </c>
      <c r="D2667" t="s">
        <v>19</v>
      </c>
      <c r="E2667">
        <v>46</v>
      </c>
      <c r="F2667">
        <v>50</v>
      </c>
      <c r="G2667">
        <v>2</v>
      </c>
      <c r="H2667" s="1">
        <v>1.9328703703703704E-3</v>
      </c>
      <c r="I2667" t="s">
        <v>23</v>
      </c>
      <c r="J2667" s="2" t="str">
        <f>HYPERLINK("https://www.nba.com/stats/events?CFID=&amp;CFPARAMS=&amp;GameEventID=281&amp;GameID=0022300827&amp;Season=2023-24&amp;flag=1&amp;title=Leonard%209'%20fadeaway%20Jump%20Shot%20(12%20PTS)%20(J.%20Harden%204%20AST)", "9' fadeaway Jump Shot (12 PTS) (J. Harden 4 AST)")</f>
        <v>9' fadeaway Jump Shot (12 PTS) (J. Harden 4 AST)</v>
      </c>
      <c r="K2667" s="2" t="str">
        <f>HYPERLINK("https://www.nba.com/game/...-vs-...-0022300827/play-by-play?watchFullGame=true", "LAC vs SAC - Q2 02:47.00")</f>
        <v>LAC vs SAC - Q2 02:47.00</v>
      </c>
      <c r="L2667">
        <v>9.59</v>
      </c>
      <c r="M2667">
        <v>84.28</v>
      </c>
      <c r="N2667">
        <v>52.21</v>
      </c>
      <c r="O2667">
        <v>11</v>
      </c>
      <c r="P2667">
        <v>95</v>
      </c>
    </row>
    <row r="2668" spans="1:16" x14ac:dyDescent="0.25">
      <c r="A2668">
        <v>22400889</v>
      </c>
      <c r="B2668">
        <v>2024</v>
      </c>
      <c r="C2668" t="s">
        <v>32</v>
      </c>
      <c r="D2668" t="s">
        <v>19</v>
      </c>
      <c r="E2668">
        <v>58</v>
      </c>
      <c r="F2668">
        <v>78</v>
      </c>
      <c r="G2668">
        <v>3</v>
      </c>
      <c r="H2668" s="1">
        <v>4.9537037037037041E-3</v>
      </c>
      <c r="I2668" t="s">
        <v>23</v>
      </c>
      <c r="J2668" s="2" t="str">
        <f>HYPERLINK("https://www.nba.com/stats/events?CFID=&amp;CFPARAMS=&amp;GameEventID=348&amp;GameID=0022400889&amp;Season=2024-25&amp;flag=1&amp;title=Leonard%2010'%20turnaround%20Jump%20Shot%20(15%20PTS)%20(B.%20Bogdanovic%203%20AST)", "10' turnaround Jump Shot (15 PTS) (B. Bogdanovic 3 AST)")</f>
        <v>10' turnaround Jump Shot (15 PTS) (B. Bogdanovic 3 AST)</v>
      </c>
      <c r="K2668" s="2" t="str">
        <f>HYPERLINK("https://www.nba.com/game/...-vs-...-0022400889/play-by-play?watchFullGame=true", "LAC vs PHX - Q3 07:08.00")</f>
        <v>LAC vs PHX - Q3 07:08.00</v>
      </c>
      <c r="L2668">
        <v>10.130000000000001</v>
      </c>
      <c r="M2668">
        <v>16.29</v>
      </c>
      <c r="N2668">
        <v>47.86</v>
      </c>
      <c r="O2668">
        <v>11</v>
      </c>
      <c r="P2668">
        <v>101</v>
      </c>
    </row>
    <row r="2669" spans="1:16" x14ac:dyDescent="0.25">
      <c r="A2669">
        <v>22000130</v>
      </c>
      <c r="B2669">
        <v>2020</v>
      </c>
      <c r="C2669" t="s">
        <v>32</v>
      </c>
      <c r="D2669" t="s">
        <v>19</v>
      </c>
      <c r="E2669">
        <v>5</v>
      </c>
      <c r="F2669">
        <v>11</v>
      </c>
      <c r="G2669">
        <v>1</v>
      </c>
      <c r="H2669" s="1">
        <v>6.2615740740740739E-3</v>
      </c>
      <c r="I2669" t="s">
        <v>23</v>
      </c>
      <c r="J2669" s="2" t="str">
        <f>HYPERLINK("https://www.nba.com/stats/events?CFID=&amp;CFPARAMS=&amp;GameEventID=40&amp;GameID=0022000130&amp;Season=2020-21&amp;flag=1&amp;title=Leonard%2015'%20Jump%20Shot%20(2%20PTS)%20(N.%20Batum%202%20AST)", "15' Jump Shot (2 PTS) (N. Batum 2 AST)")</f>
        <v>15' Jump Shot (2 PTS) (N. Batum 2 AST)</v>
      </c>
      <c r="K2669" s="2" t="str">
        <f>HYPERLINK("https://www.nba.com/game/...-vs-...-0022000130/play-by-play?watchFullGame=true", "LAC vs GSW - Q1 09:01.00")</f>
        <v>LAC vs GSW - Q1 09:01.00</v>
      </c>
      <c r="L2669">
        <v>15.99</v>
      </c>
      <c r="M2669">
        <v>22.55</v>
      </c>
      <c r="N2669">
        <v>47.86</v>
      </c>
      <c r="O2669">
        <v>11</v>
      </c>
      <c r="P2669">
        <v>159</v>
      </c>
    </row>
    <row r="2670" spans="1:16" x14ac:dyDescent="0.25">
      <c r="A2670">
        <v>22300343</v>
      </c>
      <c r="B2670">
        <v>2023</v>
      </c>
      <c r="C2670" t="s">
        <v>32</v>
      </c>
      <c r="D2670" t="s">
        <v>19</v>
      </c>
      <c r="E2670">
        <v>2</v>
      </c>
      <c r="F2670">
        <v>0</v>
      </c>
      <c r="G2670">
        <v>1</v>
      </c>
      <c r="H2670" s="1">
        <v>8.1481481481481474E-3</v>
      </c>
      <c r="I2670" t="s">
        <v>23</v>
      </c>
      <c r="J2670" s="2" t="str">
        <f>HYPERLINK("https://www.nba.com/stats/events?CFID=&amp;CFPARAMS=&amp;GameEventID=7&amp;GameID=0022300343&amp;Season=2023-24&amp;flag=1&amp;title=Leonard%2016'%20Jump%20Shot%20(2%20PTS)%20(P.%20George%201%20AST)", "16' Jump Shot (2 PTS) (P. George 1 AST)")</f>
        <v>16' Jump Shot (2 PTS) (P. George 1 AST)</v>
      </c>
      <c r="K2670" s="2" t="str">
        <f>HYPERLINK("https://www.nba.com/game/...-vs-...-0022300343/play-by-play?watchFullGame=true", "LAC vs NYK - Q1 11:44.00")</f>
        <v>LAC vs NYK - Q1 11:44.00</v>
      </c>
      <c r="L2670">
        <v>16.98</v>
      </c>
      <c r="M2670">
        <v>76.400000000000006</v>
      </c>
      <c r="N2670">
        <v>52.21</v>
      </c>
      <c r="O2670">
        <v>11</v>
      </c>
      <c r="P2670">
        <v>169</v>
      </c>
    </row>
    <row r="2671" spans="1:16" x14ac:dyDescent="0.25">
      <c r="A2671">
        <v>41800404</v>
      </c>
      <c r="B2671" t="s">
        <v>20</v>
      </c>
      <c r="C2671" t="s">
        <v>32</v>
      </c>
      <c r="D2671" t="s">
        <v>29</v>
      </c>
      <c r="E2671">
        <v>63</v>
      </c>
      <c r="F2671">
        <v>67</v>
      </c>
      <c r="G2671">
        <v>3</v>
      </c>
      <c r="H2671" s="1">
        <v>2.0833333333333333E-3</v>
      </c>
      <c r="I2671" t="s">
        <v>21</v>
      </c>
      <c r="J2671" s="2" t="str">
        <f>HYPERLINK("https://www.nba.com/stats/events?CFID=&amp;CFPARAMS=&amp;GameEventID=447&amp;GameID=0041800404&amp;Season=2018-19&amp;flag=1&amp;title=Leonard%2017'%20Pullup%20Jump%20Shot%20(23%20PTS)", "Leonard 17' Pullup Jump Shot (23 PTS)")</f>
        <v>Leonard 17' Pullup Jump Shot (23 PTS)</v>
      </c>
      <c r="K2671" s="2" t="str">
        <f>HYPERLINK("https://www.nba.com/game/...-vs-...-0041800404/play-by-play?watchFullGame=true", "TOR vs GSW - Q3 03:00.00")</f>
        <v>TOR vs GSW - Q3 03:00.00</v>
      </c>
      <c r="L2671">
        <v>17</v>
      </c>
      <c r="M2671">
        <v>11</v>
      </c>
      <c r="N2671">
        <v>173</v>
      </c>
      <c r="O2671">
        <v>11</v>
      </c>
      <c r="P2671">
        <v>173</v>
      </c>
    </row>
    <row r="2672" spans="1:16" x14ac:dyDescent="0.25">
      <c r="A2672">
        <v>41800213</v>
      </c>
      <c r="B2672" t="s">
        <v>20</v>
      </c>
      <c r="C2672" t="s">
        <v>16</v>
      </c>
      <c r="D2672" t="s">
        <v>19</v>
      </c>
      <c r="E2672">
        <v>87</v>
      </c>
      <c r="F2672">
        <v>77</v>
      </c>
      <c r="G2672">
        <v>3</v>
      </c>
      <c r="H2672" s="1">
        <v>1.1342592592592593E-3</v>
      </c>
      <c r="I2672" t="s">
        <v>21</v>
      </c>
      <c r="J2672" s="2" t="str">
        <f>HYPERLINK("https://www.nba.com/stats/events?CFID=&amp;CFPARAMS=&amp;GameEventID=449&amp;GameID=0041800213&amp;Season=2018-19&amp;flag=1&amp;title=Leonard%2026'%203PT%20Jump%20Shot%20(29%20PTS)", "Leonard 26' 3PT Jump Shot (29 PTS)")</f>
        <v>Leonard 26' 3PT Jump Shot (29 PTS)</v>
      </c>
      <c r="K2672" s="2" t="str">
        <f>HYPERLINK("https://www.nba.com/game/...-vs-...-0041800213/play-by-play?watchFullGame=true", "TOR vs PHI - Q3 01:38.00")</f>
        <v>TOR vs PHI - Q3 01:38.00</v>
      </c>
      <c r="L2672">
        <v>26</v>
      </c>
      <c r="M2672">
        <v>11</v>
      </c>
      <c r="N2672">
        <v>261</v>
      </c>
      <c r="O2672">
        <v>11</v>
      </c>
      <c r="P2672">
        <v>261</v>
      </c>
    </row>
    <row r="2673" spans="1:16" x14ac:dyDescent="0.25">
      <c r="A2673">
        <v>21900419</v>
      </c>
      <c r="B2673">
        <v>2019</v>
      </c>
      <c r="C2673" t="s">
        <v>16</v>
      </c>
      <c r="D2673" t="s">
        <v>22</v>
      </c>
      <c r="E2673">
        <v>11</v>
      </c>
      <c r="F2673">
        <v>16</v>
      </c>
      <c r="G2673">
        <v>1</v>
      </c>
      <c r="H2673" s="1">
        <v>4.2129629629629626E-3</v>
      </c>
      <c r="I2673" t="s">
        <v>23</v>
      </c>
      <c r="J2673" s="2" t="str">
        <f>HYPERLINK("https://www.nba.com/stats/events?CFID=&amp;CFPARAMS=&amp;GameEventID=74&amp;GameID=0021900419&amp;Season=2019-20&amp;flag=1&amp;title=Leonard%2027'%203PT%20%20(7%20PTS)", "27' 3PT  (7 PTS)")</f>
        <v>27' 3PT  (7 PTS)</v>
      </c>
      <c r="K2673" s="2" t="str">
        <f>HYPERLINK("https://www.nba.com/game/...-vs-...-0021900419/play-by-play?watchFullGame=true", "LAC vs HOU - Q1 06:04.00")</f>
        <v>LAC vs HOU - Q1 06:04.00</v>
      </c>
      <c r="L2673">
        <v>26.9</v>
      </c>
      <c r="M2673">
        <v>66.41</v>
      </c>
      <c r="N2673">
        <v>52.14</v>
      </c>
      <c r="O2673">
        <v>11</v>
      </c>
      <c r="P2673">
        <v>263</v>
      </c>
    </row>
    <row r="2674" spans="1:16" x14ac:dyDescent="0.25">
      <c r="A2674">
        <v>21901232</v>
      </c>
      <c r="B2674">
        <v>2019</v>
      </c>
      <c r="C2674" t="s">
        <v>16</v>
      </c>
      <c r="D2674" t="s">
        <v>22</v>
      </c>
      <c r="E2674">
        <v>41</v>
      </c>
      <c r="F2674">
        <v>34</v>
      </c>
      <c r="G2674">
        <v>2</v>
      </c>
      <c r="H2674" s="1">
        <v>6.4467592592592588E-3</v>
      </c>
      <c r="I2674" t="s">
        <v>23</v>
      </c>
      <c r="J2674" s="2" t="str">
        <f>HYPERLINK("https://www.nba.com/stats/events?CFID=&amp;CFPARAMS=&amp;GameEventID=240&amp;GameID=0021901232&amp;Season=2019-20&amp;flag=1&amp;title=Leonard%2028'%203PT%20%20(11%20PTS)%20(P.%20George%201%20AST)", "28' 3PT  (11 PTS) (P. George 1 AST)")</f>
        <v>28' 3PT  (11 PTS) (P. George 1 AST)</v>
      </c>
      <c r="K2674" s="2" t="str">
        <f>HYPERLINK("https://www.nba.com/game/...-vs-...-0021901232/play-by-play?watchFullGame=true", "LAC vs LAL - Q2 09:17.00")</f>
        <v>LAC vs LAL - Q2 09:17.00</v>
      </c>
      <c r="L2674">
        <v>28.5</v>
      </c>
      <c r="M2674">
        <v>35.299999999999997</v>
      </c>
      <c r="N2674">
        <v>47.86</v>
      </c>
      <c r="O2674">
        <v>11</v>
      </c>
      <c r="P2674">
        <v>279</v>
      </c>
    </row>
    <row r="2675" spans="1:16" x14ac:dyDescent="0.25">
      <c r="A2675">
        <v>21300604</v>
      </c>
      <c r="B2675">
        <v>2013</v>
      </c>
      <c r="C2675" t="s">
        <v>32</v>
      </c>
      <c r="D2675" t="s">
        <v>62</v>
      </c>
      <c r="E2675">
        <v>12</v>
      </c>
      <c r="F2675">
        <v>10</v>
      </c>
      <c r="G2675">
        <v>1</v>
      </c>
      <c r="H2675" s="1">
        <v>4.4907407407407405E-3</v>
      </c>
      <c r="I2675" t="s">
        <v>18</v>
      </c>
      <c r="J2675" s="2" t="str">
        <f>HYPERLINK("https://www.nba.com/stats/events?CFID=&amp;CFPARAMS=&amp;GameEventID=49&amp;GameID=0021300604&amp;Season=2013-14&amp;flag=1&amp;title=Leonard%202'%20Dunk%20(5%20PTS)%20(Mills%202%20AST)", "Leonard 2' Dunk (5 PTS) (Mills 2 AST)")</f>
        <v>Leonard 2' Dunk (5 PTS) (Mills 2 AST)</v>
      </c>
      <c r="K2675" s="2" t="str">
        <f>HYPERLINK("https://www.nba.com/game/...-vs-...-0021300604/play-by-play?watchFullGame=true", "SAS vs MIL - Q1 06:28.00")</f>
        <v>SAS vs MIL - Q1 06:28.00</v>
      </c>
      <c r="L2675">
        <v>2</v>
      </c>
      <c r="M2675">
        <v>12</v>
      </c>
      <c r="N2675">
        <v>-10</v>
      </c>
      <c r="O2675">
        <v>12</v>
      </c>
      <c r="P2675">
        <v>-10</v>
      </c>
    </row>
    <row r="2676" spans="1:16" x14ac:dyDescent="0.25">
      <c r="A2676">
        <v>21601033</v>
      </c>
      <c r="B2676">
        <v>2016</v>
      </c>
      <c r="C2676" t="s">
        <v>32</v>
      </c>
      <c r="D2676" t="s">
        <v>61</v>
      </c>
      <c r="E2676">
        <v>0</v>
      </c>
      <c r="F2676">
        <v>2</v>
      </c>
      <c r="G2676">
        <v>1</v>
      </c>
      <c r="H2676" s="1">
        <v>7.4999999999999997E-3</v>
      </c>
      <c r="I2676" t="s">
        <v>18</v>
      </c>
      <c r="J2676" s="2" t="str">
        <f>HYPERLINK("https://www.nba.com/stats/events?CFID=&amp;CFPARAMS=&amp;GameEventID=9&amp;GameID=0021601033&amp;Season=2016-17&amp;flag=1&amp;title=Leonard%201'%20Driving%20Finger%20Roll%20Layup%20(2%20PTS)%20(Parker%201%20AST)", "Leonard 1' Driving Finger Roll Layup (2 PTS) (Parker 1 AST)")</f>
        <v>Leonard 1' Driving Finger Roll Layup (2 PTS) (Parker 1 AST)</v>
      </c>
      <c r="K2676" s="2" t="str">
        <f>HYPERLINK("https://www.nba.com/game/...-vs-...-0021601033/play-by-play?watchFullGame=true", "SAS vs MEM - Q1 10:48.00")</f>
        <v>SAS vs MEM - Q1 10:48.00</v>
      </c>
      <c r="L2676">
        <v>1</v>
      </c>
      <c r="M2676">
        <v>12</v>
      </c>
      <c r="N2676">
        <v>-6</v>
      </c>
      <c r="O2676">
        <v>12</v>
      </c>
      <c r="P2676">
        <v>-6</v>
      </c>
    </row>
    <row r="2677" spans="1:16" x14ac:dyDescent="0.25">
      <c r="A2677">
        <v>21600925</v>
      </c>
      <c r="B2677">
        <v>2016</v>
      </c>
      <c r="C2677" t="s">
        <v>32</v>
      </c>
      <c r="D2677" t="s">
        <v>73</v>
      </c>
      <c r="E2677">
        <v>7</v>
      </c>
      <c r="F2677">
        <v>7</v>
      </c>
      <c r="G2677">
        <v>1</v>
      </c>
      <c r="H2677" s="1">
        <v>5.7291666666666663E-3</v>
      </c>
      <c r="I2677" t="s">
        <v>18</v>
      </c>
      <c r="J2677" s="2" t="str">
        <f>HYPERLINK("https://www.nba.com/stats/events?CFID=&amp;CFPARAMS=&amp;GameEventID=32&amp;GameID=0021600925&amp;Season=2016-17&amp;flag=1&amp;title=Leonard%201'%20Running%20Finger%20Roll%20Layup%20(4%20PTS)", "Leonard 1' Running Finger Roll Layup (4 PTS)")</f>
        <v>Leonard 1' Running Finger Roll Layup (4 PTS)</v>
      </c>
      <c r="K2677" s="2" t="str">
        <f>HYPERLINK("https://www.nba.com/game/...-vs-...-0021600925/play-by-play?watchFullGame=true", "SAS vs MIN - Q1 08:15.00")</f>
        <v>SAS vs MIN - Q1 08:15.00</v>
      </c>
      <c r="L2677">
        <v>1</v>
      </c>
      <c r="M2677">
        <v>12</v>
      </c>
      <c r="N2677">
        <v>-5</v>
      </c>
      <c r="O2677">
        <v>12</v>
      </c>
      <c r="P2677">
        <v>-5</v>
      </c>
    </row>
    <row r="2678" spans="1:16" x14ac:dyDescent="0.25">
      <c r="A2678">
        <v>21601135</v>
      </c>
      <c r="B2678">
        <v>2016</v>
      </c>
      <c r="C2678" t="s">
        <v>32</v>
      </c>
      <c r="D2678" t="s">
        <v>49</v>
      </c>
      <c r="E2678">
        <v>71</v>
      </c>
      <c r="F2678">
        <v>63</v>
      </c>
      <c r="G2678">
        <v>3</v>
      </c>
      <c r="H2678" s="1">
        <v>1.724537037037037E-3</v>
      </c>
      <c r="I2678" t="s">
        <v>18</v>
      </c>
      <c r="J2678" s="2" t="str">
        <f>HYPERLINK("https://www.nba.com/stats/events?CFID=&amp;CFPARAMS=&amp;GameEventID=405&amp;GameID=0021601135&amp;Season=2016-17&amp;flag=1&amp;title=Leonard%201'%20Driving%20Layup%20(16%20PTS)", "Leonard 1' Driving Layup (16 PTS)")</f>
        <v>Leonard 1' Driving Layup (16 PTS)</v>
      </c>
      <c r="K2678" s="2" t="str">
        <f>HYPERLINK("https://www.nba.com/game/...-vs-...-0021601135/play-by-play?watchFullGame=true", "SAS vs OKC - Q3 02:29.00")</f>
        <v>SAS vs OKC - Q3 02:29.00</v>
      </c>
      <c r="L2678">
        <v>1</v>
      </c>
      <c r="M2678">
        <v>12</v>
      </c>
      <c r="N2678">
        <v>-5</v>
      </c>
      <c r="O2678">
        <v>12</v>
      </c>
      <c r="P2678">
        <v>-5</v>
      </c>
    </row>
    <row r="2679" spans="1:16" x14ac:dyDescent="0.25">
      <c r="A2679">
        <v>21301174</v>
      </c>
      <c r="B2679">
        <v>2013</v>
      </c>
      <c r="C2679" t="s">
        <v>32</v>
      </c>
      <c r="D2679" t="s">
        <v>49</v>
      </c>
      <c r="E2679">
        <v>38</v>
      </c>
      <c r="F2679">
        <v>37</v>
      </c>
      <c r="G2679">
        <v>2</v>
      </c>
      <c r="H2679" s="1">
        <v>4.3055555555555555E-3</v>
      </c>
      <c r="I2679" t="s">
        <v>18</v>
      </c>
      <c r="J2679" s="2" t="str">
        <f>HYPERLINK("https://www.nba.com/stats/events?CFID=&amp;CFPARAMS=&amp;GameEventID=192&amp;GameID=0021301174&amp;Season=2013-14&amp;flag=1&amp;title=Leonard%201'%20Driving%20Layup%20(10%20PTS)", "Leonard 1' Driving Layup (10 PTS)")</f>
        <v>Leonard 1' Driving Layup (10 PTS)</v>
      </c>
      <c r="K2679" s="2" t="str">
        <f>HYPERLINK("https://www.nba.com/game/...-vs-...-0021301174/play-by-play?watchFullGame=true", "SAS vs DAL - Q2 06:12.00")</f>
        <v>SAS vs DAL - Q2 06:12.00</v>
      </c>
      <c r="L2679">
        <v>1</v>
      </c>
      <c r="M2679">
        <v>12</v>
      </c>
      <c r="N2679">
        <v>-3</v>
      </c>
      <c r="O2679">
        <v>12</v>
      </c>
      <c r="P2679">
        <v>-3</v>
      </c>
    </row>
    <row r="2680" spans="1:16" x14ac:dyDescent="0.25">
      <c r="A2680">
        <v>41500151</v>
      </c>
      <c r="B2680" t="s">
        <v>25</v>
      </c>
      <c r="C2680" t="s">
        <v>32</v>
      </c>
      <c r="D2680" t="s">
        <v>59</v>
      </c>
      <c r="E2680">
        <v>37</v>
      </c>
      <c r="F2680">
        <v>30</v>
      </c>
      <c r="G2680">
        <v>2</v>
      </c>
      <c r="H2680" s="1">
        <v>2.8819444444444444E-3</v>
      </c>
      <c r="I2680" t="s">
        <v>18</v>
      </c>
      <c r="J2680" s="2" t="str">
        <f>HYPERLINK("https://www.nba.com/stats/events?CFID=&amp;CFPARAMS=&amp;GameEventID=196&amp;GameID=0041500151&amp;Season=2015-16&amp;flag=1&amp;title=Leonard%201'%20Putback%20Layup%20(12%20PTS)", "Leonard 1' Putback Layup (12 PTS)")</f>
        <v>Leonard 1' Putback Layup (12 PTS)</v>
      </c>
      <c r="K2680" s="2" t="str">
        <f>HYPERLINK("https://www.nba.com/game/...-vs-...-0041500151/play-by-play?watchFullGame=true", "SAS vs MEM - Q2 04:09.00")</f>
        <v>SAS vs MEM - Q2 04:09.00</v>
      </c>
      <c r="L2680">
        <v>1</v>
      </c>
      <c r="M2680">
        <v>12</v>
      </c>
      <c r="N2680">
        <v>-1</v>
      </c>
      <c r="O2680">
        <v>12</v>
      </c>
      <c r="P2680">
        <v>-1</v>
      </c>
    </row>
    <row r="2681" spans="1:16" x14ac:dyDescent="0.25">
      <c r="A2681">
        <v>21301154</v>
      </c>
      <c r="B2681">
        <v>2013</v>
      </c>
      <c r="C2681" t="s">
        <v>32</v>
      </c>
      <c r="D2681" t="s">
        <v>77</v>
      </c>
      <c r="E2681">
        <v>35</v>
      </c>
      <c r="F2681">
        <v>22</v>
      </c>
      <c r="G2681">
        <v>2</v>
      </c>
      <c r="H2681" s="1">
        <v>5.6828703703703702E-3</v>
      </c>
      <c r="I2681" t="s">
        <v>18</v>
      </c>
      <c r="J2681" s="2" t="str">
        <f>HYPERLINK("https://www.nba.com/stats/events?CFID=&amp;CFPARAMS=&amp;GameEventID=160&amp;GameID=0021301154&amp;Season=2013-14&amp;flag=1&amp;title=Leonard%201'%20Finger%20Roll%20Layup%20(8%20PTS)%20(Mills%201%20AST)", "Leonard 1' Finger Roll Layup (8 PTS) (Mills 1 AST)")</f>
        <v>Leonard 1' Finger Roll Layup (8 PTS) (Mills 1 AST)</v>
      </c>
      <c r="K2681" s="2" t="str">
        <f>HYPERLINK("https://www.nba.com/game/...-vs-...-0021301154/play-by-play?watchFullGame=true", "SAS vs MEM - Q2 08:11.00")</f>
        <v>SAS vs MEM - Q2 08:11.00</v>
      </c>
      <c r="L2681">
        <v>1</v>
      </c>
      <c r="M2681">
        <v>12</v>
      </c>
      <c r="N2681">
        <v>0</v>
      </c>
      <c r="O2681">
        <v>12</v>
      </c>
      <c r="P2681">
        <v>0</v>
      </c>
    </row>
    <row r="2682" spans="1:16" x14ac:dyDescent="0.25">
      <c r="A2682">
        <v>21301084</v>
      </c>
      <c r="B2682">
        <v>2013</v>
      </c>
      <c r="C2682" t="s">
        <v>32</v>
      </c>
      <c r="D2682" t="s">
        <v>57</v>
      </c>
      <c r="E2682">
        <v>38</v>
      </c>
      <c r="F2682">
        <v>55</v>
      </c>
      <c r="G2682">
        <v>2</v>
      </c>
      <c r="H2682" s="1">
        <v>1.5972222222222223E-3</v>
      </c>
      <c r="I2682" t="s">
        <v>18</v>
      </c>
      <c r="J2682" s="2" t="str">
        <f>HYPERLINK("https://www.nba.com/stats/events?CFID=&amp;CFPARAMS=&amp;GameEventID=227&amp;GameID=0021301084&amp;Season=2013-14&amp;flag=1&amp;title=Leonard%201'%20Layup%20(9%20PTS)", "Leonard 1' Layup (9 PTS)")</f>
        <v>Leonard 1' Layup (9 PTS)</v>
      </c>
      <c r="K2682" s="2" t="str">
        <f>HYPERLINK("https://www.nba.com/game/...-vs-...-0021301084/play-by-play?watchFullGame=true", "SAS vs DEN - Q2 02:18.00")</f>
        <v>SAS vs DEN - Q2 02:18.00</v>
      </c>
      <c r="L2682">
        <v>1</v>
      </c>
      <c r="M2682">
        <v>12</v>
      </c>
      <c r="N2682">
        <v>0</v>
      </c>
      <c r="O2682">
        <v>12</v>
      </c>
      <c r="P2682">
        <v>0</v>
      </c>
    </row>
    <row r="2683" spans="1:16" x14ac:dyDescent="0.25">
      <c r="A2683">
        <v>21300039</v>
      </c>
      <c r="B2683">
        <v>2013</v>
      </c>
      <c r="C2683" t="s">
        <v>32</v>
      </c>
      <c r="D2683" t="s">
        <v>49</v>
      </c>
      <c r="E2683">
        <v>58</v>
      </c>
      <c r="F2683">
        <v>49</v>
      </c>
      <c r="G2683">
        <v>3</v>
      </c>
      <c r="H2683" s="1">
        <v>5.7175925925925927E-3</v>
      </c>
      <c r="I2683" t="s">
        <v>18</v>
      </c>
      <c r="J2683" s="2" t="str">
        <f>HYPERLINK("https://www.nba.com/stats/events?CFID=&amp;CFPARAMS=&amp;GameEventID=265&amp;GameID=0021300039&amp;Season=2013-14&amp;flag=1&amp;title=Leonard%201'%20Driving%20Layup%20(6%20PTS)", "Leonard 1' Driving Layup (6 PTS)")</f>
        <v>Leonard 1' Driving Layup (6 PTS)</v>
      </c>
      <c r="K2683" s="2" t="str">
        <f>HYPERLINK("https://www.nba.com/game/...-vs-...-0021300039/play-by-play?watchFullGame=true", "SAS vs POR - Q3 08:14.00")</f>
        <v>SAS vs POR - Q3 08:14.00</v>
      </c>
      <c r="L2683">
        <v>1</v>
      </c>
      <c r="M2683">
        <v>12</v>
      </c>
      <c r="N2683">
        <v>1</v>
      </c>
      <c r="O2683">
        <v>12</v>
      </c>
      <c r="P2683">
        <v>1</v>
      </c>
    </row>
    <row r="2684" spans="1:16" x14ac:dyDescent="0.25">
      <c r="A2684">
        <v>21501140</v>
      </c>
      <c r="B2684">
        <v>2015</v>
      </c>
      <c r="C2684" t="s">
        <v>32</v>
      </c>
      <c r="D2684" t="s">
        <v>61</v>
      </c>
      <c r="E2684">
        <v>65</v>
      </c>
      <c r="F2684">
        <v>55</v>
      </c>
      <c r="G2684">
        <v>3</v>
      </c>
      <c r="H2684" s="1">
        <v>3.5879629629629629E-3</v>
      </c>
      <c r="I2684" t="s">
        <v>18</v>
      </c>
      <c r="J2684" s="2" t="str">
        <f>HYPERLINK("https://www.nba.com/stats/events?CFID=&amp;CFPARAMS=&amp;GameEventID=292&amp;GameID=0021501140&amp;Season=2015-16&amp;flag=1&amp;title=Leonard%201'%20Driving%20Finger%20Roll%20Layup%20(19%20PTS)%20(Aldridge%201%20AST)", "Leonard 1' Driving Finger Roll Layup (19 PTS) (Aldridge 1 AST)")</f>
        <v>Leonard 1' Driving Finger Roll Layup (19 PTS) (Aldridge 1 AST)</v>
      </c>
      <c r="K2684" s="2" t="str">
        <f>HYPERLINK("https://www.nba.com/game/...-vs-...-0021501140/play-by-play?watchFullGame=true", "SAS vs TOR - Q3 05:10.00")</f>
        <v>SAS vs TOR - Q3 05:10.00</v>
      </c>
      <c r="L2684">
        <v>1</v>
      </c>
      <c r="M2684">
        <v>12</v>
      </c>
      <c r="N2684">
        <v>2</v>
      </c>
      <c r="O2684">
        <v>12</v>
      </c>
      <c r="P2684">
        <v>2</v>
      </c>
    </row>
    <row r="2685" spans="1:16" x14ac:dyDescent="0.25">
      <c r="A2685">
        <v>41600151</v>
      </c>
      <c r="B2685" t="s">
        <v>30</v>
      </c>
      <c r="C2685" t="s">
        <v>32</v>
      </c>
      <c r="D2685" t="s">
        <v>61</v>
      </c>
      <c r="E2685">
        <v>7</v>
      </c>
      <c r="F2685">
        <v>12</v>
      </c>
      <c r="G2685">
        <v>1</v>
      </c>
      <c r="H2685" s="1">
        <v>5.7060185185185183E-3</v>
      </c>
      <c r="I2685" t="s">
        <v>18</v>
      </c>
      <c r="J2685" s="2" t="str">
        <f>HYPERLINK("https://www.nba.com/stats/events?CFID=&amp;CFPARAMS=&amp;GameEventID=22&amp;GameID=0041600151&amp;Season=2016-17&amp;flag=1&amp;title=Leonard%201'%20Driving%20Finger%20Roll%20Layup%20(5%20PTS)", "Leonard 1' Driving Finger Roll Layup (5 PTS)")</f>
        <v>Leonard 1' Driving Finger Roll Layup (5 PTS)</v>
      </c>
      <c r="K2685" s="2" t="str">
        <f>HYPERLINK("https://www.nba.com/game/...-vs-...-0041600151/play-by-play?watchFullGame=true", "SAS vs MEM - Q1 08:13.00")</f>
        <v>SAS vs MEM - Q1 08:13.00</v>
      </c>
      <c r="L2685">
        <v>1</v>
      </c>
      <c r="M2685">
        <v>12</v>
      </c>
      <c r="N2685">
        <v>3</v>
      </c>
      <c r="O2685">
        <v>12</v>
      </c>
      <c r="P2685">
        <v>3</v>
      </c>
    </row>
    <row r="2686" spans="1:16" x14ac:dyDescent="0.25">
      <c r="A2686">
        <v>21300013</v>
      </c>
      <c r="B2686">
        <v>2013</v>
      </c>
      <c r="C2686" t="s">
        <v>32</v>
      </c>
      <c r="D2686" t="s">
        <v>57</v>
      </c>
      <c r="E2686">
        <v>13</v>
      </c>
      <c r="F2686">
        <v>16</v>
      </c>
      <c r="G2686">
        <v>1</v>
      </c>
      <c r="H2686" s="1">
        <v>2.5231481481481481E-3</v>
      </c>
      <c r="I2686" t="s">
        <v>18</v>
      </c>
      <c r="J2686" s="2" t="str">
        <f>HYPERLINK("https://www.nba.com/stats/events?CFID=&amp;CFPARAMS=&amp;GameEventID=67&amp;GameID=0021300013&amp;Season=2013-14&amp;flag=1&amp;title=Leonard%201'%20Layup%20(5%20PTS)", "Leonard 1' Layup (5 PTS)")</f>
        <v>Leonard 1' Layup (5 PTS)</v>
      </c>
      <c r="K2686" s="2" t="str">
        <f>HYPERLINK("https://www.nba.com/game/...-vs-...-0021300013/play-by-play?watchFullGame=true", "SAS vs MEM - Q1 03:38.00")</f>
        <v>SAS vs MEM - Q1 03:38.00</v>
      </c>
      <c r="L2686">
        <v>1</v>
      </c>
      <c r="M2686">
        <v>12</v>
      </c>
      <c r="N2686">
        <v>3</v>
      </c>
      <c r="O2686">
        <v>12</v>
      </c>
      <c r="P2686">
        <v>3</v>
      </c>
    </row>
    <row r="2687" spans="1:16" x14ac:dyDescent="0.25">
      <c r="A2687">
        <v>21400159</v>
      </c>
      <c r="B2687">
        <v>2014</v>
      </c>
      <c r="C2687" t="s">
        <v>32</v>
      </c>
      <c r="D2687" t="s">
        <v>57</v>
      </c>
      <c r="E2687">
        <v>47</v>
      </c>
      <c r="F2687">
        <v>38</v>
      </c>
      <c r="G2687">
        <v>2</v>
      </c>
      <c r="H2687" s="1">
        <v>9.837962962962962E-4</v>
      </c>
      <c r="I2687" t="s">
        <v>18</v>
      </c>
      <c r="J2687" s="2" t="str">
        <f>HYPERLINK("https://www.nba.com/stats/events?CFID=&amp;CFPARAMS=&amp;GameEventID=231&amp;GameID=0021400159&amp;Season=2014-15&amp;flag=1&amp;title=Leonard%201'%20Layup%20(5%20PTS)", "Leonard 1' Layup (5 PTS)")</f>
        <v>Leonard 1' Layup (5 PTS)</v>
      </c>
      <c r="K2687" s="2" t="str">
        <f>HYPERLINK("https://www.nba.com/game/...-vs-...-0021400159/play-by-play?watchFullGame=true", "SAS vs CLE - Q2 01:25.00")</f>
        <v>SAS vs CLE - Q2 01:25.00</v>
      </c>
      <c r="L2687">
        <v>1</v>
      </c>
      <c r="M2687">
        <v>12</v>
      </c>
      <c r="N2687">
        <v>3</v>
      </c>
      <c r="O2687">
        <v>12</v>
      </c>
      <c r="P2687">
        <v>3</v>
      </c>
    </row>
    <row r="2688" spans="1:16" x14ac:dyDescent="0.25">
      <c r="A2688">
        <v>21900653</v>
      </c>
      <c r="B2688">
        <v>2019</v>
      </c>
      <c r="C2688" t="s">
        <v>32</v>
      </c>
      <c r="D2688" t="s">
        <v>50</v>
      </c>
      <c r="E2688">
        <v>45</v>
      </c>
      <c r="F2688">
        <v>57</v>
      </c>
      <c r="G2688">
        <v>2</v>
      </c>
      <c r="H2688" s="1">
        <v>5.6481481481481476E-4</v>
      </c>
      <c r="I2688" t="s">
        <v>23</v>
      </c>
      <c r="J2688" s="2" t="str">
        <f>HYPERLINK("https://www.nba.com/stats/events?CFID=&amp;CFPARAMS=&amp;GameEventID=345&amp;GameID=0021900653&amp;Season=2019-20&amp;flag=1&amp;title=Leonard%20layup%20(13%20PTS)%20(I.%20Zubac%201%20AST)", "Layup (13 PTS) (I. Zubac 1 AST)")</f>
        <v>Layup (13 PTS) (I. Zubac 1 AST)</v>
      </c>
      <c r="K2688" s="2" t="str">
        <f>HYPERLINK("https://www.nba.com/game/...-vs-...-0021900653/play-by-play?watchFullGame=true", "LAC vs DAL - Q2 00:48.80")</f>
        <v>LAC vs DAL - Q2 00:48.80</v>
      </c>
      <c r="L2688">
        <v>1.52</v>
      </c>
      <c r="M2688">
        <v>6</v>
      </c>
      <c r="N2688">
        <v>47.62</v>
      </c>
      <c r="O2688">
        <v>12</v>
      </c>
      <c r="P2688">
        <v>4</v>
      </c>
    </row>
    <row r="2689" spans="1:16" x14ac:dyDescent="0.25">
      <c r="A2689">
        <v>21401110</v>
      </c>
      <c r="B2689">
        <v>2014</v>
      </c>
      <c r="C2689" t="s">
        <v>32</v>
      </c>
      <c r="D2689" t="s">
        <v>49</v>
      </c>
      <c r="E2689">
        <v>0</v>
      </c>
      <c r="F2689">
        <v>6</v>
      </c>
      <c r="G2689">
        <v>1</v>
      </c>
      <c r="H2689" s="1">
        <v>6.6319444444444446E-3</v>
      </c>
      <c r="I2689" t="s">
        <v>18</v>
      </c>
      <c r="J2689" s="2" t="str">
        <f>HYPERLINK("https://www.nba.com/stats/events?CFID=&amp;CFPARAMS=&amp;GameEventID=18&amp;GameID=0021401110&amp;Season=2014-15&amp;flag=1&amp;title=Leonard%201'%20Driving%20Layup%20(2%20PTS)%20(Duncan%201%20AST)", "Leonard 1' Driving Layup (2 PTS) (Duncan 1 AST)")</f>
        <v>Leonard 1' Driving Layup (2 PTS) (Duncan 1 AST)</v>
      </c>
      <c r="K2689" s="2" t="str">
        <f>HYPERLINK("https://www.nba.com/game/...-vs-...-0021401110/play-by-play?watchFullGame=true", "SAS vs MIA - Q1 09:33.00")</f>
        <v>SAS vs MIA - Q1 09:33.00</v>
      </c>
      <c r="L2689">
        <v>1</v>
      </c>
      <c r="M2689">
        <v>12</v>
      </c>
      <c r="N2689">
        <v>4</v>
      </c>
      <c r="O2689">
        <v>12</v>
      </c>
      <c r="P2689">
        <v>4</v>
      </c>
    </row>
    <row r="2690" spans="1:16" x14ac:dyDescent="0.25">
      <c r="A2690">
        <v>22300372</v>
      </c>
      <c r="B2690">
        <v>2023</v>
      </c>
      <c r="C2690" t="s">
        <v>32</v>
      </c>
      <c r="D2690" t="s">
        <v>48</v>
      </c>
      <c r="E2690">
        <v>110</v>
      </c>
      <c r="F2690">
        <v>116</v>
      </c>
      <c r="G2690">
        <v>4</v>
      </c>
      <c r="H2690" s="1">
        <v>1.238425925925926E-3</v>
      </c>
      <c r="I2690" t="s">
        <v>23</v>
      </c>
      <c r="J2690" s="2" t="str">
        <f>HYPERLINK("https://www.nba.com/stats/events?CFID=&amp;CFPARAMS=&amp;GameEventID=588&amp;GameID=0022300372&amp;Season=2023-24&amp;flag=1&amp;title=Leonard%20driving%20DUNK%20(26%20PTS)", "Driving DUNK (26 PTS)")</f>
        <v>Driving DUNK (26 PTS)</v>
      </c>
      <c r="K2690" s="2" t="str">
        <f>HYPERLINK("https://www.nba.com/game/...-vs-...-0022300372/play-by-play?watchFullGame=true", "LAC vs DAL - Q4 01:47.00")</f>
        <v>LAC vs DAL - Q4 01:47.00</v>
      </c>
      <c r="L2690">
        <v>1.38</v>
      </c>
      <c r="M2690">
        <v>6.26</v>
      </c>
      <c r="N2690">
        <v>47.55</v>
      </c>
      <c r="O2690">
        <v>12</v>
      </c>
      <c r="P2690">
        <v>6</v>
      </c>
    </row>
    <row r="2691" spans="1:16" x14ac:dyDescent="0.25">
      <c r="A2691">
        <v>41200402</v>
      </c>
      <c r="B2691" t="s">
        <v>27</v>
      </c>
      <c r="C2691" t="s">
        <v>32</v>
      </c>
      <c r="D2691" t="s">
        <v>57</v>
      </c>
      <c r="E2691">
        <v>54</v>
      </c>
      <c r="F2691">
        <v>48</v>
      </c>
      <c r="G2691">
        <v>3</v>
      </c>
      <c r="H2691" s="1">
        <v>6.053240740740741E-3</v>
      </c>
      <c r="I2691" t="s">
        <v>18</v>
      </c>
      <c r="J2691" s="2" t="str">
        <f>HYPERLINK("https://www.nba.com/stats/events?CFID=&amp;CFPARAMS=&amp;GameEventID=256&amp;GameID=0041200402&amp;Season=2012-13&amp;flag=1&amp;title=Leonard%201'%20Layup%20(4%20PTS)", "Leonard 1' Layup (4 PTS)")</f>
        <v>Leonard 1' Layup (4 PTS)</v>
      </c>
      <c r="K2691" s="2" t="str">
        <f>HYPERLINK("https://www.nba.com/game/...-vs-...-0041200402/play-by-play?watchFullGame=true", "SAS vs MIA - Q3 08:43.00")</f>
        <v>SAS vs MIA - Q3 08:43.00</v>
      </c>
      <c r="L2691">
        <v>1</v>
      </c>
      <c r="M2691">
        <v>12</v>
      </c>
      <c r="N2691">
        <v>6</v>
      </c>
      <c r="O2691">
        <v>12</v>
      </c>
      <c r="P2691">
        <v>6</v>
      </c>
    </row>
    <row r="2692" spans="1:16" x14ac:dyDescent="0.25">
      <c r="A2692">
        <v>22000457</v>
      </c>
      <c r="B2692">
        <v>2020</v>
      </c>
      <c r="C2692" t="s">
        <v>32</v>
      </c>
      <c r="D2692" t="s">
        <v>47</v>
      </c>
      <c r="E2692">
        <v>49</v>
      </c>
      <c r="F2692">
        <v>38</v>
      </c>
      <c r="G2692">
        <v>2</v>
      </c>
      <c r="H2692" s="1">
        <v>3.0902777777777777E-3</v>
      </c>
      <c r="I2692" t="s">
        <v>23</v>
      </c>
      <c r="J2692" s="2" t="str">
        <f>HYPERLINK("https://www.nba.com/stats/events?CFID=&amp;CFPARAMS=&amp;GameEventID=255&amp;GameID=0022000457&amp;Season=2020-21&amp;flag=1&amp;title=Leonard%20driving%20Layup%20(8%20PTS)%20(L.%20Williams%201%20AST)", "Driving Layup (8 PTS) (L. Williams 1 AST)")</f>
        <v>Driving Layup (8 PTS) (L. Williams 1 AST)</v>
      </c>
      <c r="K2692" s="2" t="str">
        <f>HYPERLINK("https://www.nba.com/game/...-vs-...-0022000457/play-by-play?watchFullGame=true", "LAC vs UTA - Q2 04:27.00")</f>
        <v>LAC vs UTA - Q2 04:27.00</v>
      </c>
      <c r="L2692">
        <v>1.35</v>
      </c>
      <c r="M2692">
        <v>6.26</v>
      </c>
      <c r="N2692">
        <v>47.62</v>
      </c>
      <c r="O2692">
        <v>12</v>
      </c>
      <c r="P2692">
        <v>6</v>
      </c>
    </row>
    <row r="2693" spans="1:16" x14ac:dyDescent="0.25">
      <c r="A2693">
        <v>22300553</v>
      </c>
      <c r="B2693">
        <v>2023</v>
      </c>
      <c r="C2693" t="s">
        <v>32</v>
      </c>
      <c r="D2693" t="s">
        <v>48</v>
      </c>
      <c r="E2693">
        <v>61</v>
      </c>
      <c r="F2693">
        <v>56</v>
      </c>
      <c r="G2693">
        <v>3</v>
      </c>
      <c r="H2693" s="1">
        <v>4.8958333333333336E-3</v>
      </c>
      <c r="I2693" t="s">
        <v>23</v>
      </c>
      <c r="J2693" s="2" t="str">
        <f>HYPERLINK("https://www.nba.com/stats/events?CFID=&amp;CFPARAMS=&amp;GameEventID=345&amp;GameID=0022300553&amp;Season=2023-24&amp;flag=1&amp;title=Leonard%20running%20DUNK%20(18%20PTS)", "Running DUNK (18 PTS)")</f>
        <v>Running DUNK (18 PTS)</v>
      </c>
      <c r="K2693" s="2" t="str">
        <f>HYPERLINK("https://www.nba.com/game/...-vs-...-0022300553/play-by-play?watchFullGame=true", "LAC vs MIN - Q3 07:03.00")</f>
        <v>LAC vs MIN - Q3 07:03.00</v>
      </c>
      <c r="L2693">
        <v>1.5</v>
      </c>
      <c r="M2693">
        <v>93.51</v>
      </c>
      <c r="N2693">
        <v>52.45</v>
      </c>
      <c r="O2693">
        <v>12</v>
      </c>
      <c r="P2693">
        <v>8</v>
      </c>
    </row>
    <row r="2694" spans="1:16" x14ac:dyDescent="0.25">
      <c r="A2694">
        <v>41800212</v>
      </c>
      <c r="B2694" t="s">
        <v>20</v>
      </c>
      <c r="C2694" t="s">
        <v>32</v>
      </c>
      <c r="D2694" t="s">
        <v>61</v>
      </c>
      <c r="E2694">
        <v>14</v>
      </c>
      <c r="F2694">
        <v>19</v>
      </c>
      <c r="G2694">
        <v>1</v>
      </c>
      <c r="H2694" s="1">
        <v>1.4814814814814814E-3</v>
      </c>
      <c r="I2694" t="s">
        <v>21</v>
      </c>
      <c r="J2694" s="2" t="str">
        <f>HYPERLINK("https://www.nba.com/stats/events?CFID=&amp;CFPARAMS=&amp;GameEventID=124&amp;GameID=0041800212&amp;Season=2018-19&amp;flag=1&amp;title=Leonard%202'%20Driving%20Finger%20Roll%20Layup%20(4%20PTS)", "Leonard 2' Driving Finger Roll Layup (4 PTS)")</f>
        <v>Leonard 2' Driving Finger Roll Layup (4 PTS)</v>
      </c>
      <c r="K2694" s="2" t="str">
        <f>HYPERLINK("https://www.nba.com/game/...-vs-...-0041800212/play-by-play?watchFullGame=true", "TOR vs PHI - Q1 02:08.00")</f>
        <v>TOR vs PHI - Q1 02:08.00</v>
      </c>
      <c r="L2694">
        <v>2</v>
      </c>
      <c r="M2694">
        <v>12</v>
      </c>
      <c r="N2694">
        <v>10</v>
      </c>
      <c r="O2694">
        <v>12</v>
      </c>
      <c r="P2694">
        <v>10</v>
      </c>
    </row>
    <row r="2695" spans="1:16" x14ac:dyDescent="0.25">
      <c r="A2695">
        <v>21400986</v>
      </c>
      <c r="B2695">
        <v>2014</v>
      </c>
      <c r="C2695" t="s">
        <v>32</v>
      </c>
      <c r="D2695" t="s">
        <v>57</v>
      </c>
      <c r="E2695">
        <v>62</v>
      </c>
      <c r="F2695">
        <v>50</v>
      </c>
      <c r="G2695">
        <v>3</v>
      </c>
      <c r="H2695" s="1">
        <v>8.1481481481481474E-3</v>
      </c>
      <c r="I2695" t="s">
        <v>18</v>
      </c>
      <c r="J2695" s="2" t="str">
        <f>HYPERLINK("https://www.nba.com/stats/events?CFID=&amp;CFPARAMS=&amp;GameEventID=245&amp;GameID=0021400986&amp;Season=2014-15&amp;flag=1&amp;title=Leonard%202'%20Layup%20(10%20PTS)%20(Parker%203%20AST)", "Leonard 2' Layup (10 PTS) (Parker 3 AST)")</f>
        <v>Leonard 2' Layup (10 PTS) (Parker 3 AST)</v>
      </c>
      <c r="K2695" s="2" t="str">
        <f>HYPERLINK("https://www.nba.com/game/...-vs-...-0021400986/play-by-play?watchFullGame=true", "SAS vs MIN - Q3 11:44.00")</f>
        <v>SAS vs MIN - Q3 11:44.00</v>
      </c>
      <c r="L2695">
        <v>2</v>
      </c>
      <c r="M2695">
        <v>12</v>
      </c>
      <c r="N2695">
        <v>11</v>
      </c>
      <c r="O2695">
        <v>12</v>
      </c>
      <c r="P2695">
        <v>11</v>
      </c>
    </row>
    <row r="2696" spans="1:16" x14ac:dyDescent="0.25">
      <c r="A2696">
        <v>21600925</v>
      </c>
      <c r="B2696">
        <v>2016</v>
      </c>
      <c r="C2696" t="s">
        <v>32</v>
      </c>
      <c r="D2696" t="s">
        <v>57</v>
      </c>
      <c r="E2696">
        <v>83</v>
      </c>
      <c r="F2696">
        <v>81</v>
      </c>
      <c r="G2696">
        <v>4</v>
      </c>
      <c r="H2696" s="1">
        <v>8.4490740740740739E-4</v>
      </c>
      <c r="I2696" t="s">
        <v>18</v>
      </c>
      <c r="J2696" s="2" t="str">
        <f>HYPERLINK("https://www.nba.com/stats/events?CFID=&amp;CFPARAMS=&amp;GameEventID=514&amp;GameID=0021600925&amp;Season=2016-17&amp;flag=1&amp;title=Leonard%202'%20Layup%20(28%20PTS)", "Leonard 2' Layup (28 PTS)")</f>
        <v>Leonard 2' Layup (28 PTS)</v>
      </c>
      <c r="K2696" s="2" t="str">
        <f>HYPERLINK("https://www.nba.com/game/...-vs-...-0021600925/play-by-play?watchFullGame=true", "SAS vs MIN - Q4 01:13.00")</f>
        <v>SAS vs MIN - Q4 01:13.00</v>
      </c>
      <c r="L2696">
        <v>2</v>
      </c>
      <c r="M2696">
        <v>12</v>
      </c>
      <c r="N2696">
        <v>11</v>
      </c>
      <c r="O2696">
        <v>12</v>
      </c>
      <c r="P2696">
        <v>11</v>
      </c>
    </row>
    <row r="2697" spans="1:16" x14ac:dyDescent="0.25">
      <c r="A2697">
        <v>41600154</v>
      </c>
      <c r="B2697" t="s">
        <v>30</v>
      </c>
      <c r="C2697" t="s">
        <v>32</v>
      </c>
      <c r="D2697" t="s">
        <v>51</v>
      </c>
      <c r="E2697">
        <v>66</v>
      </c>
      <c r="F2697">
        <v>66</v>
      </c>
      <c r="G2697">
        <v>3</v>
      </c>
      <c r="H2697" s="1">
        <v>1.9907407407407408E-3</v>
      </c>
      <c r="I2697" t="s">
        <v>18</v>
      </c>
      <c r="J2697" s="2" t="str">
        <f>HYPERLINK("https://www.nba.com/stats/events?CFID=&amp;CFPARAMS=&amp;GameEventID=338&amp;GameID=0041600154&amp;Season=2016-17&amp;flag=1&amp;title=Leonard%202'%20Reverse%20Layup%20(19%20PTS)", "Leonard 2' Reverse Layup (19 PTS)")</f>
        <v>Leonard 2' Reverse Layup (19 PTS)</v>
      </c>
      <c r="K2697" s="2" t="str">
        <f>HYPERLINK("https://www.nba.com/game/...-vs-...-0041600154/play-by-play?watchFullGame=true", "SAS vs MEM - Q3 02:52.00")</f>
        <v>SAS vs MEM - Q3 02:52.00</v>
      </c>
      <c r="L2697">
        <v>2</v>
      </c>
      <c r="M2697">
        <v>12</v>
      </c>
      <c r="N2697">
        <v>11</v>
      </c>
      <c r="O2697">
        <v>12</v>
      </c>
      <c r="P2697">
        <v>11</v>
      </c>
    </row>
    <row r="2698" spans="1:16" x14ac:dyDescent="0.25">
      <c r="A2698">
        <v>22301052</v>
      </c>
      <c r="B2698">
        <v>2023</v>
      </c>
      <c r="C2698" t="s">
        <v>32</v>
      </c>
      <c r="D2698" t="s">
        <v>47</v>
      </c>
      <c r="E2698">
        <v>104</v>
      </c>
      <c r="F2698">
        <v>104</v>
      </c>
      <c r="G2698">
        <v>4</v>
      </c>
      <c r="H2698" s="1">
        <v>5.0925925925925921E-4</v>
      </c>
      <c r="I2698" t="s">
        <v>23</v>
      </c>
      <c r="J2698" s="2" t="str">
        <f>HYPERLINK("https://www.nba.com/stats/events?CFID=&amp;CFPARAMS=&amp;GameEventID=591&amp;GameID=0022301052&amp;Season=2023-24&amp;flag=1&amp;title=Leonard%20cutting%20Layup%20(13%20PTS)%20(A.%20Coffey%202%20AST)", "Cutting Layup (13 PTS) (A. Coffey 2 AST)")</f>
        <v>Cutting Layup (13 PTS) (A. Coffey 2 AST)</v>
      </c>
      <c r="K2698" s="2" t="str">
        <f>HYPERLINK("https://www.nba.com/game/...-vs-...-0022301052/play-by-play?watchFullGame=true", "LAC vs PHI - Q4 00:44.00")</f>
        <v>LAC vs PHI - Q4 00:44.00</v>
      </c>
      <c r="L2698">
        <v>1.73</v>
      </c>
      <c r="M2698">
        <v>6.88</v>
      </c>
      <c r="N2698">
        <v>47.55</v>
      </c>
      <c r="O2698">
        <v>12</v>
      </c>
      <c r="P2698">
        <v>12</v>
      </c>
    </row>
    <row r="2699" spans="1:16" x14ac:dyDescent="0.25">
      <c r="A2699">
        <v>22200043</v>
      </c>
      <c r="B2699">
        <v>2022</v>
      </c>
      <c r="C2699" t="s">
        <v>32</v>
      </c>
      <c r="D2699" t="s">
        <v>47</v>
      </c>
      <c r="E2699">
        <v>37</v>
      </c>
      <c r="F2699">
        <v>54</v>
      </c>
      <c r="G2699">
        <v>2</v>
      </c>
      <c r="H2699" s="1">
        <v>9.2592592592592596E-4</v>
      </c>
      <c r="I2699" t="s">
        <v>23</v>
      </c>
      <c r="J2699" s="2" t="str">
        <f>HYPERLINK("https://www.nba.com/stats/events?CFID=&amp;CFPARAMS=&amp;GameEventID=291&amp;GameID=0022200043&amp;Season=2022-23&amp;flag=1&amp;title=Leonard%20driving%20Layup%20(5%20PTS)%20(M.%20Morris%20Sr.%201%20AST)", "Driving Layup (5 PTS) (M. Morris Sr. 1 AST)")</f>
        <v>Driving Layup (5 PTS) (M. Morris Sr. 1 AST)</v>
      </c>
      <c r="K2699" s="2" t="str">
        <f>HYPERLINK("https://www.nba.com/game/...-vs-...-0022200043/play-by-play?watchFullGame=true", "LAC vs PHX - Q2 01:20.00")</f>
        <v>LAC vs PHX - Q2 01:20.00</v>
      </c>
      <c r="L2699">
        <v>1.73</v>
      </c>
      <c r="M2699">
        <v>6.88</v>
      </c>
      <c r="N2699">
        <v>47.55</v>
      </c>
      <c r="O2699">
        <v>12</v>
      </c>
      <c r="P2699">
        <v>12</v>
      </c>
    </row>
    <row r="2700" spans="1:16" x14ac:dyDescent="0.25">
      <c r="A2700">
        <v>22000736</v>
      </c>
      <c r="B2700">
        <v>2020</v>
      </c>
      <c r="C2700" t="s">
        <v>32</v>
      </c>
      <c r="D2700" t="s">
        <v>47</v>
      </c>
      <c r="E2700">
        <v>90</v>
      </c>
      <c r="F2700">
        <v>98</v>
      </c>
      <c r="G2700">
        <v>4</v>
      </c>
      <c r="H2700" s="1">
        <v>9.837962962962962E-4</v>
      </c>
      <c r="I2700" t="s">
        <v>23</v>
      </c>
      <c r="J2700" s="2" t="str">
        <f>HYPERLINK("https://www.nba.com/stats/events?CFID=&amp;CFPARAMS=&amp;GameEventID=569&amp;GameID=0022000736&amp;Season=2020-21&amp;flag=1&amp;title=Leonard%20driving%20Layup%20(22%20PTS)", "Driving Layup (22 PTS)")</f>
        <v>Driving Layup (22 PTS)</v>
      </c>
      <c r="K2700" s="2" t="str">
        <f>HYPERLINK("https://www.nba.com/game/...-vs-...-0022000736/play-by-play?watchFullGame=true", "LAC vs DEN - Q4 01:25.00")</f>
        <v>LAC vs DEN - Q4 01:25.00</v>
      </c>
      <c r="L2700">
        <v>1.91</v>
      </c>
      <c r="M2700">
        <v>7.18</v>
      </c>
      <c r="N2700">
        <v>47.62</v>
      </c>
      <c r="O2700">
        <v>12</v>
      </c>
      <c r="P2700">
        <v>15</v>
      </c>
    </row>
    <row r="2701" spans="1:16" x14ac:dyDescent="0.25">
      <c r="A2701">
        <v>21500784</v>
      </c>
      <c r="B2701">
        <v>2015</v>
      </c>
      <c r="C2701" t="s">
        <v>32</v>
      </c>
      <c r="D2701" t="s">
        <v>57</v>
      </c>
      <c r="E2701">
        <v>45</v>
      </c>
      <c r="F2701">
        <v>48</v>
      </c>
      <c r="G2701">
        <v>2</v>
      </c>
      <c r="H2701" s="1">
        <v>1.3194444444444445E-3</v>
      </c>
      <c r="I2701" t="s">
        <v>18</v>
      </c>
      <c r="J2701" s="2" t="str">
        <f>HYPERLINK("https://www.nba.com/stats/events?CFID=&amp;CFPARAMS=&amp;GameEventID=229&amp;GameID=0021500784&amp;Season=2015-16&amp;flag=1&amp;title=Leonard%202'%20Layup%20(8%20PTS)", "Leonard 2' Layup (8 PTS)")</f>
        <v>Leonard 2' Layup (8 PTS)</v>
      </c>
      <c r="K2701" s="2" t="str">
        <f>HYPERLINK("https://www.nba.com/game/...-vs-...-0021500784/play-by-play?watchFullGame=true", "SAS vs MIA - Q2 01:54.00")</f>
        <v>SAS vs MIA - Q2 01:54.00</v>
      </c>
      <c r="L2701">
        <v>2</v>
      </c>
      <c r="M2701">
        <v>12</v>
      </c>
      <c r="N2701">
        <v>16</v>
      </c>
      <c r="O2701">
        <v>12</v>
      </c>
      <c r="P2701">
        <v>16</v>
      </c>
    </row>
    <row r="2702" spans="1:16" x14ac:dyDescent="0.25">
      <c r="A2702">
        <v>41800305</v>
      </c>
      <c r="B2702" t="s">
        <v>20</v>
      </c>
      <c r="C2702" t="s">
        <v>32</v>
      </c>
      <c r="D2702" t="s">
        <v>63</v>
      </c>
      <c r="E2702">
        <v>34</v>
      </c>
      <c r="F2702">
        <v>34</v>
      </c>
      <c r="G2702">
        <v>2</v>
      </c>
      <c r="H2702" s="1">
        <v>3.8888888888888888E-3</v>
      </c>
      <c r="I2702" t="s">
        <v>21</v>
      </c>
      <c r="J2702" s="2" t="str">
        <f>HYPERLINK("https://www.nba.com/stats/events?CFID=&amp;CFPARAMS=&amp;GameEventID=254&amp;GameID=0041800305&amp;Season=2018-19&amp;flag=1&amp;title=Leonard%202'%20Running%20Dunk%20(11%20PTS)%20(Siakam%201%20AST)", "Leonard 2' Running Dunk (11 PTS) (Siakam 1 AST)")</f>
        <v>Leonard 2' Running Dunk (11 PTS) (Siakam 1 AST)</v>
      </c>
      <c r="K2702" s="2" t="str">
        <f>HYPERLINK("https://www.nba.com/game/...-vs-...-0041800305/play-by-play?watchFullGame=true", "TOR vs MIL - Q2 05:36.00")</f>
        <v>TOR vs MIL - Q2 05:36.00</v>
      </c>
      <c r="L2702">
        <v>2</v>
      </c>
      <c r="M2702">
        <v>12</v>
      </c>
      <c r="N2702">
        <v>21</v>
      </c>
      <c r="O2702">
        <v>12</v>
      </c>
      <c r="P2702">
        <v>21</v>
      </c>
    </row>
    <row r="2703" spans="1:16" x14ac:dyDescent="0.25">
      <c r="A2703">
        <v>21600134</v>
      </c>
      <c r="B2703">
        <v>2016</v>
      </c>
      <c r="C2703" t="s">
        <v>32</v>
      </c>
      <c r="D2703" t="s">
        <v>49</v>
      </c>
      <c r="E2703">
        <v>11</v>
      </c>
      <c r="F2703">
        <v>16</v>
      </c>
      <c r="G2703">
        <v>1</v>
      </c>
      <c r="H2703" s="1">
        <v>2.8356481481481483E-3</v>
      </c>
      <c r="I2703" t="s">
        <v>18</v>
      </c>
      <c r="J2703" s="2" t="str">
        <f>HYPERLINK("https://www.nba.com/stats/events?CFID=&amp;CFPARAMS=&amp;GameEventID=82&amp;GameID=0021600134&amp;Season=2016-17&amp;flag=1&amp;title=Leonard%203'%20Driving%20Layup%20(6%20PTS)%20(Aldridge%201%20AST)", "Leonard 3' Driving Layup (6 PTS) (Aldridge 1 AST)")</f>
        <v>Leonard 3' Driving Layup (6 PTS) (Aldridge 1 AST)</v>
      </c>
      <c r="K2703" s="2" t="str">
        <f>HYPERLINK("https://www.nba.com/game/...-vs-...-0021600134/play-by-play?watchFullGame=true", "SAS vs HOU - Q1 04:05.00")</f>
        <v>SAS vs HOU - Q1 04:05.00</v>
      </c>
      <c r="L2703">
        <v>3</v>
      </c>
      <c r="M2703">
        <v>12</v>
      </c>
      <c r="N2703">
        <v>23</v>
      </c>
      <c r="O2703">
        <v>12</v>
      </c>
      <c r="P2703">
        <v>23</v>
      </c>
    </row>
    <row r="2704" spans="1:16" x14ac:dyDescent="0.25">
      <c r="A2704">
        <v>22301003</v>
      </c>
      <c r="B2704">
        <v>2023</v>
      </c>
      <c r="C2704" t="s">
        <v>32</v>
      </c>
      <c r="D2704" t="s">
        <v>47</v>
      </c>
      <c r="E2704">
        <v>58</v>
      </c>
      <c r="F2704">
        <v>76</v>
      </c>
      <c r="G2704">
        <v>3</v>
      </c>
      <c r="H2704" s="1">
        <v>3.9814814814814817E-3</v>
      </c>
      <c r="I2704" t="s">
        <v>23</v>
      </c>
      <c r="J2704" s="2" t="str">
        <f>HYPERLINK("https://www.nba.com/stats/events?CFID=&amp;CFPARAMS=&amp;GameEventID=339&amp;GameID=0022301003&amp;Season=2023-24&amp;flag=1&amp;title=Leonard%20running%20reverse%20Layup%20(17%20PTS)", "Running reverse Layup (17 PTS)")</f>
        <v>Running reverse Layup (17 PTS)</v>
      </c>
      <c r="K2704" s="2" t="str">
        <f>HYPERLINK("https://www.nba.com/game/...-vs-...-0022301003/play-by-play?watchFullGame=true", "LAC vs POR - Q3 05:44.00")</f>
        <v>LAC vs POR - Q3 05:44.00</v>
      </c>
      <c r="L2704">
        <v>2.66</v>
      </c>
      <c r="M2704">
        <v>8.1</v>
      </c>
      <c r="N2704">
        <v>47.55</v>
      </c>
      <c r="O2704">
        <v>12</v>
      </c>
      <c r="P2704">
        <v>24</v>
      </c>
    </row>
    <row r="2705" spans="1:16" x14ac:dyDescent="0.25">
      <c r="A2705">
        <v>42200171</v>
      </c>
      <c r="B2705" t="s">
        <v>86</v>
      </c>
      <c r="C2705" t="s">
        <v>32</v>
      </c>
      <c r="D2705" t="s">
        <v>19</v>
      </c>
      <c r="E2705">
        <v>60</v>
      </c>
      <c r="F2705">
        <v>65</v>
      </c>
      <c r="G2705">
        <v>3</v>
      </c>
      <c r="H2705" s="1">
        <v>6.6203703703703702E-3</v>
      </c>
      <c r="I2705" t="s">
        <v>23</v>
      </c>
      <c r="J2705" s="2" t="str">
        <f>HYPERLINK("https://www.nba.com/stats/events?CFID=&amp;CFPARAMS=&amp;GameEventID=358&amp;GameID=0042200171&amp;Season=2022-23&amp;flag=1&amp;title=Leonard%209'%20running%20pullup%20Jump%20Shot%20(19%20PTS)", "9' running pullup Jump Shot (19 PTS)")</f>
        <v>9' running pullup Jump Shot (19 PTS)</v>
      </c>
      <c r="K2705" s="2" t="str">
        <f>HYPERLINK("https://www.nba.com/game/...-vs-...-0042200171/play-by-play?watchFullGame=true", "LAC vs PHX - Q3 09:32.00")</f>
        <v>LAC vs PHX - Q3 09:32.00</v>
      </c>
      <c r="L2705">
        <v>9.94</v>
      </c>
      <c r="M2705">
        <v>12.7</v>
      </c>
      <c r="N2705">
        <v>35.29</v>
      </c>
      <c r="O2705">
        <v>12</v>
      </c>
      <c r="P2705">
        <v>35</v>
      </c>
    </row>
    <row r="2706" spans="1:16" x14ac:dyDescent="0.25">
      <c r="A2706">
        <v>22201129</v>
      </c>
      <c r="B2706">
        <v>2022</v>
      </c>
      <c r="C2706" t="s">
        <v>32</v>
      </c>
      <c r="D2706" t="s">
        <v>47</v>
      </c>
      <c r="E2706">
        <v>75</v>
      </c>
      <c r="F2706">
        <v>62</v>
      </c>
      <c r="G2706">
        <v>3</v>
      </c>
      <c r="H2706" s="1">
        <v>5.6481481481481478E-3</v>
      </c>
      <c r="I2706" t="s">
        <v>23</v>
      </c>
      <c r="J2706" s="2" t="str">
        <f>HYPERLINK("https://www.nba.com/stats/events?CFID=&amp;CFPARAMS=&amp;GameEventID=340&amp;GameID=0022201129&amp;Season=2022-23&amp;flag=1&amp;title=Leonard%20driving%20Layup%20(10%20PTS)", "Driving Layup (10 PTS)")</f>
        <v>Driving Layup (10 PTS)</v>
      </c>
      <c r="K2706" s="2" t="str">
        <f>HYPERLINK("https://www.nba.com/game/...-vs-...-0022201129/play-by-play?watchFullGame=true", "LAC vs CHI - Q3 08:08.00")</f>
        <v>LAC vs CHI - Q3 08:08.00</v>
      </c>
      <c r="L2706">
        <v>4.75</v>
      </c>
      <c r="M2706">
        <v>89.54</v>
      </c>
      <c r="N2706">
        <v>52.45</v>
      </c>
      <c r="O2706">
        <v>12</v>
      </c>
      <c r="P2706">
        <v>46</v>
      </c>
    </row>
    <row r="2707" spans="1:16" x14ac:dyDescent="0.25">
      <c r="A2707">
        <v>42000175</v>
      </c>
      <c r="B2707" t="s">
        <v>83</v>
      </c>
      <c r="C2707" t="s">
        <v>32</v>
      </c>
      <c r="D2707" t="s">
        <v>19</v>
      </c>
      <c r="E2707">
        <v>67</v>
      </c>
      <c r="F2707">
        <v>62</v>
      </c>
      <c r="G2707">
        <v>3</v>
      </c>
      <c r="H2707" s="1">
        <v>5.6365740740740742E-3</v>
      </c>
      <c r="I2707" t="s">
        <v>23</v>
      </c>
      <c r="J2707" s="2" t="str">
        <f>HYPERLINK("https://www.nba.com/stats/events?CFID=&amp;CFPARAMS=&amp;GameEventID=378&amp;GameID=0042000175&amp;Season=2020-21&amp;flag=1&amp;title=Leonard%206'%20fadeaway%20Jump%20Shot%20(13%20PTS)%20(R.%20Jackson%201%20AST)", "6' fadeaway Jump Shot (13 PTS) (R. Jackson 1 AST)")</f>
        <v>6' fadeaway Jump Shot (13 PTS) (R. Jackson 1 AST)</v>
      </c>
      <c r="K2707" s="2" t="str">
        <f>HYPERLINK("https://www.nba.com/game/...-vs-...-0042000175/play-by-play?watchFullGame=true", "LAC vs DAL - Q3 08:07.00")</f>
        <v>LAC vs DAL - Q3 08:07.00</v>
      </c>
      <c r="L2707">
        <v>6.83</v>
      </c>
      <c r="M2707">
        <v>12.7</v>
      </c>
      <c r="N2707">
        <v>52.77</v>
      </c>
      <c r="O2707">
        <v>12</v>
      </c>
      <c r="P2707">
        <v>52</v>
      </c>
    </row>
    <row r="2708" spans="1:16" x14ac:dyDescent="0.25">
      <c r="A2708">
        <v>41600232</v>
      </c>
      <c r="B2708" t="s">
        <v>30</v>
      </c>
      <c r="C2708" t="s">
        <v>32</v>
      </c>
      <c r="D2708" t="s">
        <v>29</v>
      </c>
      <c r="E2708">
        <v>80</v>
      </c>
      <c r="F2708">
        <v>72</v>
      </c>
      <c r="G2708">
        <v>3</v>
      </c>
      <c r="H2708" s="1">
        <v>3.8773148148148148E-3</v>
      </c>
      <c r="I2708" t="s">
        <v>18</v>
      </c>
      <c r="J2708" s="2" t="str">
        <f>HYPERLINK("https://www.nba.com/stats/events?CFID=&amp;CFPARAMS=&amp;GameEventID=276&amp;GameID=0041600232&amp;Season=2016-17&amp;flag=1&amp;title=Leonard%206'%20Pullup%20Jump%20Shot%20(24%20PTS)", "Leonard 6' Pullup Jump Shot (24 PTS)")</f>
        <v>Leonard 6' Pullup Jump Shot (24 PTS)</v>
      </c>
      <c r="K2708" s="2" t="str">
        <f>HYPERLINK("https://www.nba.com/game/...-vs-...-0041600232/play-by-play?watchFullGame=true", "SAS vs HOU - Q3 05:35.00")</f>
        <v>SAS vs HOU - Q3 05:35.00</v>
      </c>
      <c r="L2708">
        <v>6</v>
      </c>
      <c r="M2708">
        <v>12</v>
      </c>
      <c r="N2708">
        <v>61</v>
      </c>
      <c r="O2708">
        <v>12</v>
      </c>
      <c r="P2708">
        <v>61</v>
      </c>
    </row>
    <row r="2709" spans="1:16" x14ac:dyDescent="0.25">
      <c r="A2709">
        <v>21500713</v>
      </c>
      <c r="B2709">
        <v>2015</v>
      </c>
      <c r="C2709" t="s">
        <v>32</v>
      </c>
      <c r="D2709" t="s">
        <v>24</v>
      </c>
      <c r="E2709">
        <v>76</v>
      </c>
      <c r="F2709">
        <v>66</v>
      </c>
      <c r="G2709">
        <v>3</v>
      </c>
      <c r="H2709" s="1">
        <v>3.1134259259259257E-3</v>
      </c>
      <c r="I2709" t="s">
        <v>18</v>
      </c>
      <c r="J2709" s="2" t="str">
        <f>HYPERLINK("https://www.nba.com/stats/events?CFID=&amp;CFPARAMS=&amp;GameEventID=347&amp;GameID=0021500713&amp;Season=2015-16&amp;flag=1&amp;title=Leonard%206'%20Turnaround%20Jump%20Shot%20(15%20PTS)", "Leonard 6' Turnaround Jump Shot (15 PTS)")</f>
        <v>Leonard 6' Turnaround Jump Shot (15 PTS)</v>
      </c>
      <c r="K2709" s="2" t="str">
        <f>HYPERLINK("https://www.nba.com/game/...-vs-...-0021500713/play-by-play?watchFullGame=true", "SAS vs CLE - Q3 04:29.00")</f>
        <v>SAS vs CLE - Q3 04:29.00</v>
      </c>
      <c r="L2709">
        <v>6</v>
      </c>
      <c r="M2709">
        <v>12</v>
      </c>
      <c r="N2709">
        <v>62</v>
      </c>
      <c r="O2709">
        <v>12</v>
      </c>
      <c r="P2709">
        <v>62</v>
      </c>
    </row>
    <row r="2710" spans="1:16" x14ac:dyDescent="0.25">
      <c r="A2710">
        <v>22300964</v>
      </c>
      <c r="B2710">
        <v>2023</v>
      </c>
      <c r="C2710" t="s">
        <v>32</v>
      </c>
      <c r="D2710" t="s">
        <v>44</v>
      </c>
      <c r="E2710">
        <v>107</v>
      </c>
      <c r="F2710">
        <v>102</v>
      </c>
      <c r="G2710">
        <v>4</v>
      </c>
      <c r="H2710" s="1">
        <v>1.3888888888888889E-3</v>
      </c>
      <c r="I2710" t="s">
        <v>23</v>
      </c>
      <c r="J2710" s="2" t="str">
        <f>HYPERLINK("https://www.nba.com/stats/events?CFID=&amp;CFPARAMS=&amp;GameEventID=590&amp;GameID=0022300964&amp;Season=2023-24&amp;flag=1&amp;title=Leonard%206'%20driving%20Hook%20(23%20PTS)%20(N.%20Powell%201%20AST)", "6' driving Hook (23 PTS) (N. Powell 1 AST)")</f>
        <v>6' driving Hook (23 PTS) (N. Powell 1 AST)</v>
      </c>
      <c r="K2710" s="2" t="str">
        <f>HYPERLINK("https://www.nba.com/game/...-vs-...-0022300964/play-by-play?watchFullGame=true", "LAC vs NOP - Q4 02:00.00")</f>
        <v>LAC vs NOP - Q4 02:00.00</v>
      </c>
      <c r="L2710">
        <v>6.43</v>
      </c>
      <c r="M2710">
        <v>12.3</v>
      </c>
      <c r="N2710">
        <v>47.55</v>
      </c>
      <c r="O2710">
        <v>12</v>
      </c>
      <c r="P2710">
        <v>63</v>
      </c>
    </row>
    <row r="2711" spans="1:16" x14ac:dyDescent="0.25">
      <c r="A2711">
        <v>21601118</v>
      </c>
      <c r="B2711">
        <v>2016</v>
      </c>
      <c r="C2711" t="s">
        <v>32</v>
      </c>
      <c r="D2711" t="s">
        <v>24</v>
      </c>
      <c r="E2711">
        <v>4</v>
      </c>
      <c r="F2711">
        <v>0</v>
      </c>
      <c r="G2711">
        <v>1</v>
      </c>
      <c r="H2711" s="1">
        <v>7.2916666666666668E-3</v>
      </c>
      <c r="I2711" t="s">
        <v>18</v>
      </c>
      <c r="J2711" s="2" t="str">
        <f>HYPERLINK("https://www.nba.com/stats/events?CFID=&amp;CFPARAMS=&amp;GameEventID=16&amp;GameID=0021601118&amp;Season=2016-17&amp;flag=1&amp;title=Leonard%208'%20Turnaround%20Jump%20Shot%20(2%20PTS)", "Leonard 8' Turnaround Jump Shot (2 PTS)")</f>
        <v>Leonard 8' Turnaround Jump Shot (2 PTS)</v>
      </c>
      <c r="K2711" s="2" t="str">
        <f>HYPERLINK("https://www.nba.com/game/...-vs-...-0021601118/play-by-play?watchFullGame=true", "SAS vs GSW - Q1 10:30.00")</f>
        <v>SAS vs GSW - Q1 10:30.00</v>
      </c>
      <c r="L2711">
        <v>8</v>
      </c>
      <c r="M2711">
        <v>12</v>
      </c>
      <c r="N2711">
        <v>75</v>
      </c>
      <c r="O2711">
        <v>12</v>
      </c>
      <c r="P2711">
        <v>75</v>
      </c>
    </row>
    <row r="2712" spans="1:16" x14ac:dyDescent="0.25">
      <c r="A2712">
        <v>22301215</v>
      </c>
      <c r="B2712">
        <v>2023</v>
      </c>
      <c r="C2712" t="s">
        <v>32</v>
      </c>
      <c r="D2712" t="s">
        <v>19</v>
      </c>
      <c r="E2712">
        <v>12</v>
      </c>
      <c r="F2712">
        <v>23</v>
      </c>
      <c r="G2712">
        <v>1</v>
      </c>
      <c r="H2712" s="1">
        <v>3.9699074074074072E-3</v>
      </c>
      <c r="I2712" t="s">
        <v>23</v>
      </c>
      <c r="J2712" s="2" t="str">
        <f>HYPERLINK("https://www.nba.com/stats/events?CFID=&amp;CFPARAMS=&amp;GameEventID=60&amp;GameID=0022301215&amp;Season=2023-24&amp;flag=1&amp;title=Leonard%208'%20driving%20floating%20Jump%20Shot%20(4%20PTS)%20(R.%20Westbrook%201%20AST)", "8' driving floating Jump Shot (4 PTS) (R. Westbrook 1 AST)")</f>
        <v>8' driving floating Jump Shot (4 PTS) (R. Westbrook 1 AST)</v>
      </c>
      <c r="K2712" s="2" t="str">
        <f>HYPERLINK("https://www.nba.com/game/...-vs-...-0022301215/play-by-play?watchFullGame=true", "LAC vs DEN - Q1 05:43.00")</f>
        <v>LAC vs DEN - Q1 05:43.00</v>
      </c>
      <c r="L2712">
        <v>8.3800000000000008</v>
      </c>
      <c r="M2712">
        <v>85.59</v>
      </c>
      <c r="N2712">
        <v>52.45</v>
      </c>
      <c r="O2712">
        <v>12</v>
      </c>
      <c r="P2712">
        <v>83</v>
      </c>
    </row>
    <row r="2713" spans="1:16" x14ac:dyDescent="0.25">
      <c r="A2713">
        <v>21600168</v>
      </c>
      <c r="B2713">
        <v>2016</v>
      </c>
      <c r="C2713" t="s">
        <v>32</v>
      </c>
      <c r="D2713" t="s">
        <v>29</v>
      </c>
      <c r="E2713">
        <v>41</v>
      </c>
      <c r="F2713">
        <v>55</v>
      </c>
      <c r="G2713">
        <v>2</v>
      </c>
      <c r="H2713" s="1">
        <v>6.9444444444444447E-4</v>
      </c>
      <c r="I2713" t="s">
        <v>18</v>
      </c>
      <c r="J2713" s="2" t="str">
        <f>HYPERLINK("https://www.nba.com/stats/events?CFID=&amp;CFPARAMS=&amp;GameEventID=213&amp;GameID=0021600168&amp;Season=2016-17&amp;flag=1&amp;title=Leonard%2010'%20Pullup%20Jump%20Shot%20(10%20PTS)%20(Mills%203%20AST)", "Leonard 10' Pullup Jump Shot (10 PTS) (Mills 3 AST)")</f>
        <v>Leonard 10' Pullup Jump Shot (10 PTS) (Mills 3 AST)</v>
      </c>
      <c r="K2713" s="2" t="str">
        <f>HYPERLINK("https://www.nba.com/game/...-vs-...-0021600168/play-by-play?watchFullGame=true", "SAS vs SAC - Q2 01:00.00")</f>
        <v>SAS vs SAC - Q2 01:00.00</v>
      </c>
      <c r="L2713">
        <v>10</v>
      </c>
      <c r="M2713">
        <v>12</v>
      </c>
      <c r="N2713">
        <v>100</v>
      </c>
      <c r="O2713">
        <v>12</v>
      </c>
      <c r="P2713">
        <v>100</v>
      </c>
    </row>
    <row r="2714" spans="1:16" x14ac:dyDescent="0.25">
      <c r="A2714">
        <v>21600353</v>
      </c>
      <c r="B2714">
        <v>2016</v>
      </c>
      <c r="C2714" t="s">
        <v>32</v>
      </c>
      <c r="D2714" t="s">
        <v>29</v>
      </c>
      <c r="E2714">
        <v>22</v>
      </c>
      <c r="F2714">
        <v>17</v>
      </c>
      <c r="G2714">
        <v>1</v>
      </c>
      <c r="H2714" s="1">
        <v>3.5185185185185185E-3</v>
      </c>
      <c r="I2714" t="s">
        <v>18</v>
      </c>
      <c r="J2714" s="2" t="str">
        <f>HYPERLINK("https://www.nba.com/stats/events?CFID=&amp;CFPARAMS=&amp;GameEventID=52&amp;GameID=0021600353&amp;Season=2016-17&amp;flag=1&amp;title=Leonard%2013'%20Pullup%20Jump%20Shot%20(6%20PTS)%20(Aldridge%201%20AST)", "Leonard 13' Pullup Jump Shot (6 PTS) (Aldridge 1 AST)")</f>
        <v>Leonard 13' Pullup Jump Shot (6 PTS) (Aldridge 1 AST)</v>
      </c>
      <c r="K2714" s="2" t="str">
        <f>HYPERLINK("https://www.nba.com/game/...-vs-...-0021600353/play-by-play?watchFullGame=true", "SAS vs BKN - Q1 05:04.00")</f>
        <v>SAS vs BKN - Q1 05:04.00</v>
      </c>
      <c r="L2714">
        <v>13</v>
      </c>
      <c r="M2714">
        <v>12</v>
      </c>
      <c r="N2714">
        <v>129</v>
      </c>
      <c r="O2714">
        <v>12</v>
      </c>
      <c r="P2714">
        <v>129</v>
      </c>
    </row>
    <row r="2715" spans="1:16" x14ac:dyDescent="0.25">
      <c r="A2715">
        <v>41200152</v>
      </c>
      <c r="B2715" t="s">
        <v>27</v>
      </c>
      <c r="C2715" t="s">
        <v>32</v>
      </c>
      <c r="D2715" t="s">
        <v>19</v>
      </c>
      <c r="E2715">
        <v>82</v>
      </c>
      <c r="F2715">
        <v>70</v>
      </c>
      <c r="G2715">
        <v>4</v>
      </c>
      <c r="H2715" s="1">
        <v>6.9212962962962961E-3</v>
      </c>
      <c r="I2715" t="s">
        <v>18</v>
      </c>
      <c r="J2715" s="2" t="str">
        <f>HYPERLINK("https://www.nba.com/stats/events?CFID=&amp;CFPARAMS=&amp;GameEventID=366&amp;GameID=0041200152&amp;Season=2012-13&amp;flag=1&amp;title=Leonard%2014'%20Jump%20Shot%20(16%20PTS)%20(Neal%202%20AST)", "Leonard 14' Jump Shot (16 PTS) (Neal 2 AST)")</f>
        <v>Leonard 14' Jump Shot (16 PTS) (Neal 2 AST)</v>
      </c>
      <c r="K2715" s="2" t="str">
        <f>HYPERLINK("https://www.nba.com/game/...-vs-...-0041200152/play-by-play?watchFullGame=true", "SAS vs LAL - Q4 09:58.00")</f>
        <v>SAS vs LAL - Q4 09:58.00</v>
      </c>
      <c r="L2715">
        <v>14</v>
      </c>
      <c r="M2715">
        <v>12</v>
      </c>
      <c r="N2715">
        <v>143</v>
      </c>
      <c r="O2715">
        <v>12</v>
      </c>
      <c r="P2715">
        <v>143</v>
      </c>
    </row>
    <row r="2716" spans="1:16" x14ac:dyDescent="0.25">
      <c r="A2716">
        <v>21900068</v>
      </c>
      <c r="B2716">
        <v>2019</v>
      </c>
      <c r="C2716" t="s">
        <v>32</v>
      </c>
      <c r="D2716" t="s">
        <v>22</v>
      </c>
      <c r="E2716">
        <v>91</v>
      </c>
      <c r="F2716">
        <v>78</v>
      </c>
      <c r="G2716">
        <v>4</v>
      </c>
      <c r="H2716" s="1">
        <v>6.145833333333333E-3</v>
      </c>
      <c r="I2716" t="s">
        <v>23</v>
      </c>
      <c r="J2716" s="2" t="str">
        <f>HYPERLINK("https://www.nba.com/stats/events?CFID=&amp;CFPARAMS=&amp;GameEventID=564&amp;GameID=0021900068&amp;Season=2019-20&amp;flag=1&amp;title=[LAC]%20Leonard%20jumpshot:%20Made%20(32%20PTS)", "[LAC] Leonard jumpshot: Made (32 PTS)")</f>
        <v>[LAC] Leonard jumpshot: Made (32 PTS)</v>
      </c>
      <c r="K2716" s="2" t="str">
        <f>HYPERLINK("https://www.nba.com/game/...-vs-...-0021900068/play-by-play?watchFullGame=true", "LAC vs SAS - Q4 08:51.00")</f>
        <v>LAC vs SAS - Q4 08:51.00</v>
      </c>
      <c r="L2716">
        <v>16.91</v>
      </c>
      <c r="M2716">
        <v>77.05</v>
      </c>
      <c r="N2716">
        <v>52.38</v>
      </c>
      <c r="O2716">
        <v>12</v>
      </c>
      <c r="P2716">
        <v>163</v>
      </c>
    </row>
    <row r="2717" spans="1:16" x14ac:dyDescent="0.25">
      <c r="A2717">
        <v>22300848</v>
      </c>
      <c r="B2717">
        <v>2023</v>
      </c>
      <c r="C2717" t="s">
        <v>32</v>
      </c>
      <c r="D2717" t="s">
        <v>19</v>
      </c>
      <c r="E2717">
        <v>23</v>
      </c>
      <c r="F2717">
        <v>21</v>
      </c>
      <c r="G2717">
        <v>1</v>
      </c>
      <c r="H2717" s="1">
        <v>2.5810185185185185E-3</v>
      </c>
      <c r="I2717" t="s">
        <v>23</v>
      </c>
      <c r="J2717" s="2" t="str">
        <f>HYPERLINK("https://www.nba.com/stats/events?CFID=&amp;CFPARAMS=&amp;GameEventID=115&amp;GameID=0022300848&amp;Season=2023-24&amp;flag=1&amp;title=Leonard%2019'%20driving%20floating%20Jump%20Shot%20(8%20PTS)%20(N.%20Powell%201%20AST)", "19' driving floating Jump Shot (8 PTS) (N. Powell 1 AST)")</f>
        <v>19' driving floating Jump Shot (8 PTS) (N. Powell 1 AST)</v>
      </c>
      <c r="K2717" s="2" t="str">
        <f>HYPERLINK("https://www.nba.com/game/...-vs-...-0022300848/play-by-play?watchFullGame=true", "LAC vs LAL - Q1 03:43.00")</f>
        <v>LAC vs LAL - Q1 03:43.00</v>
      </c>
      <c r="L2717">
        <v>19.079999999999998</v>
      </c>
      <c r="M2717">
        <v>74.16</v>
      </c>
      <c r="N2717">
        <v>52.45</v>
      </c>
      <c r="O2717">
        <v>12</v>
      </c>
      <c r="P2717">
        <v>190</v>
      </c>
    </row>
    <row r="2718" spans="1:16" x14ac:dyDescent="0.25">
      <c r="A2718">
        <v>41800405</v>
      </c>
      <c r="B2718" t="s">
        <v>20</v>
      </c>
      <c r="C2718" t="s">
        <v>16</v>
      </c>
      <c r="D2718" t="s">
        <v>29</v>
      </c>
      <c r="E2718">
        <v>101</v>
      </c>
      <c r="F2718">
        <v>97</v>
      </c>
      <c r="G2718">
        <v>4</v>
      </c>
      <c r="H2718" s="1">
        <v>2.8472222222222223E-3</v>
      </c>
      <c r="I2718" t="s">
        <v>21</v>
      </c>
      <c r="J2718" s="2" t="str">
        <f>HYPERLINK("https://www.nba.com/stats/events?CFID=&amp;CFPARAMS=&amp;GameEventID=597&amp;GameID=0041800405&amp;Season=2018-19&amp;flag=1&amp;title=Leonard%2026'%203PT%20Pullup%20Jump%20Shot%20(24%20PTS)", "Leonard 26' 3PT Pullup Jump Shot (24 PTS)")</f>
        <v>Leonard 26' 3PT Pullup Jump Shot (24 PTS)</v>
      </c>
      <c r="K2718" s="2" t="str">
        <f>HYPERLINK("https://www.nba.com/game/...-vs-...-0041800405/play-by-play?watchFullGame=true", "TOR vs GSW - Q4 04:06.00")</f>
        <v>TOR vs GSW - Q4 04:06.00</v>
      </c>
      <c r="L2718">
        <v>26</v>
      </c>
      <c r="M2718">
        <v>12</v>
      </c>
      <c r="N2718">
        <v>260</v>
      </c>
      <c r="O2718">
        <v>12</v>
      </c>
      <c r="P2718">
        <v>260</v>
      </c>
    </row>
    <row r="2719" spans="1:16" x14ac:dyDescent="0.25">
      <c r="A2719">
        <v>21401168</v>
      </c>
      <c r="B2719">
        <v>2014</v>
      </c>
      <c r="C2719" t="s">
        <v>32</v>
      </c>
      <c r="D2719" t="s">
        <v>49</v>
      </c>
      <c r="E2719">
        <v>100</v>
      </c>
      <c r="F2719">
        <v>84</v>
      </c>
      <c r="G2719">
        <v>4</v>
      </c>
      <c r="H2719" s="1">
        <v>4.5949074074074078E-3</v>
      </c>
      <c r="I2719" t="s">
        <v>18</v>
      </c>
      <c r="J2719" s="2" t="str">
        <f>HYPERLINK("https://www.nba.com/stats/events?CFID=&amp;CFPARAMS=&amp;GameEventID=407&amp;GameID=0021401168&amp;Season=2014-15&amp;flag=1&amp;title=Leonard%202'%20Driving%20Layup%20(20%20PTS)", "Leonard 2' Driving Layup (20 PTS)")</f>
        <v>Leonard 2' Driving Layup (20 PTS)</v>
      </c>
      <c r="K2719" s="2" t="str">
        <f>HYPERLINK("https://www.nba.com/game/...-vs-...-0021401168/play-by-play?watchFullGame=true", "SAS vs HOU - Q4 06:37.00")</f>
        <v>SAS vs HOU - Q4 06:37.00</v>
      </c>
      <c r="L2719">
        <v>2</v>
      </c>
      <c r="M2719">
        <v>13</v>
      </c>
      <c r="N2719">
        <v>-10</v>
      </c>
      <c r="O2719">
        <v>13</v>
      </c>
      <c r="P2719">
        <v>-10</v>
      </c>
    </row>
    <row r="2720" spans="1:16" x14ac:dyDescent="0.25">
      <c r="A2720">
        <v>21400291</v>
      </c>
      <c r="B2720">
        <v>2014</v>
      </c>
      <c r="C2720" t="s">
        <v>32</v>
      </c>
      <c r="D2720" t="s">
        <v>57</v>
      </c>
      <c r="E2720">
        <v>41</v>
      </c>
      <c r="F2720">
        <v>31</v>
      </c>
      <c r="G2720">
        <v>2</v>
      </c>
      <c r="H2720" s="1">
        <v>5.7638888888888887E-3</v>
      </c>
      <c r="I2720" t="s">
        <v>18</v>
      </c>
      <c r="J2720" s="2" t="str">
        <f>HYPERLINK("https://www.nba.com/stats/events?CFID=&amp;CFPARAMS=&amp;GameEventID=161&amp;GameID=0021400291&amp;Season=2014-15&amp;flag=1&amp;title=Leonard%202'%20Layup%20(6%20PTS)", "Leonard 2' Layup (6 PTS)")</f>
        <v>Leonard 2' Layup (6 PTS)</v>
      </c>
      <c r="K2720" s="2" t="str">
        <f>HYPERLINK("https://www.nba.com/game/...-vs-...-0021400291/play-by-play?watchFullGame=true", "SAS vs MIN - Q2 08:18.00")</f>
        <v>SAS vs MIN - Q2 08:18.00</v>
      </c>
      <c r="L2720">
        <v>2</v>
      </c>
      <c r="M2720">
        <v>13</v>
      </c>
      <c r="N2720">
        <v>-8</v>
      </c>
      <c r="O2720">
        <v>13</v>
      </c>
      <c r="P2720">
        <v>-8</v>
      </c>
    </row>
    <row r="2721" spans="1:16" x14ac:dyDescent="0.25">
      <c r="A2721">
        <v>21300133</v>
      </c>
      <c r="B2721">
        <v>2013</v>
      </c>
      <c r="C2721" t="s">
        <v>32</v>
      </c>
      <c r="D2721" t="s">
        <v>57</v>
      </c>
      <c r="E2721">
        <v>81</v>
      </c>
      <c r="F2721">
        <v>91</v>
      </c>
      <c r="G2721">
        <v>4</v>
      </c>
      <c r="H2721" s="1">
        <v>3.634259259259259E-4</v>
      </c>
      <c r="I2721" t="s">
        <v>18</v>
      </c>
      <c r="J2721" s="2" t="str">
        <f>HYPERLINK("https://www.nba.com/stats/events?CFID=&amp;CFPARAMS=&amp;GameEventID=478&amp;GameID=0021300133&amp;Season=2013-14&amp;flag=1&amp;title=Leonard%201'%20Layup%20(6%20PTS)%20(Ginobili%205%20AST)", "Leonard 1' Layup (6 PTS) (Ginobili 5 AST)")</f>
        <v>Leonard 1' Layup (6 PTS) (Ginobili 5 AST)</v>
      </c>
      <c r="K2721" s="2" t="str">
        <f>HYPERLINK("https://www.nba.com/game/...-vs-...-0021300133/play-by-play?watchFullGame=true", "SAS vs UTA - Q4 00:31.40")</f>
        <v>SAS vs UTA - Q4 00:31.40</v>
      </c>
      <c r="L2721">
        <v>1</v>
      </c>
      <c r="M2721">
        <v>13</v>
      </c>
      <c r="N2721">
        <v>0</v>
      </c>
      <c r="O2721">
        <v>13</v>
      </c>
      <c r="P2721">
        <v>0</v>
      </c>
    </row>
    <row r="2722" spans="1:16" x14ac:dyDescent="0.25">
      <c r="A2722">
        <v>41300225</v>
      </c>
      <c r="B2722" t="s">
        <v>26</v>
      </c>
      <c r="C2722" t="s">
        <v>32</v>
      </c>
      <c r="D2722" t="s">
        <v>49</v>
      </c>
      <c r="E2722">
        <v>85</v>
      </c>
      <c r="F2722">
        <v>65</v>
      </c>
      <c r="G2722">
        <v>4</v>
      </c>
      <c r="H2722" s="1">
        <v>6.6782407407407407E-3</v>
      </c>
      <c r="I2722" t="s">
        <v>18</v>
      </c>
      <c r="J2722" s="2" t="str">
        <f>HYPERLINK("https://www.nba.com/stats/events?CFID=&amp;CFPARAMS=&amp;GameEventID=394&amp;GameID=0041300225&amp;Season=2013-14&amp;flag=1&amp;title=Leonard%201'%20Driving%20Layup%20(19%20PTS)", "Leonard 1' Driving Layup (19 PTS)")</f>
        <v>Leonard 1' Driving Layup (19 PTS)</v>
      </c>
      <c r="K2722" s="2" t="str">
        <f>HYPERLINK("https://www.nba.com/game/...-vs-...-0041300225/play-by-play?watchFullGame=true", "SAS vs POR - Q4 09:37.00")</f>
        <v>SAS vs POR - Q4 09:37.00</v>
      </c>
      <c r="L2722">
        <v>1</v>
      </c>
      <c r="M2722">
        <v>13</v>
      </c>
      <c r="N2722">
        <v>0</v>
      </c>
      <c r="O2722">
        <v>13</v>
      </c>
      <c r="P2722">
        <v>0</v>
      </c>
    </row>
    <row r="2723" spans="1:16" x14ac:dyDescent="0.25">
      <c r="A2723">
        <v>41300143</v>
      </c>
      <c r="B2723" t="s">
        <v>26</v>
      </c>
      <c r="C2723" t="s">
        <v>32</v>
      </c>
      <c r="D2723" t="s">
        <v>49</v>
      </c>
      <c r="E2723">
        <v>25</v>
      </c>
      <c r="F2723">
        <v>29</v>
      </c>
      <c r="G2723">
        <v>1</v>
      </c>
      <c r="H2723" s="1">
        <v>1.5856481481481481E-3</v>
      </c>
      <c r="I2723" t="s">
        <v>18</v>
      </c>
      <c r="J2723" s="2" t="str">
        <f>HYPERLINK("https://www.nba.com/stats/events?CFID=&amp;CFPARAMS=&amp;GameEventID=83&amp;GameID=0041300143&amp;Season=2013-14&amp;flag=1&amp;title=Leonard%201'%20Driving%20Layup%20(6%20PTS)", "Leonard 1' Driving Layup (6 PTS)")</f>
        <v>Leonard 1' Driving Layup (6 PTS)</v>
      </c>
      <c r="K2723" s="2" t="str">
        <f>HYPERLINK("https://www.nba.com/game/...-vs-...-0041300143/play-by-play?watchFullGame=true", "SAS vs DAL - Q1 02:17.00")</f>
        <v>SAS vs DAL - Q1 02:17.00</v>
      </c>
      <c r="L2723">
        <v>1</v>
      </c>
      <c r="M2723">
        <v>13</v>
      </c>
      <c r="N2723">
        <v>0</v>
      </c>
      <c r="O2723">
        <v>13</v>
      </c>
      <c r="P2723">
        <v>0</v>
      </c>
    </row>
    <row r="2724" spans="1:16" x14ac:dyDescent="0.25">
      <c r="A2724">
        <v>21300573</v>
      </c>
      <c r="B2724">
        <v>2013</v>
      </c>
      <c r="C2724" t="s">
        <v>32</v>
      </c>
      <c r="D2724" t="s">
        <v>67</v>
      </c>
      <c r="E2724">
        <v>6</v>
      </c>
      <c r="F2724">
        <v>5</v>
      </c>
      <c r="G2724">
        <v>1</v>
      </c>
      <c r="H2724" s="1">
        <v>6.851851851851852E-3</v>
      </c>
      <c r="I2724" t="s">
        <v>18</v>
      </c>
      <c r="J2724" s="2" t="str">
        <f>HYPERLINK("https://www.nba.com/stats/events?CFID=&amp;CFPARAMS=&amp;GameEventID=21&amp;GameID=0021300573&amp;Season=2013-14&amp;flag=1&amp;title=Leonard%201'%20Driving%20Dunk%20(2%20PTS)%20(Parker%201%20AST)", "Leonard 1' Driving Dunk (2 PTS) (Parker 1 AST)")</f>
        <v>Leonard 1' Driving Dunk (2 PTS) (Parker 1 AST)</v>
      </c>
      <c r="K2724" s="2" t="str">
        <f>HYPERLINK("https://www.nba.com/game/...-vs-...-0021300573/play-by-play?watchFullGame=true", "SAS vs UTA - Q1 09:52.00")</f>
        <v>SAS vs UTA - Q1 09:52.00</v>
      </c>
      <c r="L2724">
        <v>1</v>
      </c>
      <c r="M2724">
        <v>13</v>
      </c>
      <c r="N2724">
        <v>3</v>
      </c>
      <c r="O2724">
        <v>13</v>
      </c>
      <c r="P2724">
        <v>3</v>
      </c>
    </row>
    <row r="2725" spans="1:16" x14ac:dyDescent="0.25">
      <c r="A2725">
        <v>21400772</v>
      </c>
      <c r="B2725">
        <v>2014</v>
      </c>
      <c r="C2725" t="s">
        <v>32</v>
      </c>
      <c r="D2725" t="s">
        <v>52</v>
      </c>
      <c r="E2725">
        <v>37</v>
      </c>
      <c r="F2725">
        <v>46</v>
      </c>
      <c r="G2725">
        <v>2</v>
      </c>
      <c r="H2725" s="1">
        <v>2.2685185185185187E-3</v>
      </c>
      <c r="I2725" t="s">
        <v>18</v>
      </c>
      <c r="J2725" s="2" t="str">
        <f>HYPERLINK("https://www.nba.com/stats/events?CFID=&amp;CFPARAMS=&amp;GameEventID=231&amp;GameID=0021400772&amp;Season=2014-15&amp;flag=1&amp;title=Leonard%201'%20Alley%20Oop%20Layup%20(6%20PTS)%20(Parker%201%20AST)", "Leonard 1' Alley Oop Layup (6 PTS) (Parker 1 AST)")</f>
        <v>Leonard 1' Alley Oop Layup (6 PTS) (Parker 1 AST)</v>
      </c>
      <c r="K2725" s="2" t="str">
        <f>HYPERLINK("https://www.nba.com/game/...-vs-...-0021400772/play-by-play?watchFullGame=true", "SAS vs TOR - Q2 03:16.00")</f>
        <v>SAS vs TOR - Q2 03:16.00</v>
      </c>
      <c r="L2725">
        <v>1</v>
      </c>
      <c r="M2725">
        <v>13</v>
      </c>
      <c r="N2725">
        <v>3</v>
      </c>
      <c r="O2725">
        <v>13</v>
      </c>
      <c r="P2725">
        <v>3</v>
      </c>
    </row>
    <row r="2726" spans="1:16" x14ac:dyDescent="0.25">
      <c r="A2726">
        <v>41300311</v>
      </c>
      <c r="B2726" t="s">
        <v>26</v>
      </c>
      <c r="C2726" t="s">
        <v>32</v>
      </c>
      <c r="D2726" t="s">
        <v>57</v>
      </c>
      <c r="E2726">
        <v>63</v>
      </c>
      <c r="F2726">
        <v>48</v>
      </c>
      <c r="G2726">
        <v>2</v>
      </c>
      <c r="H2726" s="1">
        <v>1.9444444444444444E-3</v>
      </c>
      <c r="I2726" t="s">
        <v>18</v>
      </c>
      <c r="J2726" s="2" t="str">
        <f>HYPERLINK("https://www.nba.com/stats/events?CFID=&amp;CFPARAMS=&amp;GameEventID=209&amp;GameID=0041300311&amp;Season=2013-14&amp;flag=1&amp;title=Leonard%201'%20Layup%20(11%20PTS)%20(Parker%206%20AST)", "Leonard 1' Layup (11 PTS) (Parker 6 AST)")</f>
        <v>Leonard 1' Layup (11 PTS) (Parker 6 AST)</v>
      </c>
      <c r="K2726" s="2" t="str">
        <f>HYPERLINK("https://www.nba.com/game/...-vs-...-0041300311/play-by-play?watchFullGame=true", "SAS vs OKC - Q2 02:48.00")</f>
        <v>SAS vs OKC - Q2 02:48.00</v>
      </c>
      <c r="L2726">
        <v>1</v>
      </c>
      <c r="M2726">
        <v>13</v>
      </c>
      <c r="N2726">
        <v>3</v>
      </c>
      <c r="O2726">
        <v>13</v>
      </c>
      <c r="P2726">
        <v>3</v>
      </c>
    </row>
    <row r="2727" spans="1:16" x14ac:dyDescent="0.25">
      <c r="A2727">
        <v>21300425</v>
      </c>
      <c r="B2727">
        <v>2013</v>
      </c>
      <c r="C2727" t="s">
        <v>32</v>
      </c>
      <c r="D2727" t="s">
        <v>49</v>
      </c>
      <c r="E2727">
        <v>47</v>
      </c>
      <c r="F2727">
        <v>55</v>
      </c>
      <c r="G2727">
        <v>2</v>
      </c>
      <c r="H2727" s="1">
        <v>9.9537037037037042E-4</v>
      </c>
      <c r="I2727" t="s">
        <v>18</v>
      </c>
      <c r="J2727" s="2" t="str">
        <f>HYPERLINK("https://www.nba.com/stats/events?CFID=&amp;CFPARAMS=&amp;GameEventID=270&amp;GameID=0021300425&amp;Season=2013-14&amp;flag=1&amp;title=Leonard%201'%20Driving%20Layup%20(4%20PTS)", "Leonard 1' Driving Layup (4 PTS)")</f>
        <v>Leonard 1' Driving Layup (4 PTS)</v>
      </c>
      <c r="K2727" s="2" t="str">
        <f>HYPERLINK("https://www.nba.com/game/...-vs-...-0021300425/play-by-play?watchFullGame=true", "SAS vs DAL - Q2 01:26.00")</f>
        <v>SAS vs DAL - Q2 01:26.00</v>
      </c>
      <c r="L2727">
        <v>1</v>
      </c>
      <c r="M2727">
        <v>13</v>
      </c>
      <c r="N2727">
        <v>4</v>
      </c>
      <c r="O2727">
        <v>13</v>
      </c>
      <c r="P2727">
        <v>4</v>
      </c>
    </row>
    <row r="2728" spans="1:16" x14ac:dyDescent="0.25">
      <c r="A2728">
        <v>41300403</v>
      </c>
      <c r="B2728" t="s">
        <v>26</v>
      </c>
      <c r="C2728" t="s">
        <v>32</v>
      </c>
      <c r="D2728" t="s">
        <v>49</v>
      </c>
      <c r="E2728">
        <v>77</v>
      </c>
      <c r="F2728">
        <v>90</v>
      </c>
      <c r="G2728">
        <v>4</v>
      </c>
      <c r="H2728" s="1">
        <v>6.8865740740740745E-3</v>
      </c>
      <c r="I2728" t="s">
        <v>18</v>
      </c>
      <c r="J2728" s="2" t="str">
        <f>HYPERLINK("https://www.nba.com/stats/events?CFID=&amp;CFPARAMS=&amp;GameEventID=389&amp;GameID=0041300403&amp;Season=2013-14&amp;flag=1&amp;title=Leonard%201'%20Driving%20Layup%20(22%20PTS)", "Leonard 1' Driving Layup (22 PTS)")</f>
        <v>Leonard 1' Driving Layup (22 PTS)</v>
      </c>
      <c r="K2728" s="2" t="str">
        <f>HYPERLINK("https://www.nba.com/game/...-vs-...-0041300403/play-by-play?watchFullGame=true", "SAS vs MIA - Q4 09:55.00")</f>
        <v>SAS vs MIA - Q4 09:55.00</v>
      </c>
      <c r="L2728">
        <v>1</v>
      </c>
      <c r="M2728">
        <v>13</v>
      </c>
      <c r="N2728">
        <v>6</v>
      </c>
      <c r="O2728">
        <v>13</v>
      </c>
      <c r="P2728">
        <v>6</v>
      </c>
    </row>
    <row r="2729" spans="1:16" x14ac:dyDescent="0.25">
      <c r="A2729">
        <v>21901271</v>
      </c>
      <c r="B2729">
        <v>2019</v>
      </c>
      <c r="C2729" t="s">
        <v>32</v>
      </c>
      <c r="D2729" t="s">
        <v>50</v>
      </c>
      <c r="E2729">
        <v>91</v>
      </c>
      <c r="F2729">
        <v>99</v>
      </c>
      <c r="G2729">
        <v>4</v>
      </c>
      <c r="H2729" s="1">
        <v>6.5162037037037037E-3</v>
      </c>
      <c r="I2729" t="s">
        <v>23</v>
      </c>
      <c r="J2729" s="2" t="str">
        <f>HYPERLINK("https://www.nba.com/stats/events?CFID=&amp;CFPARAMS=&amp;GameEventID=522&amp;GameID=0021901271&amp;Season=2019-20&amp;flag=1&amp;title=Leonard%20layup%20(24%20PTS)", "Layup (24 PTS)")</f>
        <v>Layup (24 PTS)</v>
      </c>
      <c r="K2729" s="2" t="str">
        <f>HYPERLINK("https://www.nba.com/game/...-vs-...-0021901271/play-by-play?watchFullGame=true", "LAC vs DAL - Q4 09:23.00")</f>
        <v>LAC vs DAL - Q4 09:23.00</v>
      </c>
      <c r="L2729">
        <v>1.8</v>
      </c>
      <c r="M2729">
        <v>93.64</v>
      </c>
      <c r="N2729">
        <v>52.52</v>
      </c>
      <c r="O2729">
        <v>13</v>
      </c>
      <c r="P2729">
        <v>7</v>
      </c>
    </row>
    <row r="2730" spans="1:16" x14ac:dyDescent="0.25">
      <c r="A2730">
        <v>21400314</v>
      </c>
      <c r="B2730">
        <v>2014</v>
      </c>
      <c r="C2730" t="s">
        <v>32</v>
      </c>
      <c r="D2730" t="s">
        <v>57</v>
      </c>
      <c r="E2730">
        <v>93</v>
      </c>
      <c r="F2730">
        <v>84</v>
      </c>
      <c r="G2730">
        <v>4</v>
      </c>
      <c r="H2730" s="1">
        <v>2.2916666666666667E-3</v>
      </c>
      <c r="I2730" t="s">
        <v>18</v>
      </c>
      <c r="J2730" s="2" t="str">
        <f>HYPERLINK("https://www.nba.com/stats/events?CFID=&amp;CFPARAMS=&amp;GameEventID=443&amp;GameID=0021400314&amp;Season=2014-15&amp;flag=1&amp;title=Leonard%202'%20Layup%20(15%20PTS)", "Leonard 2' Layup (15 PTS)")</f>
        <v>Leonard 2' Layup (15 PTS)</v>
      </c>
      <c r="K2730" s="2" t="str">
        <f>HYPERLINK("https://www.nba.com/game/...-vs-...-0021400314/play-by-play?watchFullGame=true", "SAS vs UTA - Q4 03:18.00")</f>
        <v>SAS vs UTA - Q4 03:18.00</v>
      </c>
      <c r="L2730">
        <v>2</v>
      </c>
      <c r="M2730">
        <v>13</v>
      </c>
      <c r="N2730">
        <v>9</v>
      </c>
      <c r="O2730">
        <v>13</v>
      </c>
      <c r="P2730">
        <v>9</v>
      </c>
    </row>
    <row r="2731" spans="1:16" x14ac:dyDescent="0.25">
      <c r="A2731">
        <v>41800402</v>
      </c>
      <c r="B2731" t="s">
        <v>20</v>
      </c>
      <c r="C2731" t="s">
        <v>32</v>
      </c>
      <c r="D2731" t="s">
        <v>56</v>
      </c>
      <c r="E2731">
        <v>64</v>
      </c>
      <c r="F2731">
        <v>74</v>
      </c>
      <c r="G2731">
        <v>3</v>
      </c>
      <c r="H2731" s="1">
        <v>3.2638888888888891E-3</v>
      </c>
      <c r="I2731" t="s">
        <v>21</v>
      </c>
      <c r="J2731" s="2" t="str">
        <f>HYPERLINK("https://www.nba.com/stats/events?CFID=&amp;CFPARAMS=&amp;GameEventID=474&amp;GameID=0041800402&amp;Season=2018-19&amp;flag=1&amp;title=Leonard%202'%20Running%20Layup%20(18%20PTS)", "Leonard 2' Running Layup (18 PTS)")</f>
        <v>Leonard 2' Running Layup (18 PTS)</v>
      </c>
      <c r="K2731" s="2" t="str">
        <f>HYPERLINK("https://www.nba.com/game/...-vs-...-0041800402/play-by-play?watchFullGame=true", "TOR vs GSW - Q3 04:42.00")</f>
        <v>TOR vs GSW - Q3 04:42.00</v>
      </c>
      <c r="L2731">
        <v>2</v>
      </c>
      <c r="M2731">
        <v>13</v>
      </c>
      <c r="N2731">
        <v>10</v>
      </c>
      <c r="O2731">
        <v>13</v>
      </c>
      <c r="P2731">
        <v>10</v>
      </c>
    </row>
    <row r="2732" spans="1:16" x14ac:dyDescent="0.25">
      <c r="A2732">
        <v>41300312</v>
      </c>
      <c r="B2732" t="s">
        <v>26</v>
      </c>
      <c r="C2732" t="s">
        <v>32</v>
      </c>
      <c r="D2732" t="s">
        <v>57</v>
      </c>
      <c r="E2732">
        <v>87</v>
      </c>
      <c r="F2732">
        <v>58</v>
      </c>
      <c r="G2732">
        <v>3</v>
      </c>
      <c r="H2732" s="1">
        <v>1.261574074074074E-3</v>
      </c>
      <c r="I2732" t="s">
        <v>18</v>
      </c>
      <c r="J2732" s="2" t="str">
        <f>HYPERLINK("https://www.nba.com/stats/events?CFID=&amp;CFPARAMS=&amp;GameEventID=384&amp;GameID=0041300312&amp;Season=2013-14&amp;flag=1&amp;title=Leonard%202'%20Layup%20(4%20PTS)%20(Mills%202%20AST)", "Leonard 2' Layup (4 PTS) (Mills 2 AST)")</f>
        <v>Leonard 2' Layup (4 PTS) (Mills 2 AST)</v>
      </c>
      <c r="K2732" s="2" t="str">
        <f>HYPERLINK("https://www.nba.com/game/...-vs-...-0041300312/play-by-play?watchFullGame=true", "SAS vs OKC - Q3 01:49.00")</f>
        <v>SAS vs OKC - Q3 01:49.00</v>
      </c>
      <c r="L2732">
        <v>2</v>
      </c>
      <c r="M2732">
        <v>13</v>
      </c>
      <c r="N2732">
        <v>11</v>
      </c>
      <c r="O2732">
        <v>13</v>
      </c>
      <c r="P2732">
        <v>11</v>
      </c>
    </row>
    <row r="2733" spans="1:16" x14ac:dyDescent="0.25">
      <c r="A2733">
        <v>22200885</v>
      </c>
      <c r="B2733">
        <v>2022</v>
      </c>
      <c r="C2733" t="s">
        <v>32</v>
      </c>
      <c r="D2733" t="s">
        <v>47</v>
      </c>
      <c r="E2733">
        <v>77</v>
      </c>
      <c r="F2733">
        <v>84</v>
      </c>
      <c r="G2733">
        <v>3</v>
      </c>
      <c r="H2733" s="1">
        <v>2.1759259259259258E-3</v>
      </c>
      <c r="I2733" t="s">
        <v>23</v>
      </c>
      <c r="J2733" s="2" t="str">
        <f>HYPERLINK("https://www.nba.com/stats/events?CFID=&amp;CFPARAMS=&amp;GameEventID=463&amp;GameID=0022200885&amp;Season=2022-23&amp;flag=1&amp;title=Leonard%20driving%20Layup%20(6%20PTS)", "Driving Layup (6 PTS)")</f>
        <v>Driving Layup (6 PTS)</v>
      </c>
      <c r="K2733" s="2" t="str">
        <f>HYPERLINK("https://www.nba.com/game/...-vs-...-0022200885/play-by-play?watchFullGame=true", "LAC vs PHX - Q3 03:08.00")</f>
        <v>LAC vs PHX - Q3 03:08.00</v>
      </c>
      <c r="L2733">
        <v>1.76</v>
      </c>
      <c r="M2733">
        <v>6.78</v>
      </c>
      <c r="N2733">
        <v>47.3</v>
      </c>
      <c r="O2733">
        <v>13</v>
      </c>
      <c r="P2733">
        <v>11</v>
      </c>
    </row>
    <row r="2734" spans="1:16" x14ac:dyDescent="0.25">
      <c r="A2734">
        <v>41200401</v>
      </c>
      <c r="B2734" t="s">
        <v>27</v>
      </c>
      <c r="C2734" t="s">
        <v>32</v>
      </c>
      <c r="D2734" t="s">
        <v>19</v>
      </c>
      <c r="E2734">
        <v>78</v>
      </c>
      <c r="F2734">
        <v>79</v>
      </c>
      <c r="G2734">
        <v>4</v>
      </c>
      <c r="H2734" s="1">
        <v>4.8611111111111112E-3</v>
      </c>
      <c r="I2734" t="s">
        <v>18</v>
      </c>
      <c r="J2734" s="2" t="str">
        <f>HYPERLINK("https://www.nba.com/stats/events?CFID=&amp;CFPARAMS=&amp;GameEventID=401&amp;GameID=0041200401&amp;Season=2012-13&amp;flag=1&amp;title=Leonard%202'%20Jump%20Shot%20(10%20PTS)", "Leonard 2' Jump Shot (10 PTS)")</f>
        <v>Leonard 2' Jump Shot (10 PTS)</v>
      </c>
      <c r="K2734" s="2" t="str">
        <f>HYPERLINK("https://www.nba.com/game/...-vs-...-0041200401/play-by-play?watchFullGame=true", "SAS vs MIA - Q4 07:00.00")</f>
        <v>SAS vs MIA - Q4 07:00.00</v>
      </c>
      <c r="L2734">
        <v>2</v>
      </c>
      <c r="M2734">
        <v>13</v>
      </c>
      <c r="N2734">
        <v>12</v>
      </c>
      <c r="O2734">
        <v>13</v>
      </c>
      <c r="P2734">
        <v>12</v>
      </c>
    </row>
    <row r="2735" spans="1:16" x14ac:dyDescent="0.25">
      <c r="A2735">
        <v>41800214</v>
      </c>
      <c r="B2735" t="s">
        <v>20</v>
      </c>
      <c r="C2735" t="s">
        <v>32</v>
      </c>
      <c r="D2735" t="s">
        <v>77</v>
      </c>
      <c r="E2735">
        <v>11</v>
      </c>
      <c r="F2735">
        <v>13</v>
      </c>
      <c r="G2735">
        <v>1</v>
      </c>
      <c r="H2735" s="1">
        <v>4.9884259259259257E-3</v>
      </c>
      <c r="I2735" t="s">
        <v>21</v>
      </c>
      <c r="J2735" s="2" t="str">
        <f>HYPERLINK("https://www.nba.com/stats/events?CFID=&amp;CFPARAMS=&amp;GameEventID=50&amp;GameID=0041800214&amp;Season=2018-19&amp;flag=1&amp;title=Leonard%202'%20Finger%20Roll%20Layup%20(4%20PTS)%20(Lowry%202%20AST)", "Leonard 2' Finger Roll Layup (4 PTS) (Lowry 2 AST)")</f>
        <v>Leonard 2' Finger Roll Layup (4 PTS) (Lowry 2 AST)</v>
      </c>
      <c r="K2735" s="2" t="str">
        <f>HYPERLINK("https://www.nba.com/game/...-vs-...-0041800214/play-by-play?watchFullGame=true", "TOR vs PHI - Q1 07:11.00")</f>
        <v>TOR vs PHI - Q1 07:11.00</v>
      </c>
      <c r="L2735">
        <v>2</v>
      </c>
      <c r="M2735">
        <v>13</v>
      </c>
      <c r="N2735">
        <v>14</v>
      </c>
      <c r="O2735">
        <v>13</v>
      </c>
      <c r="P2735">
        <v>14</v>
      </c>
    </row>
    <row r="2736" spans="1:16" x14ac:dyDescent="0.25">
      <c r="A2736">
        <v>22000002</v>
      </c>
      <c r="B2736">
        <v>2020</v>
      </c>
      <c r="C2736" t="s">
        <v>32</v>
      </c>
      <c r="D2736" t="s">
        <v>47</v>
      </c>
      <c r="E2736">
        <v>15</v>
      </c>
      <c r="F2736">
        <v>31</v>
      </c>
      <c r="G2736">
        <v>1</v>
      </c>
      <c r="H2736" s="1">
        <v>2.5810185185185185E-3</v>
      </c>
      <c r="I2736" t="s">
        <v>23</v>
      </c>
      <c r="J2736" s="2" t="str">
        <f>HYPERLINK("https://www.nba.com/stats/events?CFID=&amp;CFPARAMS=&amp;GameEventID=121&amp;GameID=0022000002&amp;Season=2020-21&amp;flag=1&amp;title=Leonard%20Layup%20(6%20PTS)", "Layup (6 PTS)")</f>
        <v>Layup (6 PTS)</v>
      </c>
      <c r="K2736" s="2" t="str">
        <f>HYPERLINK("https://www.nba.com/game/...-vs-...-0022000002/play-by-play?watchFullGame=true", "LAC vs LAL - Q1 03:43.00")</f>
        <v>LAC vs LAL - Q1 03:43.00</v>
      </c>
      <c r="L2736">
        <v>2.1800000000000002</v>
      </c>
      <c r="M2736">
        <v>7.44</v>
      </c>
      <c r="N2736">
        <v>47.37</v>
      </c>
      <c r="O2736">
        <v>13</v>
      </c>
      <c r="P2736">
        <v>17</v>
      </c>
    </row>
    <row r="2737" spans="1:16" x14ac:dyDescent="0.25">
      <c r="A2737">
        <v>22000308</v>
      </c>
      <c r="B2737">
        <v>2020</v>
      </c>
      <c r="C2737" t="s">
        <v>32</v>
      </c>
      <c r="D2737" t="s">
        <v>44</v>
      </c>
      <c r="E2737">
        <v>60</v>
      </c>
      <c r="F2737">
        <v>59</v>
      </c>
      <c r="G2737">
        <v>2</v>
      </c>
      <c r="H2737" s="1">
        <v>1.9212962962962964E-3</v>
      </c>
      <c r="I2737" t="s">
        <v>23</v>
      </c>
      <c r="J2737" s="2" t="str">
        <f>HYPERLINK("https://www.nba.com/stats/events?CFID=&amp;CFPARAMS=&amp;GameEventID=271&amp;GameID=0022000308&amp;Season=2020-21&amp;flag=1&amp;title=Leonard%20driving%20Hook%20(12%20PTS)", "Driving Hook (12 PTS)")</f>
        <v>Driving Hook (12 PTS)</v>
      </c>
      <c r="K2737" s="2" t="str">
        <f>HYPERLINK("https://www.nba.com/game/...-vs-...-0022000308/play-by-play?watchFullGame=true", "LAC vs NYK - Q2 02:46.00")</f>
        <v>LAC vs NYK - Q2 02:46.00</v>
      </c>
      <c r="L2737">
        <v>2.59</v>
      </c>
      <c r="M2737">
        <v>7.97</v>
      </c>
      <c r="N2737">
        <v>47.37</v>
      </c>
      <c r="O2737">
        <v>13</v>
      </c>
      <c r="P2737">
        <v>22</v>
      </c>
    </row>
    <row r="2738" spans="1:16" x14ac:dyDescent="0.25">
      <c r="A2738">
        <v>22400553</v>
      </c>
      <c r="B2738">
        <v>2024</v>
      </c>
      <c r="C2738" t="s">
        <v>32</v>
      </c>
      <c r="D2738" t="s">
        <v>47</v>
      </c>
      <c r="E2738">
        <v>47</v>
      </c>
      <c r="F2738">
        <v>53</v>
      </c>
      <c r="G2738">
        <v>3</v>
      </c>
      <c r="H2738" s="1">
        <v>6.7245370370370367E-3</v>
      </c>
      <c r="I2738" t="s">
        <v>23</v>
      </c>
      <c r="J2738" s="2" t="str">
        <f>HYPERLINK("https://www.nba.com/stats/events?CFID=&amp;CFPARAMS=&amp;GameEventID=304&amp;GameID=0022400553&amp;Season=2024-25&amp;flag=1&amp;title=Leonard%20running%20Layup%20(6%20PTS)%20(J.%20Harden%207%20AST)", "Running Layup (6 PTS) (J. Harden 7 AST)")</f>
        <v>Running Layup (6 PTS) (J. Harden 7 AST)</v>
      </c>
      <c r="K2738" s="2" t="str">
        <f>HYPERLINK("https://www.nba.com/game/...-vs-...-0022400553/play-by-play?watchFullGame=true", "LAC vs MIA - Q3 09:41.00")</f>
        <v>LAC vs MIA - Q3 09:41.00</v>
      </c>
      <c r="L2738">
        <v>3.27</v>
      </c>
      <c r="M2738">
        <v>8.75</v>
      </c>
      <c r="N2738">
        <v>47.3</v>
      </c>
      <c r="O2738">
        <v>13</v>
      </c>
      <c r="P2738">
        <v>30</v>
      </c>
    </row>
    <row r="2739" spans="1:16" x14ac:dyDescent="0.25">
      <c r="A2739">
        <v>42000221</v>
      </c>
      <c r="B2739" t="s">
        <v>85</v>
      </c>
      <c r="C2739" t="s">
        <v>32</v>
      </c>
      <c r="D2739" t="s">
        <v>19</v>
      </c>
      <c r="E2739">
        <v>42</v>
      </c>
      <c r="F2739">
        <v>53</v>
      </c>
      <c r="G2739">
        <v>2</v>
      </c>
      <c r="H2739" s="1">
        <v>2.3726851851851851E-3</v>
      </c>
      <c r="I2739" t="s">
        <v>23</v>
      </c>
      <c r="J2739" s="2" t="str">
        <f>HYPERLINK("https://www.nba.com/stats/events?CFID=&amp;CFPARAMS=&amp;GameEventID=306&amp;GameID=0042000221&amp;Season=2020-21&amp;flag=1&amp;title=Leonard%2012'%20pullup%20Jump%20Shot%20(6%20PTS)", "12' pullup Jump Shot (6 PTS)")</f>
        <v>12' pullup Jump Shot (6 PTS)</v>
      </c>
      <c r="K2739" s="2" t="str">
        <f>HYPERLINK("https://www.nba.com/game/...-vs-...-0042000221/play-by-play?watchFullGame=true", "LAC vs UTA - Q2 03:25.00")</f>
        <v>LAC vs UTA - Q2 03:25.00</v>
      </c>
      <c r="L2739">
        <v>12.23</v>
      </c>
      <c r="M2739">
        <v>13.75</v>
      </c>
      <c r="N2739">
        <v>30.95</v>
      </c>
      <c r="O2739">
        <v>13</v>
      </c>
      <c r="P2739">
        <v>30</v>
      </c>
    </row>
    <row r="2740" spans="1:16" x14ac:dyDescent="0.25">
      <c r="A2740">
        <v>41300404</v>
      </c>
      <c r="B2740" t="s">
        <v>26</v>
      </c>
      <c r="C2740" t="s">
        <v>32</v>
      </c>
      <c r="D2740" t="s">
        <v>19</v>
      </c>
      <c r="E2740">
        <v>71</v>
      </c>
      <c r="F2740">
        <v>91</v>
      </c>
      <c r="G2740">
        <v>4</v>
      </c>
      <c r="H2740" s="1">
        <v>4.2592592592592595E-3</v>
      </c>
      <c r="I2740" t="s">
        <v>18</v>
      </c>
      <c r="J2740" s="2" t="str">
        <f>HYPERLINK("https://www.nba.com/stats/events?CFID=&amp;CFPARAMS=&amp;GameEventID=428&amp;GameID=0041300404&amp;Season=2013-14&amp;flag=1&amp;title=Leonard%204'%20Jump%20Shot%20(20%20PTS)", "Leonard 4' Jump Shot (20 PTS)")</f>
        <v>Leonard 4' Jump Shot (20 PTS)</v>
      </c>
      <c r="K2740" s="2" t="str">
        <f>HYPERLINK("https://www.nba.com/game/...-vs-...-0041300404/play-by-play?watchFullGame=true", "SAS vs MIA - Q4 06:08.00")</f>
        <v>SAS vs MIA - Q4 06:08.00</v>
      </c>
      <c r="L2740">
        <v>4</v>
      </c>
      <c r="M2740">
        <v>13</v>
      </c>
      <c r="N2740">
        <v>34</v>
      </c>
      <c r="O2740">
        <v>13</v>
      </c>
      <c r="P2740">
        <v>34</v>
      </c>
    </row>
    <row r="2741" spans="1:16" x14ac:dyDescent="0.25">
      <c r="A2741">
        <v>42000172</v>
      </c>
      <c r="B2741" t="s">
        <v>83</v>
      </c>
      <c r="C2741" t="s">
        <v>32</v>
      </c>
      <c r="D2741" t="s">
        <v>19</v>
      </c>
      <c r="E2741">
        <v>90</v>
      </c>
      <c r="F2741">
        <v>98</v>
      </c>
      <c r="G2741">
        <v>3</v>
      </c>
      <c r="H2741" s="1">
        <v>7.6388888888888893E-4</v>
      </c>
      <c r="I2741" t="s">
        <v>23</v>
      </c>
      <c r="J2741" s="2" t="str">
        <f>HYPERLINK("https://www.nba.com/stats/events?CFID=&amp;CFPARAMS=&amp;GameEventID=447&amp;GameID=0042000172&amp;Season=2020-21&amp;flag=1&amp;title=Leonard%209'%20running%20Jump%20Shot%20(34%20PTS)%20(R.%20Rondo%205%20AST)", "9' running Jump Shot (34 PTS) (R. Rondo 5 AST)")</f>
        <v>9' running Jump Shot (34 PTS) (R. Rondo 5 AST)</v>
      </c>
      <c r="K2741" s="2" t="str">
        <f>HYPERLINK("https://www.nba.com/game/...-vs-...-0042000172/play-by-play?watchFullGame=true", "LAC vs DAL - Q3 01:06.00")</f>
        <v>LAC vs DAL - Q3 01:06.00</v>
      </c>
      <c r="L2741">
        <v>9.9499999999999993</v>
      </c>
      <c r="M2741">
        <v>13.75</v>
      </c>
      <c r="N2741">
        <v>37.32</v>
      </c>
      <c r="O2741">
        <v>13</v>
      </c>
      <c r="P2741">
        <v>37</v>
      </c>
    </row>
    <row r="2742" spans="1:16" x14ac:dyDescent="0.25">
      <c r="A2742">
        <v>42000177</v>
      </c>
      <c r="B2742" t="s">
        <v>83</v>
      </c>
      <c r="C2742" t="s">
        <v>32</v>
      </c>
      <c r="D2742" t="s">
        <v>19</v>
      </c>
      <c r="E2742">
        <v>108</v>
      </c>
      <c r="F2742">
        <v>91</v>
      </c>
      <c r="G2742">
        <v>4</v>
      </c>
      <c r="H2742" s="1">
        <v>5.347222222222222E-3</v>
      </c>
      <c r="I2742" t="s">
        <v>23</v>
      </c>
      <c r="J2742" s="2" t="str">
        <f>HYPERLINK("https://www.nba.com/stats/events?CFID=&amp;CFPARAMS=&amp;GameEventID=533&amp;GameID=0042000177&amp;Season=2020-21&amp;flag=1&amp;title=Leonard%209'%20pullup%20Jump%20Shot%20(28%20PTS)", "9' pullup Jump Shot (28 PTS)")</f>
        <v>9' pullup Jump Shot (28 PTS)</v>
      </c>
      <c r="K2742" s="2" t="str">
        <f>HYPERLINK("https://www.nba.com/game/...-vs-...-0042000177/play-by-play?watchFullGame=true", "LAC vs DAL - Q4 07:42.00")</f>
        <v>LAC vs DAL - Q4 07:42.00</v>
      </c>
      <c r="L2742">
        <v>9.4</v>
      </c>
      <c r="M2742">
        <v>13.62</v>
      </c>
      <c r="N2742">
        <v>38.79</v>
      </c>
      <c r="O2742">
        <v>13</v>
      </c>
      <c r="P2742">
        <v>38</v>
      </c>
    </row>
    <row r="2743" spans="1:16" x14ac:dyDescent="0.25">
      <c r="A2743">
        <v>42200172</v>
      </c>
      <c r="B2743" t="s">
        <v>86</v>
      </c>
      <c r="C2743" t="s">
        <v>32</v>
      </c>
      <c r="D2743" t="s">
        <v>44</v>
      </c>
      <c r="E2743">
        <v>85</v>
      </c>
      <c r="F2743">
        <v>79</v>
      </c>
      <c r="G2743">
        <v>3</v>
      </c>
      <c r="H2743" s="1">
        <v>1.4351851851851852E-3</v>
      </c>
      <c r="I2743" t="s">
        <v>23</v>
      </c>
      <c r="J2743" s="2" t="str">
        <f>HYPERLINK("https://www.nba.com/stats/events?CFID=&amp;CFPARAMS=&amp;GameEventID=433&amp;GameID=0042200172&amp;Season=2022-23&amp;flag=1&amp;title=Leonard%208'%20turnaround%20Hook%20(20%20PTS)", "8' turnaround Hook (20 PTS)")</f>
        <v>8' turnaround Hook (20 PTS)</v>
      </c>
      <c r="K2743" s="2" t="str">
        <f>HYPERLINK("https://www.nba.com/game/...-vs-...-0042200172/play-by-play?watchFullGame=true", "LAC vs PHX - Q3 02:04.00")</f>
        <v>LAC vs PHX - Q3 02:04.00</v>
      </c>
      <c r="L2743">
        <v>8.34</v>
      </c>
      <c r="M2743">
        <v>13.35</v>
      </c>
      <c r="N2743">
        <v>41.91</v>
      </c>
      <c r="O2743">
        <v>13</v>
      </c>
      <c r="P2743">
        <v>41</v>
      </c>
    </row>
    <row r="2744" spans="1:16" x14ac:dyDescent="0.25">
      <c r="A2744">
        <v>21401157</v>
      </c>
      <c r="B2744">
        <v>2014</v>
      </c>
      <c r="C2744" t="s">
        <v>32</v>
      </c>
      <c r="D2744" t="s">
        <v>40</v>
      </c>
      <c r="E2744">
        <v>5</v>
      </c>
      <c r="F2744">
        <v>13</v>
      </c>
      <c r="G2744">
        <v>1</v>
      </c>
      <c r="H2744" s="1">
        <v>3.8310185185185183E-3</v>
      </c>
      <c r="I2744" t="s">
        <v>18</v>
      </c>
      <c r="J2744" s="2" t="str">
        <f>HYPERLINK("https://www.nba.com/stats/events?CFID=&amp;CFPARAMS=&amp;GameEventID=76&amp;GameID=0021401157&amp;Season=2014-15&amp;flag=1&amp;title=Leonard%204'%20Hook%20Shot%20(9%20PTS)", "Leonard 4' Hook Shot (9 PTS)")</f>
        <v>Leonard 4' Hook Shot (9 PTS)</v>
      </c>
      <c r="K2744" s="2" t="str">
        <f>HYPERLINK("https://www.nba.com/game/...-vs-...-0021401157/play-by-play?watchFullGame=true", "SAS vs OKC - Q1 05:31.00")</f>
        <v>SAS vs OKC - Q1 05:31.00</v>
      </c>
      <c r="L2744">
        <v>4</v>
      </c>
      <c r="M2744">
        <v>13</v>
      </c>
      <c r="N2744">
        <v>41</v>
      </c>
      <c r="O2744">
        <v>13</v>
      </c>
      <c r="P2744">
        <v>41</v>
      </c>
    </row>
    <row r="2745" spans="1:16" x14ac:dyDescent="0.25">
      <c r="A2745">
        <v>42300172</v>
      </c>
      <c r="B2745" t="s">
        <v>84</v>
      </c>
      <c r="C2745" t="s">
        <v>32</v>
      </c>
      <c r="D2745" t="s">
        <v>19</v>
      </c>
      <c r="E2745">
        <v>45</v>
      </c>
      <c r="F2745">
        <v>50</v>
      </c>
      <c r="G2745">
        <v>3</v>
      </c>
      <c r="H2745" s="1">
        <v>7.1296296296296299E-3</v>
      </c>
      <c r="I2745" t="s">
        <v>23</v>
      </c>
      <c r="J2745" s="2" t="str">
        <f>HYPERLINK("https://www.nba.com/stats/events?CFID=&amp;CFPARAMS=&amp;GameEventID=360&amp;GameID=0042300172&amp;Season=2023-24&amp;flag=1&amp;title=Leonard%207'%20driving%20floating%20Jump%20Shot%20(8%20PTS)", "7' driving floating Jump Shot (8 PTS)")</f>
        <v>7' driving floating Jump Shot (8 PTS)</v>
      </c>
      <c r="K2745" s="2" t="str">
        <f>HYPERLINK("https://www.nba.com/game/...-vs-...-0042300172/play-by-play?watchFullGame=true", "LAC vs DAL - Q3 10:16.00")</f>
        <v>LAC vs DAL - Q3 10:16.00</v>
      </c>
      <c r="L2745">
        <v>7.91</v>
      </c>
      <c r="M2745">
        <v>13.58</v>
      </c>
      <c r="N2745">
        <v>45.1</v>
      </c>
      <c r="O2745">
        <v>13</v>
      </c>
      <c r="P2745">
        <v>45</v>
      </c>
    </row>
    <row r="2746" spans="1:16" x14ac:dyDescent="0.25">
      <c r="A2746">
        <v>21900224</v>
      </c>
      <c r="B2746">
        <v>2019</v>
      </c>
      <c r="C2746" t="s">
        <v>32</v>
      </c>
      <c r="D2746" t="s">
        <v>50</v>
      </c>
      <c r="E2746">
        <v>38</v>
      </c>
      <c r="F2746">
        <v>29</v>
      </c>
      <c r="G2746">
        <v>2</v>
      </c>
      <c r="H2746" s="1">
        <v>6.2152777777777779E-3</v>
      </c>
      <c r="I2746" t="s">
        <v>23</v>
      </c>
      <c r="J2746" s="2" t="str">
        <f>HYPERLINK("https://www.nba.com/stats/events?CFID=&amp;CFPARAMS=&amp;GameEventID=203&amp;GameID=0021900224&amp;Season=2019-20&amp;flag=1&amp;title=Leonard%20layup%20(8%20PTS)", "Layup (8 PTS)")</f>
        <v>Layup (8 PTS)</v>
      </c>
      <c r="K2746" s="2" t="str">
        <f>HYPERLINK("https://www.nba.com/game/...-vs-...-0021900224/play-by-play?watchFullGame=true", "LAC vs HOU - Q2 08:57.00")</f>
        <v>LAC vs HOU - Q2 08:57.00</v>
      </c>
      <c r="L2746">
        <v>5.3</v>
      </c>
      <c r="M2746">
        <v>89.54</v>
      </c>
      <c r="N2746">
        <v>52.63</v>
      </c>
      <c r="O2746">
        <v>13</v>
      </c>
      <c r="P2746">
        <v>46</v>
      </c>
    </row>
    <row r="2747" spans="1:16" x14ac:dyDescent="0.25">
      <c r="A2747">
        <v>22001047</v>
      </c>
      <c r="B2747">
        <v>2020</v>
      </c>
      <c r="C2747" t="s">
        <v>32</v>
      </c>
      <c r="D2747" t="s">
        <v>47</v>
      </c>
      <c r="E2747">
        <v>71</v>
      </c>
      <c r="F2747">
        <v>75</v>
      </c>
      <c r="G2747">
        <v>3</v>
      </c>
      <c r="H2747" s="1">
        <v>1.5972222222222223E-3</v>
      </c>
      <c r="I2747" t="s">
        <v>23</v>
      </c>
      <c r="J2747" s="2" t="str">
        <f>HYPERLINK("https://www.nba.com/stats/events?CFID=&amp;CFPARAMS=&amp;GameEventID=406&amp;GameID=0022001047&amp;Season=2020-21&amp;flag=1&amp;title=Leonard%20cutting%20Layup%20(15%20PTS)%20(R.%20Rondo%202%20AST)", "Cutting Layup (15 PTS) (R. Rondo 2 AST)")</f>
        <v>Cutting Layup (15 PTS) (R. Rondo 2 AST)</v>
      </c>
      <c r="K2747" s="2" t="str">
        <f>HYPERLINK("https://www.nba.com/game/...-vs-...-0022001047/play-by-play?watchFullGame=true", "LAC vs CHA - Q3 02:18.00")</f>
        <v>LAC vs CHA - Q3 02:18.00</v>
      </c>
      <c r="L2747">
        <v>1.26</v>
      </c>
      <c r="M2747">
        <v>94.43</v>
      </c>
      <c r="N2747">
        <v>52.52</v>
      </c>
      <c r="O2747">
        <v>13</v>
      </c>
      <c r="P2747">
        <v>52</v>
      </c>
    </row>
    <row r="2748" spans="1:16" x14ac:dyDescent="0.25">
      <c r="A2748">
        <v>21900419</v>
      </c>
      <c r="B2748">
        <v>2019</v>
      </c>
      <c r="C2748" t="s">
        <v>32</v>
      </c>
      <c r="D2748" t="s">
        <v>22</v>
      </c>
      <c r="E2748">
        <v>51</v>
      </c>
      <c r="F2748">
        <v>43</v>
      </c>
      <c r="G2748">
        <v>2</v>
      </c>
      <c r="H2748" s="1">
        <v>4.4560185185185189E-3</v>
      </c>
      <c r="I2748" t="s">
        <v>23</v>
      </c>
      <c r="J2748" s="2" t="str">
        <f>HYPERLINK("https://www.nba.com/stats/events?CFID=&amp;CFPARAMS=&amp;GameEventID=225&amp;GameID=0021900419&amp;Season=2019-20&amp;flag=1&amp;title=Leonard%206'%20jumpshot%20(13%20PTS)", "6' jumpshot (13 PTS)")</f>
        <v>6' jumpshot (13 PTS)</v>
      </c>
      <c r="K2748" s="2" t="str">
        <f>HYPERLINK("https://www.nba.com/game/...-vs-...-0021900419/play-by-play?watchFullGame=true", "LAC vs HOU - Q2 06:25.00")</f>
        <v>LAC vs HOU - Q2 06:25.00</v>
      </c>
      <c r="L2748">
        <v>6.39</v>
      </c>
      <c r="M2748">
        <v>88.35</v>
      </c>
      <c r="N2748">
        <v>52.63</v>
      </c>
      <c r="O2748">
        <v>13</v>
      </c>
      <c r="P2748">
        <v>57</v>
      </c>
    </row>
    <row r="2749" spans="1:16" x14ac:dyDescent="0.25">
      <c r="A2749">
        <v>42200171</v>
      </c>
      <c r="B2749" t="s">
        <v>86</v>
      </c>
      <c r="C2749" t="s">
        <v>32</v>
      </c>
      <c r="D2749" t="s">
        <v>19</v>
      </c>
      <c r="E2749">
        <v>56</v>
      </c>
      <c r="F2749">
        <v>61</v>
      </c>
      <c r="G2749">
        <v>3</v>
      </c>
      <c r="H2749" s="1">
        <v>7.8819444444444449E-3</v>
      </c>
      <c r="I2749" t="s">
        <v>23</v>
      </c>
      <c r="J2749" s="2" t="str">
        <f>HYPERLINK("https://www.nba.com/stats/events?CFID=&amp;CFPARAMS=&amp;GameEventID=344&amp;GameID=0042200171&amp;Season=2022-23&amp;flag=1&amp;title=Leonard%208'%20fadeaway%20Jump%20Shot%20(15%20PTS)", "8' fadeaway Jump Shot (15 PTS)")</f>
        <v>8' fadeaway Jump Shot (15 PTS)</v>
      </c>
      <c r="K2749" s="2" t="str">
        <f>HYPERLINK("https://www.nba.com/game/...-vs-...-0042200171/play-by-play?watchFullGame=true", "LAC vs PHX - Q3 11:21.00")</f>
        <v>LAC vs PHX - Q3 11:21.00</v>
      </c>
      <c r="L2749">
        <v>8.81</v>
      </c>
      <c r="M2749">
        <v>13.09</v>
      </c>
      <c r="N2749">
        <v>60.54</v>
      </c>
      <c r="O2749">
        <v>13</v>
      </c>
      <c r="P2749">
        <v>60</v>
      </c>
    </row>
    <row r="2750" spans="1:16" x14ac:dyDescent="0.25">
      <c r="A2750">
        <v>22201041</v>
      </c>
      <c r="B2750">
        <v>2022</v>
      </c>
      <c r="C2750" t="s">
        <v>32</v>
      </c>
      <c r="D2750" t="s">
        <v>44</v>
      </c>
      <c r="E2750">
        <v>20</v>
      </c>
      <c r="F2750">
        <v>17</v>
      </c>
      <c r="G2750">
        <v>1</v>
      </c>
      <c r="H2750" s="1">
        <v>1.724537037037037E-3</v>
      </c>
      <c r="I2750" t="s">
        <v>23</v>
      </c>
      <c r="J2750" s="2" t="str">
        <f>HYPERLINK("https://www.nba.com/stats/events?CFID=&amp;CFPARAMS=&amp;GameEventID=140&amp;GameID=0022201041&amp;Season=2022-23&amp;flag=1&amp;title=Leonard%207'%20turnaround%20Hook%20(6%20PTS)", "7' turnaround Hook (6 PTS)")</f>
        <v>7' turnaround Hook (6 PTS)</v>
      </c>
      <c r="K2750" s="2" t="str">
        <f>HYPERLINK("https://www.nba.com/game/...-vs-...-0022201041/play-by-play?watchFullGame=true", "LAC vs GSW - Q1 02:29.00")</f>
        <v>LAC vs GSW - Q1 02:29.00</v>
      </c>
      <c r="L2750">
        <v>7.27</v>
      </c>
      <c r="M2750">
        <v>13.32</v>
      </c>
      <c r="N2750">
        <v>50</v>
      </c>
      <c r="O2750">
        <v>13</v>
      </c>
      <c r="P2750">
        <v>73</v>
      </c>
    </row>
    <row r="2751" spans="1:16" x14ac:dyDescent="0.25">
      <c r="A2751">
        <v>22000172</v>
      </c>
      <c r="B2751">
        <v>2020</v>
      </c>
      <c r="C2751" t="s">
        <v>32</v>
      </c>
      <c r="D2751" t="s">
        <v>19</v>
      </c>
      <c r="E2751">
        <v>102</v>
      </c>
      <c r="F2751">
        <v>91</v>
      </c>
      <c r="G2751">
        <v>4</v>
      </c>
      <c r="H2751" s="1">
        <v>2.8703703703703703E-3</v>
      </c>
      <c r="I2751" t="s">
        <v>23</v>
      </c>
      <c r="J2751" s="2" t="str">
        <f>HYPERLINK("https://www.nba.com/stats/events?CFID=&amp;CFPARAMS=&amp;GameEventID=520&amp;GameID=0022000172&amp;Season=2020-21&amp;flag=1&amp;title=Leonard%2010'%20floating%20Jump%20Shot%20(25%20PTS)", "10' floating Jump Shot (25 PTS)")</f>
        <v>10' floating Jump Shot (25 PTS)</v>
      </c>
      <c r="K2751" s="2" t="str">
        <f>HYPERLINK("https://www.nba.com/game/...-vs-...-0022000172/play-by-play?watchFullGame=true", "LAC vs NOP - Q4 04:08.00")</f>
        <v>LAC vs NOP - Q4 04:08.00</v>
      </c>
      <c r="L2751">
        <v>10.35</v>
      </c>
      <c r="M2751">
        <v>83.49</v>
      </c>
      <c r="N2751">
        <v>52.63</v>
      </c>
      <c r="O2751">
        <v>13</v>
      </c>
      <c r="P2751">
        <v>103</v>
      </c>
    </row>
    <row r="2752" spans="1:16" x14ac:dyDescent="0.25">
      <c r="A2752">
        <v>22200945</v>
      </c>
      <c r="B2752">
        <v>2022</v>
      </c>
      <c r="C2752" t="s">
        <v>32</v>
      </c>
      <c r="D2752" t="s">
        <v>19</v>
      </c>
      <c r="E2752">
        <v>47</v>
      </c>
      <c r="F2752">
        <v>58</v>
      </c>
      <c r="G2752">
        <v>3</v>
      </c>
      <c r="H2752" s="1">
        <v>7.4652777777777781E-3</v>
      </c>
      <c r="I2752" t="s">
        <v>23</v>
      </c>
      <c r="J2752" s="2" t="str">
        <f>HYPERLINK("https://www.nba.com/stats/events?CFID=&amp;CFPARAMS=&amp;GameEventID=366&amp;GameID=0022200945&amp;Season=2022-23&amp;flag=1&amp;title=Leonard%2011'%20pullup%20Jump%20Shot%20(17%20PTS)", "11' pullup Jump Shot (17 PTS)")</f>
        <v>11' pullup Jump Shot (17 PTS)</v>
      </c>
      <c r="K2752" s="2" t="str">
        <f>HYPERLINK("https://www.nba.com/game/...-vs-...-0022200945/play-by-play?watchFullGame=true", "LAC vs GSW - Q3 10:45.00")</f>
        <v>LAC vs GSW - Q3 10:45.00</v>
      </c>
      <c r="L2752">
        <v>11.83</v>
      </c>
      <c r="M2752">
        <v>18.079999999999998</v>
      </c>
      <c r="N2752">
        <v>47.3</v>
      </c>
      <c r="O2752">
        <v>13</v>
      </c>
      <c r="P2752">
        <v>117</v>
      </c>
    </row>
    <row r="2753" spans="1:16" x14ac:dyDescent="0.25">
      <c r="A2753">
        <v>22200668</v>
      </c>
      <c r="B2753">
        <v>2022</v>
      </c>
      <c r="C2753" t="s">
        <v>32</v>
      </c>
      <c r="D2753" t="s">
        <v>19</v>
      </c>
      <c r="E2753">
        <v>43</v>
      </c>
      <c r="F2753">
        <v>53</v>
      </c>
      <c r="G2753">
        <v>2</v>
      </c>
      <c r="H2753" s="1">
        <v>2.8240740740740739E-3</v>
      </c>
      <c r="I2753" t="s">
        <v>23</v>
      </c>
      <c r="J2753" s="2" t="str">
        <f>HYPERLINK("https://www.nba.com/stats/events?CFID=&amp;CFPARAMS=&amp;GameEventID=259&amp;GameID=0022200668&amp;Season=2022-23&amp;flag=1&amp;title=Leonard%2016'%20pullup%20Jump%20Shot%20(9%20PTS)", "16' pullup Jump Shot (9 PTS)")</f>
        <v>16' pullup Jump Shot (9 PTS)</v>
      </c>
      <c r="K2753" s="2" t="str">
        <f>HYPERLINK("https://www.nba.com/game/...-vs-...-0022200668/play-by-play?watchFullGame=true", "LAC vs PHI - Q2 04:04.00")</f>
        <v>LAC vs PHI - Q2 04:04.00</v>
      </c>
      <c r="L2753">
        <v>16.260000000000002</v>
      </c>
      <c r="M2753">
        <v>77.180000000000007</v>
      </c>
      <c r="N2753">
        <v>52.7</v>
      </c>
      <c r="O2753">
        <v>13</v>
      </c>
      <c r="P2753">
        <v>162</v>
      </c>
    </row>
    <row r="2754" spans="1:16" x14ac:dyDescent="0.25">
      <c r="A2754">
        <v>41800111</v>
      </c>
      <c r="B2754" t="s">
        <v>20</v>
      </c>
      <c r="C2754" t="s">
        <v>16</v>
      </c>
      <c r="D2754" t="s">
        <v>87</v>
      </c>
      <c r="E2754">
        <v>58</v>
      </c>
      <c r="F2754">
        <v>59</v>
      </c>
      <c r="G2754">
        <v>3</v>
      </c>
      <c r="H2754" s="1">
        <v>6.122685185185185E-3</v>
      </c>
      <c r="I2754" t="s">
        <v>21</v>
      </c>
      <c r="J2754" s="2" t="str">
        <f>HYPERLINK("https://www.nba.com/stats/events?CFID=&amp;CFPARAMS=&amp;GameEventID=338&amp;GameID=0041800111&amp;Season=2018-19&amp;flag=1&amp;title=Leonard%2024'%203PT%20Running%20Pull-Up%20Jump%20Shot%20(16%20PTS)", "Leonard 24' 3PT Running Pull-Up Jump Shot (16 PTS)")</f>
        <v>Leonard 24' 3PT Running Pull-Up Jump Shot (16 PTS)</v>
      </c>
      <c r="K2754" s="2" t="str">
        <f>HYPERLINK("https://www.nba.com/game/...-vs-...-0041800111/play-by-play?watchFullGame=true", "TOR vs ORL - Q3 08:49.00")</f>
        <v>TOR vs ORL - Q3 08:49.00</v>
      </c>
      <c r="L2754">
        <v>24</v>
      </c>
      <c r="M2754">
        <v>13</v>
      </c>
      <c r="N2754">
        <v>242</v>
      </c>
      <c r="O2754">
        <v>13</v>
      </c>
      <c r="P2754">
        <v>242</v>
      </c>
    </row>
    <row r="2755" spans="1:16" x14ac:dyDescent="0.25">
      <c r="A2755">
        <v>21600272</v>
      </c>
      <c r="B2755">
        <v>2016</v>
      </c>
      <c r="C2755" t="s">
        <v>32</v>
      </c>
      <c r="D2755" t="s">
        <v>57</v>
      </c>
      <c r="E2755">
        <v>60</v>
      </c>
      <c r="F2755">
        <v>49</v>
      </c>
      <c r="G2755">
        <v>3</v>
      </c>
      <c r="H2755" s="1">
        <v>2.3958333333333331E-3</v>
      </c>
      <c r="I2755" t="s">
        <v>18</v>
      </c>
      <c r="J2755" s="2" t="str">
        <f>HYPERLINK("https://www.nba.com/stats/events?CFID=&amp;CFPARAMS=&amp;GameEventID=326&amp;GameID=0021600272&amp;Season=2016-17&amp;flag=1&amp;title=Leonard%201'%20Layup%20(5%20PTS)%20(Green%201%20AST)", "Leonard 1' Layup (5 PTS) (Green 1 AST)")</f>
        <v>Leonard 1' Layup (5 PTS) (Green 1 AST)</v>
      </c>
      <c r="K2755" s="2" t="str">
        <f>HYPERLINK("https://www.nba.com/game/...-vs-...-0021600272/play-by-play?watchFullGame=true", "SAS vs DAL - Q3 03:27.00")</f>
        <v>SAS vs DAL - Q3 03:27.00</v>
      </c>
      <c r="L2755">
        <v>1</v>
      </c>
      <c r="M2755">
        <v>14</v>
      </c>
      <c r="N2755">
        <v>-5</v>
      </c>
      <c r="O2755">
        <v>14</v>
      </c>
      <c r="P2755">
        <v>-5</v>
      </c>
    </row>
    <row r="2756" spans="1:16" x14ac:dyDescent="0.25">
      <c r="A2756">
        <v>21600454</v>
      </c>
      <c r="B2756">
        <v>2016</v>
      </c>
      <c r="C2756" t="s">
        <v>32</v>
      </c>
      <c r="D2756" t="s">
        <v>56</v>
      </c>
      <c r="E2756">
        <v>78</v>
      </c>
      <c r="F2756">
        <v>96</v>
      </c>
      <c r="G2756">
        <v>4</v>
      </c>
      <c r="H2756" s="1">
        <v>5.0347222222222225E-3</v>
      </c>
      <c r="I2756" t="s">
        <v>18</v>
      </c>
      <c r="J2756" s="2" t="str">
        <f>HYPERLINK("https://www.nba.com/stats/events?CFID=&amp;CFPARAMS=&amp;GameEventID=439&amp;GameID=0021600454&amp;Season=2016-17&amp;flag=1&amp;title=Leonard%201'%20Running%20Layup%20(26%20PTS)", "Leonard 1' Running Layup (26 PTS)")</f>
        <v>Leonard 1' Running Layup (26 PTS)</v>
      </c>
      <c r="K2756" s="2" t="str">
        <f>HYPERLINK("https://www.nba.com/game/...-vs-...-0021600454/play-by-play?watchFullGame=true", "SAS vs POR - Q4 07:15.00")</f>
        <v>SAS vs POR - Q4 07:15.00</v>
      </c>
      <c r="L2756">
        <v>1</v>
      </c>
      <c r="M2756">
        <v>14</v>
      </c>
      <c r="N2756">
        <v>-1</v>
      </c>
      <c r="O2756">
        <v>14</v>
      </c>
      <c r="P2756">
        <v>-1</v>
      </c>
    </row>
    <row r="2757" spans="1:16" x14ac:dyDescent="0.25">
      <c r="A2757">
        <v>22000720</v>
      </c>
      <c r="B2757">
        <v>2020</v>
      </c>
      <c r="C2757" t="s">
        <v>32</v>
      </c>
      <c r="D2757" t="s">
        <v>47</v>
      </c>
      <c r="E2757">
        <v>19</v>
      </c>
      <c r="F2757">
        <v>10</v>
      </c>
      <c r="G2757">
        <v>1</v>
      </c>
      <c r="H2757" s="1">
        <v>3.8773148148148148E-3</v>
      </c>
      <c r="I2757" t="s">
        <v>23</v>
      </c>
      <c r="J2757" s="2" t="str">
        <f>HYPERLINK("https://www.nba.com/stats/events?CFID=&amp;CFPARAMS=&amp;GameEventID=60&amp;GameID=0022000720&amp;Season=2020-21&amp;flag=1&amp;title=Leonard%20driving%20Layup%20(7%20PTS)%20(R.%20Jackson%202%20AST)", "Driving Layup (7 PTS) (R. Jackson 2 AST)")</f>
        <v>Driving Layup (7 PTS) (R. Jackson 2 AST)</v>
      </c>
      <c r="K2757" s="2" t="str">
        <f>HYPERLINK("https://www.nba.com/game/...-vs-...-0022000720/play-by-play?watchFullGame=true", "LAC vs ORL - Q1 05:35.00")</f>
        <v>LAC vs ORL - Q1 05:35.00</v>
      </c>
      <c r="L2757">
        <v>1.45</v>
      </c>
      <c r="M2757">
        <v>5.73</v>
      </c>
      <c r="N2757">
        <v>47.13</v>
      </c>
      <c r="O2757">
        <v>14</v>
      </c>
      <c r="P2757">
        <v>1</v>
      </c>
    </row>
    <row r="2758" spans="1:16" x14ac:dyDescent="0.25">
      <c r="A2758">
        <v>21500759</v>
      </c>
      <c r="B2758">
        <v>2015</v>
      </c>
      <c r="C2758" t="s">
        <v>32</v>
      </c>
      <c r="D2758" t="s">
        <v>57</v>
      </c>
      <c r="E2758">
        <v>34</v>
      </c>
      <c r="F2758">
        <v>67</v>
      </c>
      <c r="G2758">
        <v>3</v>
      </c>
      <c r="H2758" s="1">
        <v>6.0069444444444441E-3</v>
      </c>
      <c r="I2758" t="s">
        <v>18</v>
      </c>
      <c r="J2758" s="2" t="str">
        <f>HYPERLINK("https://www.nba.com/stats/events?CFID=&amp;CFPARAMS=&amp;GameEventID=284&amp;GameID=0021500759&amp;Season=2015-16&amp;flag=1&amp;title=Leonard%201'%20Layup%20(18%20PTS)%20(Diaw%204%20AST)", "Leonard 1' Layup (18 PTS) (Diaw 4 AST)")</f>
        <v>Leonard 1' Layup (18 PTS) (Diaw 4 AST)</v>
      </c>
      <c r="K2758" s="2" t="str">
        <f>HYPERLINK("https://www.nba.com/game/...-vs-...-0021500759/play-by-play?watchFullGame=true", "SAS vs DAL - Q3 08:39.00")</f>
        <v>SAS vs DAL - Q3 08:39.00</v>
      </c>
      <c r="L2758">
        <v>1</v>
      </c>
      <c r="M2758">
        <v>14</v>
      </c>
      <c r="N2758">
        <v>3</v>
      </c>
      <c r="O2758">
        <v>14</v>
      </c>
      <c r="P2758">
        <v>3</v>
      </c>
    </row>
    <row r="2759" spans="1:16" x14ac:dyDescent="0.25">
      <c r="A2759">
        <v>21900157</v>
      </c>
      <c r="B2759">
        <v>2019</v>
      </c>
      <c r="C2759" t="s">
        <v>32</v>
      </c>
      <c r="D2759" t="s">
        <v>65</v>
      </c>
      <c r="E2759">
        <v>51</v>
      </c>
      <c r="F2759">
        <v>45</v>
      </c>
      <c r="G2759">
        <v>3</v>
      </c>
      <c r="H2759" s="1">
        <v>6.1689814814814819E-3</v>
      </c>
      <c r="I2759" t="s">
        <v>23</v>
      </c>
      <c r="J2759" s="2" t="str">
        <f>HYPERLINK("https://www.nba.com/stats/events?CFID=&amp;CFPARAMS=&amp;GameEventID=373&amp;GameID=0021900157&amp;Season=2019-20&amp;flag=1&amp;title=Leonard%20dunk%20(16%20PTS)%20(L.%20Williams%203%20AST)", "Dunk (16 PTS) (L. Williams 3 AST)")</f>
        <v>Dunk (16 PTS) (L. Williams 3 AST)</v>
      </c>
      <c r="K2759" s="2" t="str">
        <f>HYPERLINK("https://www.nba.com/game/...-vs-...-0021900157/play-by-play?watchFullGame=true", "LAC vs HOU - Q3 08:53.00")</f>
        <v>LAC vs HOU - Q3 08:53.00</v>
      </c>
      <c r="L2759">
        <v>1.8</v>
      </c>
      <c r="M2759">
        <v>6.23</v>
      </c>
      <c r="N2759">
        <v>47.23</v>
      </c>
      <c r="O2759">
        <v>14</v>
      </c>
      <c r="P2759">
        <v>6</v>
      </c>
    </row>
    <row r="2760" spans="1:16" x14ac:dyDescent="0.25">
      <c r="A2760">
        <v>41600154</v>
      </c>
      <c r="B2760" t="s">
        <v>30</v>
      </c>
      <c r="C2760" t="s">
        <v>32</v>
      </c>
      <c r="D2760" t="s">
        <v>56</v>
      </c>
      <c r="E2760">
        <v>88</v>
      </c>
      <c r="F2760">
        <v>87</v>
      </c>
      <c r="G2760">
        <v>4</v>
      </c>
      <c r="H2760" s="1">
        <v>2.0486111111111113E-3</v>
      </c>
      <c r="I2760" t="s">
        <v>18</v>
      </c>
      <c r="J2760" s="2" t="str">
        <f>HYPERLINK("https://www.nba.com/stats/events?CFID=&amp;CFPARAMS=&amp;GameEventID=466&amp;GameID=0041600154&amp;Season=2016-17&amp;flag=1&amp;title=Leonard%202'%20Running%20Layup%20(26%20PTS)", "Leonard 2' Running Layup (26 PTS)")</f>
        <v>Leonard 2' Running Layup (26 PTS)</v>
      </c>
      <c r="K2760" s="2" t="str">
        <f>HYPERLINK("https://www.nba.com/game/...-vs-...-0041600154/play-by-play?watchFullGame=true", "SAS vs MEM - Q4 02:57.00")</f>
        <v>SAS vs MEM - Q4 02:57.00</v>
      </c>
      <c r="L2760">
        <v>2</v>
      </c>
      <c r="M2760">
        <v>14</v>
      </c>
      <c r="N2760">
        <v>7</v>
      </c>
      <c r="O2760">
        <v>14</v>
      </c>
      <c r="P2760">
        <v>7</v>
      </c>
    </row>
    <row r="2761" spans="1:16" x14ac:dyDescent="0.25">
      <c r="A2761">
        <v>21600605</v>
      </c>
      <c r="B2761">
        <v>2016</v>
      </c>
      <c r="C2761" t="s">
        <v>32</v>
      </c>
      <c r="D2761" t="s">
        <v>49</v>
      </c>
      <c r="E2761">
        <v>98</v>
      </c>
      <c r="F2761">
        <v>98</v>
      </c>
      <c r="G2761">
        <v>4</v>
      </c>
      <c r="H2761" s="1">
        <v>2.7777777777777779E-3</v>
      </c>
      <c r="I2761" t="s">
        <v>18</v>
      </c>
      <c r="J2761" s="2" t="str">
        <f>HYPERLINK("https://www.nba.com/stats/events?CFID=&amp;CFPARAMS=&amp;GameEventID=498&amp;GameID=0021600605&amp;Season=2016-17&amp;flag=1&amp;title=Leonard%202'%20Driving%20Layup%20(33%20PTS)", "Leonard 2' Driving Layup (33 PTS)")</f>
        <v>Leonard 2' Driving Layup (33 PTS)</v>
      </c>
      <c r="K2761" s="2" t="str">
        <f>HYPERLINK("https://www.nba.com/game/...-vs-...-0021600605/play-by-play?watchFullGame=true", "SAS vs PHX - Q4 04:00.00")</f>
        <v>SAS vs PHX - Q4 04:00.00</v>
      </c>
      <c r="L2761">
        <v>2</v>
      </c>
      <c r="M2761">
        <v>14</v>
      </c>
      <c r="N2761">
        <v>8</v>
      </c>
      <c r="O2761">
        <v>14</v>
      </c>
      <c r="P2761">
        <v>8</v>
      </c>
    </row>
    <row r="2762" spans="1:16" x14ac:dyDescent="0.25">
      <c r="A2762">
        <v>41800217</v>
      </c>
      <c r="B2762" t="s">
        <v>20</v>
      </c>
      <c r="C2762" t="s">
        <v>32</v>
      </c>
      <c r="D2762" t="s">
        <v>38</v>
      </c>
      <c r="E2762">
        <v>46</v>
      </c>
      <c r="F2762">
        <v>40</v>
      </c>
      <c r="G2762">
        <v>3</v>
      </c>
      <c r="H2762" s="1">
        <v>8.1597222222222227E-3</v>
      </c>
      <c r="I2762" t="s">
        <v>21</v>
      </c>
      <c r="J2762" s="2" t="str">
        <f>HYPERLINK("https://www.nba.com/stats/events?CFID=&amp;CFPARAMS=&amp;GameEventID=312&amp;GameID=0041800217&amp;Season=2018-19&amp;flag=1&amp;title=Leonard%202'%20Jump%20Bank%20Shot%20(17%20PTS)", "Leonard 2' Jump Bank Shot (17 PTS)")</f>
        <v>Leonard 2' Jump Bank Shot (17 PTS)</v>
      </c>
      <c r="K2762" s="2" t="str">
        <f>HYPERLINK("https://www.nba.com/game/...-vs-...-0041800217/play-by-play?watchFullGame=true", "TOR vs PHI - Q3 11:45.00")</f>
        <v>TOR vs PHI - Q3 11:45.00</v>
      </c>
      <c r="L2762">
        <v>2</v>
      </c>
      <c r="M2762">
        <v>14</v>
      </c>
      <c r="N2762">
        <v>10</v>
      </c>
      <c r="O2762">
        <v>14</v>
      </c>
      <c r="P2762">
        <v>10</v>
      </c>
    </row>
    <row r="2763" spans="1:16" x14ac:dyDescent="0.25">
      <c r="A2763">
        <v>21600441</v>
      </c>
      <c r="B2763">
        <v>2016</v>
      </c>
      <c r="C2763" t="s">
        <v>32</v>
      </c>
      <c r="D2763" t="s">
        <v>71</v>
      </c>
      <c r="E2763">
        <v>57</v>
      </c>
      <c r="F2763">
        <v>45</v>
      </c>
      <c r="G2763">
        <v>2</v>
      </c>
      <c r="H2763" s="1">
        <v>2.3148148148148148E-6</v>
      </c>
      <c r="I2763" t="s">
        <v>18</v>
      </c>
      <c r="J2763" s="2" t="str">
        <f>HYPERLINK("https://www.nba.com/stats/events?CFID=&amp;CFPARAMS=&amp;GameEventID=288&amp;GameID=0021600441&amp;Season=2016-17&amp;flag=1&amp;title=Leonard%202'%20Tip%20Layup%20Shot%20(17%20PTS)", "Leonard 2' Tip Layup Shot (17 PTS)")</f>
        <v>Leonard 2' Tip Layup Shot (17 PTS)</v>
      </c>
      <c r="K2763" s="2" t="str">
        <f>HYPERLINK("https://www.nba.com/game/...-vs-...-0021600441/play-by-play?watchFullGame=true", "SAS vs LAC - Q2 00:00.20")</f>
        <v>SAS vs LAC - Q2 00:00.20</v>
      </c>
      <c r="L2763">
        <v>2</v>
      </c>
      <c r="M2763">
        <v>14</v>
      </c>
      <c r="N2763">
        <v>11</v>
      </c>
      <c r="O2763">
        <v>14</v>
      </c>
      <c r="P2763">
        <v>11</v>
      </c>
    </row>
    <row r="2764" spans="1:16" x14ac:dyDescent="0.25">
      <c r="A2764">
        <v>22001047</v>
      </c>
      <c r="B2764">
        <v>2020</v>
      </c>
      <c r="C2764" t="s">
        <v>32</v>
      </c>
      <c r="D2764" t="s">
        <v>47</v>
      </c>
      <c r="E2764">
        <v>53</v>
      </c>
      <c r="F2764">
        <v>51</v>
      </c>
      <c r="G2764">
        <v>3</v>
      </c>
      <c r="H2764" s="1">
        <v>6.5624999999999998E-3</v>
      </c>
      <c r="I2764" t="s">
        <v>23</v>
      </c>
      <c r="J2764" s="2" t="str">
        <f>HYPERLINK("https://www.nba.com/stats/events?CFID=&amp;CFPARAMS=&amp;GameEventID=335&amp;GameID=0022001047&amp;Season=2020-21&amp;flag=1&amp;title=Leonard%20Layup%20(13%20PTS)%20(M.%20Morris%20Sr.%201%20AST)", "Layup (13 PTS) (M. Morris Sr. 1 AST)")</f>
        <v>Layup (13 PTS) (M. Morris Sr. 1 AST)</v>
      </c>
      <c r="K2764" s="2" t="str">
        <f>HYPERLINK("https://www.nba.com/game/...-vs-...-0022001047/play-by-play?watchFullGame=true", "LAC vs CHA - Q3 09:27.00")</f>
        <v>LAC vs CHA - Q3 09:27.00</v>
      </c>
      <c r="L2764">
        <v>1.84</v>
      </c>
      <c r="M2764">
        <v>93.12</v>
      </c>
      <c r="N2764">
        <v>52.77</v>
      </c>
      <c r="O2764">
        <v>14</v>
      </c>
      <c r="P2764">
        <v>12</v>
      </c>
    </row>
    <row r="2765" spans="1:16" x14ac:dyDescent="0.25">
      <c r="A2765">
        <v>21900419</v>
      </c>
      <c r="B2765">
        <v>2019</v>
      </c>
      <c r="C2765" t="s">
        <v>32</v>
      </c>
      <c r="D2765" t="s">
        <v>50</v>
      </c>
      <c r="E2765">
        <v>113</v>
      </c>
      <c r="F2765">
        <v>107</v>
      </c>
      <c r="G2765">
        <v>4</v>
      </c>
      <c r="H2765" s="1">
        <v>3.1134259259259257E-3</v>
      </c>
      <c r="I2765" t="s">
        <v>23</v>
      </c>
      <c r="J2765" s="2" t="str">
        <f>HYPERLINK("https://www.nba.com/stats/events?CFID=&amp;CFPARAMS=&amp;GameEventID=609&amp;GameID=0021900419&amp;Season=2019-20&amp;flag=1&amp;title=Leonard%20layup%20(25%20PTS)", "Layup (25 PTS)")</f>
        <v>Layup (25 PTS)</v>
      </c>
      <c r="K2765" s="2" t="str">
        <f>HYPERLINK("https://www.nba.com/game/...-vs-...-0021900419/play-by-play?watchFullGame=true", "LAC vs HOU - Q4 04:29.00")</f>
        <v>LAC vs HOU - Q4 04:29.00</v>
      </c>
      <c r="L2765">
        <v>2.34</v>
      </c>
      <c r="M2765">
        <v>7.01</v>
      </c>
      <c r="N2765">
        <v>47.23</v>
      </c>
      <c r="O2765">
        <v>14</v>
      </c>
      <c r="P2765">
        <v>13</v>
      </c>
    </row>
    <row r="2766" spans="1:16" x14ac:dyDescent="0.25">
      <c r="A2766">
        <v>21501043</v>
      </c>
      <c r="B2766">
        <v>2015</v>
      </c>
      <c r="C2766" t="s">
        <v>32</v>
      </c>
      <c r="D2766" t="s">
        <v>71</v>
      </c>
      <c r="E2766">
        <v>87</v>
      </c>
      <c r="F2766">
        <v>88</v>
      </c>
      <c r="G2766">
        <v>4</v>
      </c>
      <c r="H2766" s="1">
        <v>8.4490740740740739E-4</v>
      </c>
      <c r="I2766" t="s">
        <v>18</v>
      </c>
      <c r="J2766" s="2" t="str">
        <f>HYPERLINK("https://www.nba.com/stats/events?CFID=&amp;CFPARAMS=&amp;GameEventID=495&amp;GameID=0021501043&amp;Season=2015-16&amp;flag=1&amp;title=Leonard%202'%20Tip%20Layup%20Shot%20(15%20PTS)", "Leonard 2' Tip Layup Shot (15 PTS)")</f>
        <v>Leonard 2' Tip Layup Shot (15 PTS)</v>
      </c>
      <c r="K2766" s="2" t="str">
        <f>HYPERLINK("https://www.nba.com/game/...-vs-...-0021501043/play-by-play?watchFullGame=true", "SAS vs CHA - Q4 01:13.00")</f>
        <v>SAS vs CHA - Q4 01:13.00</v>
      </c>
      <c r="L2766">
        <v>2</v>
      </c>
      <c r="M2766">
        <v>14</v>
      </c>
      <c r="N2766">
        <v>13</v>
      </c>
      <c r="O2766">
        <v>14</v>
      </c>
      <c r="P2766">
        <v>13</v>
      </c>
    </row>
    <row r="2767" spans="1:16" x14ac:dyDescent="0.25">
      <c r="A2767">
        <v>21501177</v>
      </c>
      <c r="B2767">
        <v>2015</v>
      </c>
      <c r="C2767" t="s">
        <v>32</v>
      </c>
      <c r="D2767" t="s">
        <v>49</v>
      </c>
      <c r="E2767">
        <v>71</v>
      </c>
      <c r="F2767">
        <v>52</v>
      </c>
      <c r="G2767">
        <v>3</v>
      </c>
      <c r="H2767" s="1">
        <v>3.3680555555555556E-3</v>
      </c>
      <c r="I2767" t="s">
        <v>18</v>
      </c>
      <c r="J2767" s="2" t="str">
        <f>HYPERLINK("https://www.nba.com/stats/events?CFID=&amp;CFPARAMS=&amp;GameEventID=300&amp;GameID=0021501177&amp;Season=2015-16&amp;flag=1&amp;title=Leonard%202'%20Driving%20Layup%20(18%20PTS)%20(Aldridge%202%20AST)", "Leonard 2' Driving Layup (18 PTS) (Aldridge 2 AST)")</f>
        <v>Leonard 2' Driving Layup (18 PTS) (Aldridge 2 AST)</v>
      </c>
      <c r="K2767" s="2" t="str">
        <f>HYPERLINK("https://www.nba.com/game/...-vs-...-0021501177/play-by-play?watchFullGame=true", "SAS vs GSW - Q3 04:51.00")</f>
        <v>SAS vs GSW - Q3 04:51.00</v>
      </c>
      <c r="L2767">
        <v>2</v>
      </c>
      <c r="M2767">
        <v>14</v>
      </c>
      <c r="N2767">
        <v>16</v>
      </c>
      <c r="O2767">
        <v>14</v>
      </c>
      <c r="P2767">
        <v>16</v>
      </c>
    </row>
    <row r="2768" spans="1:16" x14ac:dyDescent="0.25">
      <c r="A2768">
        <v>21601118</v>
      </c>
      <c r="B2768">
        <v>2016</v>
      </c>
      <c r="C2768" t="s">
        <v>32</v>
      </c>
      <c r="D2768" t="s">
        <v>75</v>
      </c>
      <c r="E2768">
        <v>31</v>
      </c>
      <c r="F2768">
        <v>10</v>
      </c>
      <c r="G2768">
        <v>1</v>
      </c>
      <c r="H2768" s="1">
        <v>1.8865740740740742E-3</v>
      </c>
      <c r="I2768" t="s">
        <v>18</v>
      </c>
      <c r="J2768" s="2" t="str">
        <f>HYPERLINK("https://www.nba.com/stats/events?CFID=&amp;CFPARAMS=&amp;GameEventID=101&amp;GameID=0021601118&amp;Season=2016-17&amp;flag=1&amp;title=Leonard%202'%20Cutting%20Layup%20Shot%20(8%20PTS)%20(Ginobili%201%20AST)", "Leonard 2' Cutting Layup Shot (8 PTS) (Ginobili 1 AST)")</f>
        <v>Leonard 2' Cutting Layup Shot (8 PTS) (Ginobili 1 AST)</v>
      </c>
      <c r="K2768" s="2" t="str">
        <f>HYPERLINK("https://www.nba.com/game/...-vs-...-0021601118/play-by-play?watchFullGame=true", "SAS vs GSW - Q1 02:43.00")</f>
        <v>SAS vs GSW - Q1 02:43.00</v>
      </c>
      <c r="L2768">
        <v>2</v>
      </c>
      <c r="M2768">
        <v>14</v>
      </c>
      <c r="N2768">
        <v>16</v>
      </c>
      <c r="O2768">
        <v>14</v>
      </c>
      <c r="P2768">
        <v>16</v>
      </c>
    </row>
    <row r="2769" spans="1:16" x14ac:dyDescent="0.25">
      <c r="A2769">
        <v>22000472</v>
      </c>
      <c r="B2769">
        <v>2020</v>
      </c>
      <c r="C2769" t="s">
        <v>32</v>
      </c>
      <c r="D2769" t="s">
        <v>47</v>
      </c>
      <c r="E2769">
        <v>10</v>
      </c>
      <c r="F2769">
        <v>7</v>
      </c>
      <c r="G2769">
        <v>1</v>
      </c>
      <c r="H2769" s="1">
        <v>5.5092592592592589E-3</v>
      </c>
      <c r="I2769" t="s">
        <v>23</v>
      </c>
      <c r="J2769" s="2" t="str">
        <f>HYPERLINK("https://www.nba.com/stats/events?CFID=&amp;CFPARAMS=&amp;GameEventID=45&amp;GameID=0022000472&amp;Season=2020-21&amp;flag=1&amp;title=Leonard%20driving%20Layup%20(8%20PTS)", "Driving Layup (8 PTS)")</f>
        <v>Driving Layup (8 PTS)</v>
      </c>
      <c r="K2769" s="2" t="str">
        <f>HYPERLINK("https://www.nba.com/game/...-vs-...-0022000472/play-by-play?watchFullGame=true", "LAC vs BKN - Q1 07:56.00")</f>
        <v>LAC vs BKN - Q1 07:56.00</v>
      </c>
      <c r="L2769">
        <v>2.2999999999999998</v>
      </c>
      <c r="M2769">
        <v>92.46</v>
      </c>
      <c r="N2769">
        <v>52.77</v>
      </c>
      <c r="O2769">
        <v>14</v>
      </c>
      <c r="P2769">
        <v>18</v>
      </c>
    </row>
    <row r="2770" spans="1:16" x14ac:dyDescent="0.25">
      <c r="A2770">
        <v>41800406</v>
      </c>
      <c r="B2770" t="s">
        <v>20</v>
      </c>
      <c r="C2770" t="s">
        <v>32</v>
      </c>
      <c r="D2770" t="s">
        <v>75</v>
      </c>
      <c r="E2770">
        <v>80</v>
      </c>
      <c r="F2770">
        <v>78</v>
      </c>
      <c r="G2770">
        <v>3</v>
      </c>
      <c r="H2770" s="1">
        <v>2.5231481481481481E-3</v>
      </c>
      <c r="I2770" t="s">
        <v>21</v>
      </c>
      <c r="J2770" s="2" t="str">
        <f>HYPERLINK("https://www.nba.com/stats/events?CFID=&amp;CFPARAMS=&amp;GameEventID=416&amp;GameID=0041800406&amp;Season=2018-19&amp;flag=1&amp;title=Leonard%202'%20Cutting%20Layup%20Shot%20(17%20PTS)%20(Ibaka%202%20AST)", "Leonard 2' Cutting Layup Shot (17 PTS) (Ibaka 2 AST)")</f>
        <v>Leonard 2' Cutting Layup Shot (17 PTS) (Ibaka 2 AST)</v>
      </c>
      <c r="K2770" s="2" t="str">
        <f>HYPERLINK("https://www.nba.com/game/...-vs-...-0041800406/play-by-play?watchFullGame=true", "TOR vs GSW - Q3 03:38.00")</f>
        <v>TOR vs GSW - Q3 03:38.00</v>
      </c>
      <c r="L2770">
        <v>2</v>
      </c>
      <c r="M2770">
        <v>14</v>
      </c>
      <c r="N2770">
        <v>19</v>
      </c>
      <c r="O2770">
        <v>14</v>
      </c>
      <c r="P2770">
        <v>19</v>
      </c>
    </row>
    <row r="2771" spans="1:16" x14ac:dyDescent="0.25">
      <c r="A2771">
        <v>42000172</v>
      </c>
      <c r="B2771" t="s">
        <v>83</v>
      </c>
      <c r="C2771" t="s">
        <v>32</v>
      </c>
      <c r="D2771" t="s">
        <v>19</v>
      </c>
      <c r="E2771">
        <v>78</v>
      </c>
      <c r="F2771">
        <v>77</v>
      </c>
      <c r="G2771">
        <v>3</v>
      </c>
      <c r="H2771" s="1">
        <v>6.7476851851851856E-3</v>
      </c>
      <c r="I2771" t="s">
        <v>23</v>
      </c>
      <c r="J2771" s="2" t="str">
        <f>HYPERLINK("https://www.nba.com/stats/events?CFID=&amp;CFPARAMS=&amp;GameEventID=347&amp;GameID=0042000172&amp;Season=2020-21&amp;flag=1&amp;title=Leonard%209'%20fadeaway%20Jump%20Shot%20(32%20PTS)", "9' fadeaway Jump Shot (32 PTS)")</f>
        <v>9' fadeaway Jump Shot (32 PTS)</v>
      </c>
      <c r="K2771" s="2" t="str">
        <f>HYPERLINK("https://www.nba.com/game/...-vs-...-0042000172/play-by-play?watchFullGame=true", "LAC vs DAL - Q3 09:43.00")</f>
        <v>LAC vs DAL - Q3 09:43.00</v>
      </c>
      <c r="L2771">
        <v>9.18</v>
      </c>
      <c r="M2771">
        <v>14.93</v>
      </c>
      <c r="N2771">
        <v>44.68</v>
      </c>
      <c r="O2771">
        <v>14</v>
      </c>
      <c r="P2771">
        <v>44</v>
      </c>
    </row>
    <row r="2772" spans="1:16" x14ac:dyDescent="0.25">
      <c r="A2772">
        <v>21600240</v>
      </c>
      <c r="B2772">
        <v>2016</v>
      </c>
      <c r="C2772" t="s">
        <v>32</v>
      </c>
      <c r="D2772" t="s">
        <v>19</v>
      </c>
      <c r="E2772">
        <v>9</v>
      </c>
      <c r="F2772">
        <v>8</v>
      </c>
      <c r="G2772">
        <v>1</v>
      </c>
      <c r="H2772" s="1">
        <v>5.2314814814814811E-3</v>
      </c>
      <c r="I2772" t="s">
        <v>18</v>
      </c>
      <c r="J2772" s="2" t="str">
        <f>HYPERLINK("https://www.nba.com/stats/events?CFID=&amp;CFPARAMS=&amp;GameEventID=30&amp;GameID=0021600240&amp;Season=2016-17&amp;flag=1&amp;title=Leonard%205'%20Jump%20Shot%20(2%20PTS)", "Leonard 5' Jump Shot (2 PTS)")</f>
        <v>Leonard 5' Jump Shot (2 PTS)</v>
      </c>
      <c r="K2772" s="2" t="str">
        <f>HYPERLINK("https://www.nba.com/game/...-vs-...-0021600240/play-by-play?watchFullGame=true", "SAS vs WAS - Q1 07:32.00")</f>
        <v>SAS vs WAS - Q1 07:32.00</v>
      </c>
      <c r="L2772">
        <v>5</v>
      </c>
      <c r="M2772">
        <v>14</v>
      </c>
      <c r="N2772">
        <v>46</v>
      </c>
      <c r="O2772">
        <v>14</v>
      </c>
      <c r="P2772">
        <v>46</v>
      </c>
    </row>
    <row r="2773" spans="1:16" x14ac:dyDescent="0.25">
      <c r="A2773">
        <v>22300873</v>
      </c>
      <c r="B2773">
        <v>2023</v>
      </c>
      <c r="C2773" t="s">
        <v>32</v>
      </c>
      <c r="D2773" t="s">
        <v>47</v>
      </c>
      <c r="E2773">
        <v>37</v>
      </c>
      <c r="F2773">
        <v>37</v>
      </c>
      <c r="G2773">
        <v>2</v>
      </c>
      <c r="H2773" s="1">
        <v>3.3796296296296296E-3</v>
      </c>
      <c r="I2773" t="s">
        <v>23</v>
      </c>
      <c r="J2773" s="2" t="str">
        <f>HYPERLINK("https://www.nba.com/stats/events?CFID=&amp;CFPARAMS=&amp;GameEventID=221&amp;GameID=0022300873&amp;Season=2023-24&amp;flag=1&amp;title=Leonard%20finger%20roll%20Layup%20(7%20PTS)%20(J.%20Harden%203%20AST)", "Finger roll Layup (7 PTS) (J. Harden 3 AST)")</f>
        <v>Finger roll Layup (7 PTS) (J. Harden 3 AST)</v>
      </c>
      <c r="K2773" s="2" t="str">
        <f>HYPERLINK("https://www.nba.com/game/...-vs-...-0022300873/play-by-play?watchFullGame=true", "LAC vs MIN - Q2 04:52.00")</f>
        <v>LAC vs MIN - Q2 04:52.00</v>
      </c>
      <c r="L2773">
        <v>5.79</v>
      </c>
      <c r="M2773">
        <v>11.56</v>
      </c>
      <c r="N2773">
        <v>47.24</v>
      </c>
      <c r="O2773">
        <v>14</v>
      </c>
      <c r="P2773">
        <v>56</v>
      </c>
    </row>
    <row r="2774" spans="1:16" x14ac:dyDescent="0.25">
      <c r="A2774">
        <v>21600441</v>
      </c>
      <c r="B2774">
        <v>2016</v>
      </c>
      <c r="C2774" t="s">
        <v>32</v>
      </c>
      <c r="D2774" t="s">
        <v>19</v>
      </c>
      <c r="E2774">
        <v>98</v>
      </c>
      <c r="F2774">
        <v>86</v>
      </c>
      <c r="G2774">
        <v>4</v>
      </c>
      <c r="H2774" s="1">
        <v>2.4537037037037036E-3</v>
      </c>
      <c r="I2774" t="s">
        <v>18</v>
      </c>
      <c r="J2774" s="2" t="str">
        <f>HYPERLINK("https://www.nba.com/stats/events?CFID=&amp;CFPARAMS=&amp;GameEventID=513&amp;GameID=0021600441&amp;Season=2016-17&amp;flag=1&amp;title=Leonard%208'%20Jump%20Shot%20(24%20PTS)", "Leonard 8' Jump Shot (24 PTS)")</f>
        <v>Leonard 8' Jump Shot (24 PTS)</v>
      </c>
      <c r="K2774" s="2" t="str">
        <f>HYPERLINK("https://www.nba.com/game/...-vs-...-0021600441/play-by-play?watchFullGame=true", "SAS vs LAC - Q4 03:32.00")</f>
        <v>SAS vs LAC - Q4 03:32.00</v>
      </c>
      <c r="L2774">
        <v>8</v>
      </c>
      <c r="M2774">
        <v>14</v>
      </c>
      <c r="N2774">
        <v>77</v>
      </c>
      <c r="O2774">
        <v>14</v>
      </c>
      <c r="P2774">
        <v>77</v>
      </c>
    </row>
    <row r="2775" spans="1:16" x14ac:dyDescent="0.25">
      <c r="A2775">
        <v>21601085</v>
      </c>
      <c r="B2775">
        <v>2016</v>
      </c>
      <c r="C2775" t="s">
        <v>32</v>
      </c>
      <c r="D2775" t="s">
        <v>40</v>
      </c>
      <c r="E2775">
        <v>20</v>
      </c>
      <c r="F2775">
        <v>13</v>
      </c>
      <c r="G2775">
        <v>1</v>
      </c>
      <c r="H2775" s="1">
        <v>3.0787037037037037E-3</v>
      </c>
      <c r="I2775" t="s">
        <v>18</v>
      </c>
      <c r="J2775" s="2" t="str">
        <f>HYPERLINK("https://www.nba.com/stats/events?CFID=&amp;CFPARAMS=&amp;GameEventID=67&amp;GameID=0021601085&amp;Season=2016-17&amp;flag=1&amp;title=Leonard%208'%20Hook%20Shot%20(5%20PTS)", "Leonard 8' Hook Shot (5 PTS)")</f>
        <v>Leonard 8' Hook Shot (5 PTS)</v>
      </c>
      <c r="K2775" s="2" t="str">
        <f>HYPERLINK("https://www.nba.com/game/...-vs-...-0021601085/play-by-play?watchFullGame=true", "SAS vs NYK - Q1 04:26.00")</f>
        <v>SAS vs NYK - Q1 04:26.00</v>
      </c>
      <c r="L2775">
        <v>8</v>
      </c>
      <c r="M2775">
        <v>14</v>
      </c>
      <c r="N2775">
        <v>82</v>
      </c>
      <c r="O2775">
        <v>14</v>
      </c>
      <c r="P2775">
        <v>82</v>
      </c>
    </row>
    <row r="2776" spans="1:16" x14ac:dyDescent="0.25">
      <c r="A2776">
        <v>41800306</v>
      </c>
      <c r="B2776" t="s">
        <v>20</v>
      </c>
      <c r="C2776" t="s">
        <v>32</v>
      </c>
      <c r="D2776" t="s">
        <v>37</v>
      </c>
      <c r="E2776">
        <v>63</v>
      </c>
      <c r="F2776">
        <v>76</v>
      </c>
      <c r="G2776">
        <v>3</v>
      </c>
      <c r="H2776" s="1">
        <v>1.4004629629629629E-3</v>
      </c>
      <c r="I2776" t="s">
        <v>21</v>
      </c>
      <c r="J2776" s="2" t="str">
        <f>HYPERLINK("https://www.nba.com/stats/events?CFID=&amp;CFPARAMS=&amp;GameEventID=460&amp;GameID=0041800306&amp;Season=2018-19&amp;flag=1&amp;title=Leonard%2010'%20Floating%20Jump%20Shot%20(14%20PTS)", "Leonard 10' Floating Jump Shot (14 PTS)")</f>
        <v>Leonard 10' Floating Jump Shot (14 PTS)</v>
      </c>
      <c r="K2776" s="2" t="str">
        <f>HYPERLINK("https://www.nba.com/game/...-vs-...-0041800306/play-by-play?watchFullGame=true", "TOR vs MIL - Q3 02:01.00")</f>
        <v>TOR vs MIL - Q3 02:01.00</v>
      </c>
      <c r="L2776">
        <v>10</v>
      </c>
      <c r="M2776">
        <v>14</v>
      </c>
      <c r="N2776">
        <v>99</v>
      </c>
      <c r="O2776">
        <v>14</v>
      </c>
      <c r="P2776">
        <v>99</v>
      </c>
    </row>
    <row r="2777" spans="1:16" x14ac:dyDescent="0.25">
      <c r="A2777">
        <v>21500224</v>
      </c>
      <c r="B2777">
        <v>2015</v>
      </c>
      <c r="C2777" t="s">
        <v>32</v>
      </c>
      <c r="D2777" t="s">
        <v>19</v>
      </c>
      <c r="E2777">
        <v>84</v>
      </c>
      <c r="F2777">
        <v>80</v>
      </c>
      <c r="G2777">
        <v>4</v>
      </c>
      <c r="H2777" s="1">
        <v>6.0069444444444439E-4</v>
      </c>
      <c r="I2777" t="s">
        <v>18</v>
      </c>
      <c r="J2777" s="2" t="str">
        <f>HYPERLINK("https://www.nba.com/stats/events?CFID=&amp;CFPARAMS=&amp;GameEventID=477&amp;GameID=0021500224&amp;Season=2015-16&amp;flag=1&amp;title=Leonard%2012'%20Jump%20Shot%20(23%20PTS)%20(Duncan%204%20AST)", "Leonard 12' Jump Shot (23 PTS) (Duncan 4 AST)")</f>
        <v>Leonard 12' Jump Shot (23 PTS) (Duncan 4 AST)</v>
      </c>
      <c r="K2777" s="2" t="str">
        <f>HYPERLINK("https://www.nba.com/game/...-vs-...-0021500224/play-by-play?watchFullGame=true", "SAS vs DAL - Q4 00:51.90")</f>
        <v>SAS vs DAL - Q4 00:51.90</v>
      </c>
      <c r="L2777">
        <v>12</v>
      </c>
      <c r="M2777">
        <v>14</v>
      </c>
      <c r="N2777">
        <v>115</v>
      </c>
      <c r="O2777">
        <v>14</v>
      </c>
      <c r="P2777">
        <v>115</v>
      </c>
    </row>
    <row r="2778" spans="1:16" x14ac:dyDescent="0.25">
      <c r="A2778">
        <v>21500013</v>
      </c>
      <c r="B2778">
        <v>2015</v>
      </c>
      <c r="C2778" t="s">
        <v>32</v>
      </c>
      <c r="D2778" t="s">
        <v>19</v>
      </c>
      <c r="E2778">
        <v>88</v>
      </c>
      <c r="F2778">
        <v>91</v>
      </c>
      <c r="G2778">
        <v>4</v>
      </c>
      <c r="H2778" s="1">
        <v>6.2731481481481484E-3</v>
      </c>
      <c r="I2778" t="s">
        <v>18</v>
      </c>
      <c r="J2778" s="2" t="str">
        <f>HYPERLINK("https://www.nba.com/stats/events?CFID=&amp;CFPARAMS=&amp;GameEventID=434&amp;GameID=0021500013&amp;Season=2015-16&amp;flag=1&amp;title=Leonard%2014'%20Jump%20Shot%20(21%20PTS)%20(Diaw%206%20AST)", "Leonard 14' Jump Shot (21 PTS) (Diaw 6 AST)")</f>
        <v>Leonard 14' Jump Shot (21 PTS) (Diaw 6 AST)</v>
      </c>
      <c r="K2778" s="2" t="str">
        <f>HYPERLINK("https://www.nba.com/game/...-vs-...-0021500013/play-by-play?watchFullGame=true", "SAS vs OKC - Q4 09:02.00")</f>
        <v>SAS vs OKC - Q4 09:02.00</v>
      </c>
      <c r="L2778">
        <v>14</v>
      </c>
      <c r="M2778">
        <v>14</v>
      </c>
      <c r="N2778">
        <v>144</v>
      </c>
      <c r="O2778">
        <v>14</v>
      </c>
      <c r="P2778">
        <v>144</v>
      </c>
    </row>
    <row r="2779" spans="1:16" x14ac:dyDescent="0.25">
      <c r="A2779">
        <v>22300160</v>
      </c>
      <c r="B2779">
        <v>2023</v>
      </c>
      <c r="C2779" t="s">
        <v>32</v>
      </c>
      <c r="D2779" t="s">
        <v>47</v>
      </c>
      <c r="E2779">
        <v>64</v>
      </c>
      <c r="F2779">
        <v>64</v>
      </c>
      <c r="G2779">
        <v>3</v>
      </c>
      <c r="H2779" s="1">
        <v>2.0717592592592593E-3</v>
      </c>
      <c r="I2779" t="s">
        <v>23</v>
      </c>
      <c r="J2779" s="2" t="str">
        <f>HYPERLINK("https://www.nba.com/stats/events?CFID=&amp;CFPARAMS=&amp;GameEventID=430&amp;GameID=0022300160&amp;Season=2023-24&amp;flag=1&amp;title=Leonard%20driving%20Layup%20(15%20PTS)%20(P.%20Tucker%202%20AST)", "Driving Layup (15 PTS) (P. Tucker 2 AST)")</f>
        <v>Driving Layup (15 PTS) (P. Tucker 2 AST)</v>
      </c>
      <c r="K2779" s="2" t="str">
        <f>HYPERLINK("https://www.nba.com/game/...-vs-...-0022300160/play-by-play?watchFullGame=true", "LAC vs BKN - Q3 02:59.00")</f>
        <v>LAC vs BKN - Q3 02:59.00</v>
      </c>
      <c r="L2779">
        <v>1.7</v>
      </c>
      <c r="M2779">
        <v>4.68</v>
      </c>
      <c r="N2779">
        <v>47.06</v>
      </c>
      <c r="O2779">
        <v>15</v>
      </c>
      <c r="P2779">
        <v>-8</v>
      </c>
    </row>
    <row r="2780" spans="1:16" x14ac:dyDescent="0.25">
      <c r="A2780">
        <v>21400739</v>
      </c>
      <c r="B2780">
        <v>2014</v>
      </c>
      <c r="C2780" t="s">
        <v>32</v>
      </c>
      <c r="D2780" t="s">
        <v>49</v>
      </c>
      <c r="E2780">
        <v>33</v>
      </c>
      <c r="F2780">
        <v>28</v>
      </c>
      <c r="G2780">
        <v>2</v>
      </c>
      <c r="H2780" s="1">
        <v>5.6712962962962967E-3</v>
      </c>
      <c r="I2780" t="s">
        <v>18</v>
      </c>
      <c r="J2780" s="2" t="str">
        <f>HYPERLINK("https://www.nba.com/stats/events?CFID=&amp;CFPARAMS=&amp;GameEventID=143&amp;GameID=0021400739&amp;Season=2014-15&amp;flag=1&amp;title=Leonard%202'%20Driving%20Layup%20(6%20PTS)", "Leonard 2' Driving Layup (6 PTS)")</f>
        <v>Leonard 2' Driving Layup (6 PTS)</v>
      </c>
      <c r="K2780" s="2" t="str">
        <f>HYPERLINK("https://www.nba.com/game/...-vs-...-0021400739/play-by-play?watchFullGame=true", "SAS vs ORL - Q2 08:10.00")</f>
        <v>SAS vs ORL - Q2 08:10.00</v>
      </c>
      <c r="L2780">
        <v>2</v>
      </c>
      <c r="M2780">
        <v>15</v>
      </c>
      <c r="N2780">
        <v>-5</v>
      </c>
      <c r="O2780">
        <v>15</v>
      </c>
      <c r="P2780">
        <v>-5</v>
      </c>
    </row>
    <row r="2781" spans="1:16" x14ac:dyDescent="0.25">
      <c r="A2781">
        <v>41200314</v>
      </c>
      <c r="B2781" t="s">
        <v>27</v>
      </c>
      <c r="C2781" t="s">
        <v>32</v>
      </c>
      <c r="D2781" t="s">
        <v>76</v>
      </c>
      <c r="E2781">
        <v>25</v>
      </c>
      <c r="F2781">
        <v>32</v>
      </c>
      <c r="G2781">
        <v>2</v>
      </c>
      <c r="H2781" s="1">
        <v>3.8541666666666668E-3</v>
      </c>
      <c r="I2781" t="s">
        <v>18</v>
      </c>
      <c r="J2781" s="2" t="str">
        <f>HYPERLINK("https://www.nba.com/stats/events?CFID=&amp;CFPARAMS=&amp;GameEventID=193&amp;GameID=0041200314&amp;Season=2012-13&amp;flag=1&amp;title=Leonard%202'%20Driving%20Slam%20Dunk%20(4%20PTS)", "Leonard 2' Driving Slam Dunk (4 PTS)")</f>
        <v>Leonard 2' Driving Slam Dunk (4 PTS)</v>
      </c>
      <c r="K2781" s="2" t="str">
        <f>HYPERLINK("https://www.nba.com/game/...-vs-...-0041200314/play-by-play?watchFullGame=true", "SAS vs MEM - Q2 05:33.00")</f>
        <v>SAS vs MEM - Q2 05:33.00</v>
      </c>
      <c r="L2781">
        <v>2</v>
      </c>
      <c r="M2781">
        <v>15</v>
      </c>
      <c r="N2781">
        <v>-2</v>
      </c>
      <c r="O2781">
        <v>15</v>
      </c>
      <c r="P2781">
        <v>-2</v>
      </c>
    </row>
    <row r="2782" spans="1:16" x14ac:dyDescent="0.25">
      <c r="A2782">
        <v>41400167</v>
      </c>
      <c r="B2782" t="s">
        <v>28</v>
      </c>
      <c r="C2782" t="s">
        <v>32</v>
      </c>
      <c r="D2782" t="s">
        <v>57</v>
      </c>
      <c r="E2782">
        <v>102</v>
      </c>
      <c r="F2782">
        <v>105</v>
      </c>
      <c r="G2782">
        <v>4</v>
      </c>
      <c r="H2782" s="1">
        <v>1.9444444444444444E-3</v>
      </c>
      <c r="I2782" t="s">
        <v>18</v>
      </c>
      <c r="J2782" s="2" t="str">
        <f>HYPERLINK("https://www.nba.com/stats/events?CFID=&amp;CFPARAMS=&amp;GameEventID=500&amp;GameID=0041400167&amp;Season=2014-15&amp;flag=1&amp;title=Leonard%202'%20Layup%20(13%20PTS)", "Leonard 2' Layup (13 PTS)")</f>
        <v>Leonard 2' Layup (13 PTS)</v>
      </c>
      <c r="K2782" s="2" t="str">
        <f>HYPERLINK("https://www.nba.com/game/...-vs-...-0041400167/play-by-play?watchFullGame=true", "SAS vs LAC - Q4 02:48.00")</f>
        <v>SAS vs LAC - Q4 02:48.00</v>
      </c>
      <c r="L2782">
        <v>2</v>
      </c>
      <c r="M2782">
        <v>15</v>
      </c>
      <c r="N2782">
        <v>-2</v>
      </c>
      <c r="O2782">
        <v>15</v>
      </c>
      <c r="P2782">
        <v>-2</v>
      </c>
    </row>
    <row r="2783" spans="1:16" x14ac:dyDescent="0.25">
      <c r="A2783">
        <v>21401150</v>
      </c>
      <c r="B2783">
        <v>2014</v>
      </c>
      <c r="C2783" t="s">
        <v>32</v>
      </c>
      <c r="D2783" t="s">
        <v>57</v>
      </c>
      <c r="E2783">
        <v>75</v>
      </c>
      <c r="F2783">
        <v>59</v>
      </c>
      <c r="G2783">
        <v>3</v>
      </c>
      <c r="H2783" s="1">
        <v>3.5995370370370369E-3</v>
      </c>
      <c r="I2783" t="s">
        <v>18</v>
      </c>
      <c r="J2783" s="2" t="str">
        <f>HYPERLINK("https://www.nba.com/stats/events?CFID=&amp;CFPARAMS=&amp;GameEventID=294&amp;GameID=0021401150&amp;Season=2014-15&amp;flag=1&amp;title=Leonard%202'%20Layup%20(23%20PTS)", "Leonard 2' Layup (23 PTS)")</f>
        <v>Leonard 2' Layup (23 PTS)</v>
      </c>
      <c r="K2783" s="2" t="str">
        <f>HYPERLINK("https://www.nba.com/game/...-vs-...-0021401150/play-by-play?watchFullGame=true", "SAS vs GSW - Q3 05:11.00")</f>
        <v>SAS vs GSW - Q3 05:11.00</v>
      </c>
      <c r="L2783">
        <v>2</v>
      </c>
      <c r="M2783">
        <v>15</v>
      </c>
      <c r="N2783">
        <v>-2</v>
      </c>
      <c r="O2783">
        <v>15</v>
      </c>
      <c r="P2783">
        <v>-2</v>
      </c>
    </row>
    <row r="2784" spans="1:16" x14ac:dyDescent="0.25">
      <c r="A2784">
        <v>41200312</v>
      </c>
      <c r="B2784" t="s">
        <v>27</v>
      </c>
      <c r="C2784" t="s">
        <v>32</v>
      </c>
      <c r="D2784" t="s">
        <v>51</v>
      </c>
      <c r="E2784">
        <v>4</v>
      </c>
      <c r="F2784">
        <v>0</v>
      </c>
      <c r="G2784">
        <v>1</v>
      </c>
      <c r="H2784" s="1">
        <v>7.1180555555555554E-3</v>
      </c>
      <c r="I2784" t="s">
        <v>18</v>
      </c>
      <c r="J2784" s="2" t="str">
        <f>HYPERLINK("https://www.nba.com/stats/events?CFID=&amp;CFPARAMS=&amp;GameEventID=14&amp;GameID=0041200312&amp;Season=2012-13&amp;flag=1&amp;title=Leonard%202'%20Reverse%20Layup%20(2%20PTS)%20(Green%201%20AST)", "Leonard 2' Reverse Layup (2 PTS) (Green 1 AST)")</f>
        <v>Leonard 2' Reverse Layup (2 PTS) (Green 1 AST)</v>
      </c>
      <c r="K2784" s="2" t="str">
        <f>HYPERLINK("https://www.nba.com/game/...-vs-...-0041200312/play-by-play?watchFullGame=true", "SAS vs MEM - Q1 10:15.00")</f>
        <v>SAS vs MEM - Q1 10:15.00</v>
      </c>
      <c r="L2784">
        <v>2</v>
      </c>
      <c r="M2784">
        <v>15</v>
      </c>
      <c r="N2784">
        <v>0</v>
      </c>
      <c r="O2784">
        <v>15</v>
      </c>
      <c r="P2784">
        <v>0</v>
      </c>
    </row>
    <row r="2785" spans="1:16" x14ac:dyDescent="0.25">
      <c r="A2785">
        <v>22200687</v>
      </c>
      <c r="B2785">
        <v>2022</v>
      </c>
      <c r="C2785" t="s">
        <v>32</v>
      </c>
      <c r="D2785" t="s">
        <v>48</v>
      </c>
      <c r="E2785">
        <v>90</v>
      </c>
      <c r="F2785">
        <v>88</v>
      </c>
      <c r="G2785">
        <v>3</v>
      </c>
      <c r="H2785" s="1">
        <v>3.1018518518518517E-3</v>
      </c>
      <c r="I2785" t="s">
        <v>23</v>
      </c>
      <c r="J2785" s="2" t="str">
        <f>HYPERLINK("https://www.nba.com/stats/events?CFID=&amp;CFPARAMS=&amp;GameEventID=367&amp;GameID=0022200687&amp;Season=2022-23&amp;flag=1&amp;title=Leonard%20driving%20DUNK%20(27%20PTS)%20(M.%20Morris%20Sr.%203%20AST)", "Driving DUNK (27 PTS) (M. Morris Sr. 3 AST)")</f>
        <v>Driving DUNK (27 PTS) (M. Morris Sr. 3 AST)</v>
      </c>
      <c r="K2785" s="2" t="str">
        <f>HYPERLINK("https://www.nba.com/game/...-vs-...-0022200687/play-by-play?watchFullGame=true", "LAC vs SAS - Q3 04:28.00")</f>
        <v>LAC vs SAS - Q3 04:28.00</v>
      </c>
      <c r="L2785">
        <v>1.48</v>
      </c>
      <c r="M2785">
        <v>5.73</v>
      </c>
      <c r="N2785">
        <v>47.06</v>
      </c>
      <c r="O2785">
        <v>15</v>
      </c>
      <c r="P2785">
        <v>1</v>
      </c>
    </row>
    <row r="2786" spans="1:16" x14ac:dyDescent="0.25">
      <c r="A2786">
        <v>21600508</v>
      </c>
      <c r="B2786">
        <v>2016</v>
      </c>
      <c r="C2786" t="s">
        <v>32</v>
      </c>
      <c r="D2786" t="s">
        <v>55</v>
      </c>
      <c r="E2786">
        <v>16</v>
      </c>
      <c r="F2786">
        <v>21</v>
      </c>
      <c r="G2786">
        <v>1</v>
      </c>
      <c r="H2786" s="1">
        <v>2.0717592592592593E-3</v>
      </c>
      <c r="I2786" t="s">
        <v>18</v>
      </c>
      <c r="J2786" s="2" t="str">
        <f>HYPERLINK("https://www.nba.com/stats/events?CFID=&amp;CFPARAMS=&amp;GameEventID=97&amp;GameID=0021600508&amp;Season=2016-17&amp;flag=1&amp;title=Leonard%202'%20Driving%20Reverse%20Layup%20(2%20PTS)%20(Lee%201%20AST)", "Leonard 2' Driving Reverse Layup (2 PTS) (Lee 1 AST)")</f>
        <v>Leonard 2' Driving Reverse Layup (2 PTS) (Lee 1 AST)</v>
      </c>
      <c r="K2786" s="2" t="str">
        <f>HYPERLINK("https://www.nba.com/game/...-vs-...-0021600508/play-by-play?watchFullGame=true", "SAS vs ATL - Q1 02:59.00")</f>
        <v>SAS vs ATL - Q1 02:59.00</v>
      </c>
      <c r="L2786">
        <v>2</v>
      </c>
      <c r="M2786">
        <v>15</v>
      </c>
      <c r="N2786">
        <v>2</v>
      </c>
      <c r="O2786">
        <v>15</v>
      </c>
      <c r="P2786">
        <v>2</v>
      </c>
    </row>
    <row r="2787" spans="1:16" x14ac:dyDescent="0.25">
      <c r="A2787">
        <v>41500236</v>
      </c>
      <c r="B2787" t="s">
        <v>25</v>
      </c>
      <c r="C2787" t="s">
        <v>32</v>
      </c>
      <c r="D2787" t="s">
        <v>49</v>
      </c>
      <c r="E2787">
        <v>97</v>
      </c>
      <c r="F2787">
        <v>82</v>
      </c>
      <c r="G2787">
        <v>4</v>
      </c>
      <c r="H2787" s="1">
        <v>4.0972222222222226E-3</v>
      </c>
      <c r="I2787" t="s">
        <v>18</v>
      </c>
      <c r="J2787" s="2" t="str">
        <f>HYPERLINK("https://www.nba.com/stats/events?CFID=&amp;CFPARAMS=&amp;GameEventID=458&amp;GameID=0041500236&amp;Season=2015-16&amp;flag=1&amp;title=Leonard%202'%20Driving%20Layup%20(22%20PTS)", "Leonard 2' Driving Layup (22 PTS)")</f>
        <v>Leonard 2' Driving Layup (22 PTS)</v>
      </c>
      <c r="K2787" s="2" t="str">
        <f>HYPERLINK("https://www.nba.com/game/...-vs-...-0041500236/play-by-play?watchFullGame=true", "SAS vs OKC - Q4 05:54.00")</f>
        <v>SAS vs OKC - Q4 05:54.00</v>
      </c>
      <c r="L2787">
        <v>2</v>
      </c>
      <c r="M2787">
        <v>15</v>
      </c>
      <c r="N2787">
        <v>2</v>
      </c>
      <c r="O2787">
        <v>15</v>
      </c>
      <c r="P2787">
        <v>2</v>
      </c>
    </row>
    <row r="2788" spans="1:16" x14ac:dyDescent="0.25">
      <c r="A2788">
        <v>41200232</v>
      </c>
      <c r="B2788" t="s">
        <v>27</v>
      </c>
      <c r="C2788" t="s">
        <v>32</v>
      </c>
      <c r="D2788" t="s">
        <v>74</v>
      </c>
      <c r="E2788">
        <v>58</v>
      </c>
      <c r="F2788">
        <v>75</v>
      </c>
      <c r="G2788">
        <v>3</v>
      </c>
      <c r="H2788" s="1">
        <v>2.662037037037037E-3</v>
      </c>
      <c r="I2788" t="s">
        <v>18</v>
      </c>
      <c r="J2788" s="2" t="str">
        <f>HYPERLINK("https://www.nba.com/stats/events?CFID=&amp;CFPARAMS=&amp;GameEventID=333&amp;GameID=0041200232&amp;Season=2012-13&amp;flag=1&amp;title=Leonard%202'%20Slam%20Dunk%20(11%20PTS)%20(Ginobili%203%20AST)", "Leonard 2' Slam Dunk (11 PTS) (Ginobili 3 AST)")</f>
        <v>Leonard 2' Slam Dunk (11 PTS) (Ginobili 3 AST)</v>
      </c>
      <c r="K2788" s="2" t="str">
        <f>HYPERLINK("https://www.nba.com/game/...-vs-...-0041200232/play-by-play?watchFullGame=true", "SAS vs GSW - Q3 03:50.00")</f>
        <v>SAS vs GSW - Q3 03:50.00</v>
      </c>
      <c r="L2788">
        <v>2</v>
      </c>
      <c r="M2788">
        <v>15</v>
      </c>
      <c r="N2788">
        <v>3</v>
      </c>
      <c r="O2788">
        <v>15</v>
      </c>
      <c r="P2788">
        <v>3</v>
      </c>
    </row>
    <row r="2789" spans="1:16" x14ac:dyDescent="0.25">
      <c r="A2789">
        <v>21601070</v>
      </c>
      <c r="B2789">
        <v>2016</v>
      </c>
      <c r="C2789" t="s">
        <v>32</v>
      </c>
      <c r="D2789" t="s">
        <v>49</v>
      </c>
      <c r="E2789">
        <v>74</v>
      </c>
      <c r="F2789">
        <v>69</v>
      </c>
      <c r="G2789">
        <v>3</v>
      </c>
      <c r="H2789" s="1">
        <v>1.9675925925925925E-5</v>
      </c>
      <c r="I2789" t="s">
        <v>18</v>
      </c>
      <c r="J2789" s="2" t="str">
        <f>HYPERLINK("https://www.nba.com/stats/events?CFID=&amp;CFPARAMS=&amp;GameEventID=356&amp;GameID=0021601070&amp;Season=2016-17&amp;flag=1&amp;title=Leonard%202'%20Driving%20Layup%20(15%20PTS)", "Leonard 2' Driving Layup (15 PTS)")</f>
        <v>Leonard 2' Driving Layup (15 PTS)</v>
      </c>
      <c r="K2789" s="2" t="str">
        <f>HYPERLINK("https://www.nba.com/game/...-vs-...-0021601070/play-by-play?watchFullGame=true", "SAS vs MEM - Q3 00:01.70")</f>
        <v>SAS vs MEM - Q3 00:01.70</v>
      </c>
      <c r="L2789">
        <v>2</v>
      </c>
      <c r="M2789">
        <v>15</v>
      </c>
      <c r="N2789">
        <v>3</v>
      </c>
      <c r="O2789">
        <v>15</v>
      </c>
      <c r="P2789">
        <v>3</v>
      </c>
    </row>
    <row r="2790" spans="1:16" x14ac:dyDescent="0.25">
      <c r="A2790">
        <v>21301154</v>
      </c>
      <c r="B2790">
        <v>2013</v>
      </c>
      <c r="C2790" t="s">
        <v>32</v>
      </c>
      <c r="D2790" t="s">
        <v>57</v>
      </c>
      <c r="E2790">
        <v>49</v>
      </c>
      <c r="F2790">
        <v>36</v>
      </c>
      <c r="G2790">
        <v>2</v>
      </c>
      <c r="H2790" s="1">
        <v>5.7523148148148147E-4</v>
      </c>
      <c r="I2790" t="s">
        <v>18</v>
      </c>
      <c r="J2790" s="2" t="str">
        <f>HYPERLINK("https://www.nba.com/stats/events?CFID=&amp;CFPARAMS=&amp;GameEventID=234&amp;GameID=0021301154&amp;Season=2013-14&amp;flag=1&amp;title=Leonard%202'%20Layup%20(12%20PTS)%20(Ginobili%202%20AST)", "Leonard 2' Layup (12 PTS) (Ginobili 2 AST)")</f>
        <v>Leonard 2' Layup (12 PTS) (Ginobili 2 AST)</v>
      </c>
      <c r="K2790" s="2" t="str">
        <f>HYPERLINK("https://www.nba.com/game/...-vs-...-0021301154/play-by-play?watchFullGame=true", "SAS vs MEM - Q2 00:49.70")</f>
        <v>SAS vs MEM - Q2 00:49.70</v>
      </c>
      <c r="L2790">
        <v>2</v>
      </c>
      <c r="M2790">
        <v>15</v>
      </c>
      <c r="N2790">
        <v>3</v>
      </c>
      <c r="O2790">
        <v>15</v>
      </c>
      <c r="P2790">
        <v>3</v>
      </c>
    </row>
    <row r="2791" spans="1:16" x14ac:dyDescent="0.25">
      <c r="A2791">
        <v>21300425</v>
      </c>
      <c r="B2791">
        <v>2013</v>
      </c>
      <c r="C2791" t="s">
        <v>32</v>
      </c>
      <c r="D2791" t="s">
        <v>49</v>
      </c>
      <c r="E2791">
        <v>85</v>
      </c>
      <c r="F2791">
        <v>98</v>
      </c>
      <c r="G2791">
        <v>4</v>
      </c>
      <c r="H2791" s="1">
        <v>4.4560185185185189E-3</v>
      </c>
      <c r="I2791" t="s">
        <v>18</v>
      </c>
      <c r="J2791" s="2" t="str">
        <f>HYPERLINK("https://www.nba.com/stats/events?CFID=&amp;CFPARAMS=&amp;GameEventID=529&amp;GameID=0021300425&amp;Season=2013-14&amp;flag=1&amp;title=Leonard%202'%20Driving%20Layup%20(7%20PTS)", "Leonard 2' Driving Layup (7 PTS)")</f>
        <v>Leonard 2' Driving Layup (7 PTS)</v>
      </c>
      <c r="K2791" s="2" t="str">
        <f>HYPERLINK("https://www.nba.com/game/...-vs-...-0021300425/play-by-play?watchFullGame=true", "SAS vs DAL - Q4 06:25.00")</f>
        <v>SAS vs DAL - Q4 06:25.00</v>
      </c>
      <c r="L2791">
        <v>2</v>
      </c>
      <c r="M2791">
        <v>15</v>
      </c>
      <c r="N2791">
        <v>3</v>
      </c>
      <c r="O2791">
        <v>15</v>
      </c>
      <c r="P2791">
        <v>3</v>
      </c>
    </row>
    <row r="2792" spans="1:16" x14ac:dyDescent="0.25">
      <c r="A2792">
        <v>22300264</v>
      </c>
      <c r="B2792">
        <v>2023</v>
      </c>
      <c r="C2792" t="s">
        <v>32</v>
      </c>
      <c r="D2792" t="s">
        <v>47</v>
      </c>
      <c r="E2792">
        <v>70</v>
      </c>
      <c r="F2792">
        <v>90</v>
      </c>
      <c r="G2792">
        <v>3</v>
      </c>
      <c r="H2792" s="1">
        <v>3.2407407407407406E-3</v>
      </c>
      <c r="I2792" t="s">
        <v>23</v>
      </c>
      <c r="J2792" s="2" t="str">
        <f>HYPERLINK("https://www.nba.com/stats/events?CFID=&amp;CFPARAMS=&amp;GameEventID=430&amp;GameID=0022300264&amp;Season=2023-24&amp;flag=1&amp;title=Leonard%20cutting%20Layup%20(23%20PTS)%20(R.%20Westbrook%205%20AST)", "Cutting Layup (23 PTS) (R. Westbrook 5 AST)")</f>
        <v>Cutting Layup (23 PTS) (R. Westbrook 5 AST)</v>
      </c>
      <c r="K2792" s="2" t="str">
        <f>HYPERLINK("https://www.nba.com/game/...-vs-...-0022300264/play-by-play?watchFullGame=true", "LAC vs SAC - Q3 04:40.00")</f>
        <v>LAC vs SAC - Q3 04:40.00</v>
      </c>
      <c r="L2792">
        <v>1.59</v>
      </c>
      <c r="M2792">
        <v>93.77</v>
      </c>
      <c r="N2792">
        <v>52.94</v>
      </c>
      <c r="O2792">
        <v>15</v>
      </c>
      <c r="P2792">
        <v>6</v>
      </c>
    </row>
    <row r="2793" spans="1:16" x14ac:dyDescent="0.25">
      <c r="A2793">
        <v>21601135</v>
      </c>
      <c r="B2793">
        <v>2016</v>
      </c>
      <c r="C2793" t="s">
        <v>32</v>
      </c>
      <c r="D2793" t="s">
        <v>56</v>
      </c>
      <c r="E2793">
        <v>95</v>
      </c>
      <c r="F2793">
        <v>98</v>
      </c>
      <c r="G2793">
        <v>4</v>
      </c>
      <c r="H2793" s="1">
        <v>6.712962962962963E-5</v>
      </c>
      <c r="I2793" t="s">
        <v>18</v>
      </c>
      <c r="J2793" s="2" t="str">
        <f>HYPERLINK("https://www.nba.com/stats/events?CFID=&amp;CFPARAMS=&amp;GameEventID=552&amp;GameID=0021601135&amp;Season=2016-17&amp;flag=1&amp;title=Leonard%202'%20Running%20Layup%20(26%20PTS)", "Leonard 2' Running Layup (26 PTS)")</f>
        <v>Leonard 2' Running Layup (26 PTS)</v>
      </c>
      <c r="K2793" s="2" t="str">
        <f>HYPERLINK("https://www.nba.com/game/...-vs-...-0021601135/play-by-play?watchFullGame=true", "SAS vs OKC - Q4 00:05.80")</f>
        <v>SAS vs OKC - Q4 00:05.80</v>
      </c>
      <c r="L2793">
        <v>2</v>
      </c>
      <c r="M2793">
        <v>15</v>
      </c>
      <c r="N2793">
        <v>7</v>
      </c>
      <c r="O2793">
        <v>15</v>
      </c>
      <c r="P2793">
        <v>7</v>
      </c>
    </row>
    <row r="2794" spans="1:16" x14ac:dyDescent="0.25">
      <c r="A2794">
        <v>21500103</v>
      </c>
      <c r="B2794">
        <v>2015</v>
      </c>
      <c r="C2794" t="s">
        <v>32</v>
      </c>
      <c r="D2794" t="s">
        <v>49</v>
      </c>
      <c r="E2794">
        <v>55</v>
      </c>
      <c r="F2794">
        <v>66</v>
      </c>
      <c r="G2794">
        <v>3</v>
      </c>
      <c r="H2794" s="1">
        <v>3.4027777777777776E-3</v>
      </c>
      <c r="I2794" t="s">
        <v>18</v>
      </c>
      <c r="J2794" s="2" t="str">
        <f>HYPERLINK("https://www.nba.com/stats/events?CFID=&amp;CFPARAMS=&amp;GameEventID=320&amp;GameID=0021500103&amp;Season=2015-16&amp;flag=1&amp;title=Leonard%202'%20Driving%20Layup%20(17%20PTS)%20(Green%204%20AST)", "Leonard 2' Driving Layup (17 PTS) (Green 4 AST)")</f>
        <v>Leonard 2' Driving Layup (17 PTS) (Green 4 AST)</v>
      </c>
      <c r="K2794" s="2" t="str">
        <f>HYPERLINK("https://www.nba.com/game/...-vs-...-0021500103/play-by-play?watchFullGame=true", "SAS vs SAC - Q3 04:54.00")</f>
        <v>SAS vs SAC - Q3 04:54.00</v>
      </c>
      <c r="L2794">
        <v>2</v>
      </c>
      <c r="M2794">
        <v>15</v>
      </c>
      <c r="N2794">
        <v>7</v>
      </c>
      <c r="O2794">
        <v>15</v>
      </c>
      <c r="P2794">
        <v>7</v>
      </c>
    </row>
    <row r="2795" spans="1:16" x14ac:dyDescent="0.25">
      <c r="A2795">
        <v>21500013</v>
      </c>
      <c r="B2795">
        <v>2015</v>
      </c>
      <c r="C2795" t="s">
        <v>32</v>
      </c>
      <c r="D2795" t="s">
        <v>49</v>
      </c>
      <c r="E2795">
        <v>55</v>
      </c>
      <c r="F2795">
        <v>61</v>
      </c>
      <c r="G2795">
        <v>3</v>
      </c>
      <c r="H2795" s="1">
        <v>6.8865740740740745E-3</v>
      </c>
      <c r="I2795" t="s">
        <v>18</v>
      </c>
      <c r="J2795" s="2" t="str">
        <f>HYPERLINK("https://www.nba.com/stats/events?CFID=&amp;CFPARAMS=&amp;GameEventID=273&amp;GameID=0021500013&amp;Season=2015-16&amp;flag=1&amp;title=Leonard%202'%20Driving%20Layup%20(16%20PTS)", "Leonard 2' Driving Layup (16 PTS)")</f>
        <v>Leonard 2' Driving Layup (16 PTS)</v>
      </c>
      <c r="K2795" s="2" t="str">
        <f>HYPERLINK("https://www.nba.com/game/...-vs-...-0021500013/play-by-play?watchFullGame=true", "SAS vs OKC - Q3 09:55.00")</f>
        <v>SAS vs OKC - Q3 09:55.00</v>
      </c>
      <c r="L2795">
        <v>2</v>
      </c>
      <c r="M2795">
        <v>15</v>
      </c>
      <c r="N2795">
        <v>7</v>
      </c>
      <c r="O2795">
        <v>15</v>
      </c>
      <c r="P2795">
        <v>7</v>
      </c>
    </row>
    <row r="2796" spans="1:16" x14ac:dyDescent="0.25">
      <c r="A2796">
        <v>21300208</v>
      </c>
      <c r="B2796">
        <v>2013</v>
      </c>
      <c r="C2796" t="s">
        <v>32</v>
      </c>
      <c r="D2796" t="s">
        <v>62</v>
      </c>
      <c r="E2796">
        <v>61</v>
      </c>
      <c r="F2796">
        <v>40</v>
      </c>
      <c r="G2796">
        <v>3</v>
      </c>
      <c r="H2796" s="1">
        <v>6.7708333333333336E-3</v>
      </c>
      <c r="I2796" t="s">
        <v>18</v>
      </c>
      <c r="J2796" s="2" t="str">
        <f>HYPERLINK("https://www.nba.com/stats/events?CFID=&amp;CFPARAMS=&amp;GameEventID=302&amp;GameID=0021300208&amp;Season=2013-14&amp;flag=1&amp;title=Leonard%202'%20Dunk%20(5%20PTS)", "Leonard 2' Dunk (5 PTS)")</f>
        <v>Leonard 2' Dunk (5 PTS)</v>
      </c>
      <c r="K2796" s="2" t="str">
        <f>HYPERLINK("https://www.nba.com/game/...-vs-...-0021300208/play-by-play?watchFullGame=true", "SAS vs NOP - Q3 09:45.00")</f>
        <v>SAS vs NOP - Q3 09:45.00</v>
      </c>
      <c r="L2796">
        <v>2</v>
      </c>
      <c r="M2796">
        <v>15</v>
      </c>
      <c r="N2796">
        <v>7</v>
      </c>
      <c r="O2796">
        <v>15</v>
      </c>
      <c r="P2796">
        <v>7</v>
      </c>
    </row>
    <row r="2797" spans="1:16" x14ac:dyDescent="0.25">
      <c r="A2797">
        <v>21600605</v>
      </c>
      <c r="B2797">
        <v>2016</v>
      </c>
      <c r="C2797" t="s">
        <v>32</v>
      </c>
      <c r="D2797" t="s">
        <v>57</v>
      </c>
      <c r="E2797">
        <v>64</v>
      </c>
      <c r="F2797">
        <v>69</v>
      </c>
      <c r="G2797">
        <v>3</v>
      </c>
      <c r="H2797" s="1">
        <v>4.7569444444444447E-3</v>
      </c>
      <c r="I2797" t="s">
        <v>18</v>
      </c>
      <c r="J2797" s="2" t="str">
        <f>HYPERLINK("https://www.nba.com/stats/events?CFID=&amp;CFPARAMS=&amp;GameEventID=330&amp;GameID=0021600605&amp;Season=2016-17&amp;flag=1&amp;title=Leonard%202'%20Layup%20(23%20PTS)", "Leonard 2' Layup (23 PTS)")</f>
        <v>Leonard 2' Layup (23 PTS)</v>
      </c>
      <c r="K2797" s="2" t="str">
        <f>HYPERLINK("https://www.nba.com/game/...-vs-...-0021600605/play-by-play?watchFullGame=true", "SAS vs PHX - Q3 06:51.00")</f>
        <v>SAS vs PHX - Q3 06:51.00</v>
      </c>
      <c r="L2797">
        <v>2</v>
      </c>
      <c r="M2797">
        <v>15</v>
      </c>
      <c r="N2797">
        <v>8</v>
      </c>
      <c r="O2797">
        <v>15</v>
      </c>
      <c r="P2797">
        <v>8</v>
      </c>
    </row>
    <row r="2798" spans="1:16" x14ac:dyDescent="0.25">
      <c r="A2798">
        <v>22000142</v>
      </c>
      <c r="B2798">
        <v>2020</v>
      </c>
      <c r="C2798" t="s">
        <v>32</v>
      </c>
      <c r="D2798" t="s">
        <v>47</v>
      </c>
      <c r="E2798">
        <v>87</v>
      </c>
      <c r="F2798">
        <v>87</v>
      </c>
      <c r="G2798">
        <v>3</v>
      </c>
      <c r="H2798" s="1">
        <v>2.0949074074074073E-3</v>
      </c>
      <c r="I2798" t="s">
        <v>23</v>
      </c>
      <c r="J2798" s="2" t="str">
        <f>HYPERLINK("https://www.nba.com/stats/events?CFID=&amp;CFPARAMS=&amp;GameEventID=426&amp;GameID=0022000142&amp;Season=2020-21&amp;flag=1&amp;title=Leonard%20driving%20Layup%20(33%20PTS)", "Driving Layup (33 PTS)")</f>
        <v>Driving Layup (33 PTS)</v>
      </c>
      <c r="K2798" s="2" t="str">
        <f>HYPERLINK("https://www.nba.com/game/...-vs-...-0022000142/play-by-play?watchFullGame=true", "LAC vs CHI - Q3 03:01.00")</f>
        <v>LAC vs CHI - Q3 03:01.00</v>
      </c>
      <c r="L2798">
        <v>1.73</v>
      </c>
      <c r="M2798">
        <v>93.51</v>
      </c>
      <c r="N2798">
        <v>53.01</v>
      </c>
      <c r="O2798">
        <v>15</v>
      </c>
      <c r="P2798">
        <v>8</v>
      </c>
    </row>
    <row r="2799" spans="1:16" x14ac:dyDescent="0.25">
      <c r="A2799">
        <v>21601042</v>
      </c>
      <c r="B2799">
        <v>2016</v>
      </c>
      <c r="C2799" t="s">
        <v>32</v>
      </c>
      <c r="D2799" t="s">
        <v>57</v>
      </c>
      <c r="E2799">
        <v>8</v>
      </c>
      <c r="F2799">
        <v>16</v>
      </c>
      <c r="G2799">
        <v>1</v>
      </c>
      <c r="H2799" s="1">
        <v>3.6805555555555554E-3</v>
      </c>
      <c r="I2799" t="s">
        <v>18</v>
      </c>
      <c r="J2799" s="2" t="str">
        <f>HYPERLINK("https://www.nba.com/stats/events?CFID=&amp;CFPARAMS=&amp;GameEventID=65&amp;GameID=0021601042&amp;Season=2016-17&amp;flag=1&amp;title=Leonard%202'%20Layup%20(2%20PTS)%20(Simmons%201%20AST)", "Leonard 2' Layup (2 PTS) (Simmons 1 AST)")</f>
        <v>Leonard 2' Layup (2 PTS) (Simmons 1 AST)</v>
      </c>
      <c r="K2799" s="2" t="str">
        <f>HYPERLINK("https://www.nba.com/game/...-vs-...-0021601042/play-by-play?watchFullGame=true", "SAS vs SAC - Q1 05:18.00")</f>
        <v>SAS vs SAC - Q1 05:18.00</v>
      </c>
      <c r="L2799">
        <v>2</v>
      </c>
      <c r="M2799">
        <v>15</v>
      </c>
      <c r="N2799">
        <v>8</v>
      </c>
      <c r="O2799">
        <v>15</v>
      </c>
      <c r="P2799">
        <v>8</v>
      </c>
    </row>
    <row r="2800" spans="1:16" x14ac:dyDescent="0.25">
      <c r="A2800">
        <v>41300403</v>
      </c>
      <c r="B2800" t="s">
        <v>26</v>
      </c>
      <c r="C2800" t="s">
        <v>32</v>
      </c>
      <c r="D2800" t="s">
        <v>67</v>
      </c>
      <c r="E2800">
        <v>80</v>
      </c>
      <c r="F2800">
        <v>92</v>
      </c>
      <c r="G2800">
        <v>4</v>
      </c>
      <c r="H2800" s="1">
        <v>5.5092592592592589E-3</v>
      </c>
      <c r="I2800" t="s">
        <v>18</v>
      </c>
      <c r="J2800" s="2" t="str">
        <f>HYPERLINK("https://www.nba.com/stats/events?CFID=&amp;CFPARAMS=&amp;GameEventID=404&amp;GameID=0041300403&amp;Season=2013-14&amp;flag=1&amp;title=Leonard%202'%20Driving%20Dunk%20(24%20PTS)%20(Green%203%20AST)", "Leonard 2' Driving Dunk (24 PTS) (Green 3 AST)")</f>
        <v>Leonard 2' Driving Dunk (24 PTS) (Green 3 AST)</v>
      </c>
      <c r="K2800" s="2" t="str">
        <f>HYPERLINK("https://www.nba.com/game/...-vs-...-0041300403/play-by-play?watchFullGame=true", "SAS vs MIA - Q4 07:56.00")</f>
        <v>SAS vs MIA - Q4 07:56.00</v>
      </c>
      <c r="L2800">
        <v>2</v>
      </c>
      <c r="M2800">
        <v>15</v>
      </c>
      <c r="N2800">
        <v>9</v>
      </c>
      <c r="O2800">
        <v>15</v>
      </c>
      <c r="P2800">
        <v>9</v>
      </c>
    </row>
    <row r="2801" spans="1:16" x14ac:dyDescent="0.25">
      <c r="A2801">
        <v>22300982</v>
      </c>
      <c r="B2801">
        <v>2023</v>
      </c>
      <c r="C2801" t="s">
        <v>32</v>
      </c>
      <c r="D2801" t="s">
        <v>47</v>
      </c>
      <c r="E2801">
        <v>7</v>
      </c>
      <c r="F2801">
        <v>11</v>
      </c>
      <c r="G2801">
        <v>1</v>
      </c>
      <c r="H2801" s="1">
        <v>5.3935185185185188E-3</v>
      </c>
      <c r="I2801" t="s">
        <v>23</v>
      </c>
      <c r="J2801" s="2" t="str">
        <f>HYPERLINK("https://www.nba.com/stats/events?CFID=&amp;CFPARAMS=&amp;GameEventID=51&amp;GameID=0022300982&amp;Season=2023-24&amp;flag=1&amp;title=Leonard%20Layup%20(7%20PTS)%20(J.%20Harden%201%20AST)", "Layup (7 PTS) (J. Harden 1 AST)")</f>
        <v>Layup (7 PTS) (J. Harden 1 AST)</v>
      </c>
      <c r="K2801" s="2" t="str">
        <f>HYPERLINK("https://www.nba.com/game/...-vs-...-0022300982/play-by-play?watchFullGame=true", "LAC vs ATL - Q1 07:46.00")</f>
        <v>LAC vs ATL - Q1 07:46.00</v>
      </c>
      <c r="L2801">
        <v>1.85</v>
      </c>
      <c r="M2801">
        <v>93.22</v>
      </c>
      <c r="N2801">
        <v>52.94</v>
      </c>
      <c r="O2801">
        <v>15</v>
      </c>
      <c r="P2801">
        <v>11</v>
      </c>
    </row>
    <row r="2802" spans="1:16" x14ac:dyDescent="0.25">
      <c r="A2802">
        <v>21300559</v>
      </c>
      <c r="B2802">
        <v>2013</v>
      </c>
      <c r="C2802" t="s">
        <v>32</v>
      </c>
      <c r="D2802" t="s">
        <v>57</v>
      </c>
      <c r="E2802">
        <v>50</v>
      </c>
      <c r="F2802">
        <v>49</v>
      </c>
      <c r="G2802">
        <v>2</v>
      </c>
      <c r="H2802" s="1">
        <v>7.291666666666667E-4</v>
      </c>
      <c r="I2802" t="s">
        <v>18</v>
      </c>
      <c r="J2802" s="2" t="str">
        <f>HYPERLINK("https://www.nba.com/stats/events?CFID=&amp;CFPARAMS=&amp;GameEventID=275&amp;GameID=0021300559&amp;Season=2013-14&amp;flag=1&amp;title=Leonard%202'%20Layup%20(10%20PTS)", "Leonard 2' Layup (10 PTS)")</f>
        <v>Leonard 2' Layup (10 PTS)</v>
      </c>
      <c r="K2802" s="2" t="str">
        <f>HYPERLINK("https://www.nba.com/game/...-vs-...-0021300559/play-by-play?watchFullGame=true", "SAS vs NOP - Q2 01:03.00")</f>
        <v>SAS vs NOP - Q2 01:03.00</v>
      </c>
      <c r="L2802">
        <v>2</v>
      </c>
      <c r="M2802">
        <v>15</v>
      </c>
      <c r="N2802">
        <v>11</v>
      </c>
      <c r="O2802">
        <v>15</v>
      </c>
      <c r="P2802">
        <v>11</v>
      </c>
    </row>
    <row r="2803" spans="1:16" x14ac:dyDescent="0.25">
      <c r="A2803">
        <v>21400595</v>
      </c>
      <c r="B2803">
        <v>2014</v>
      </c>
      <c r="C2803" t="s">
        <v>32</v>
      </c>
      <c r="D2803" t="s">
        <v>57</v>
      </c>
      <c r="E2803">
        <v>2</v>
      </c>
      <c r="F2803">
        <v>2</v>
      </c>
      <c r="G2803">
        <v>1</v>
      </c>
      <c r="H2803" s="1">
        <v>7.6388888888888886E-3</v>
      </c>
      <c r="I2803" t="s">
        <v>18</v>
      </c>
      <c r="J2803" s="2" t="str">
        <f>HYPERLINK("https://www.nba.com/stats/events?CFID=&amp;CFPARAMS=&amp;GameEventID=9&amp;GameID=0021400595&amp;Season=2014-15&amp;flag=1&amp;title=Leonard%202'%20Layup%20(2%20PTS)%20(Splitter%201%20AST)", "Leonard 2' Layup (2 PTS) (Splitter 1 AST)")</f>
        <v>Leonard 2' Layup (2 PTS) (Splitter 1 AST)</v>
      </c>
      <c r="K2803" s="2" t="str">
        <f>HYPERLINK("https://www.nba.com/game/...-vs-...-0021400595/play-by-play?watchFullGame=true", "SAS vs POR - Q1 11:00.00")</f>
        <v>SAS vs POR - Q1 11:00.00</v>
      </c>
      <c r="L2803">
        <v>2</v>
      </c>
      <c r="M2803">
        <v>15</v>
      </c>
      <c r="N2803">
        <v>12</v>
      </c>
      <c r="O2803">
        <v>15</v>
      </c>
      <c r="P2803">
        <v>12</v>
      </c>
    </row>
    <row r="2804" spans="1:16" x14ac:dyDescent="0.25">
      <c r="A2804">
        <v>22200945</v>
      </c>
      <c r="B2804">
        <v>2022</v>
      </c>
      <c r="C2804" t="s">
        <v>32</v>
      </c>
      <c r="D2804" t="s">
        <v>48</v>
      </c>
      <c r="E2804">
        <v>21</v>
      </c>
      <c r="F2804">
        <v>23</v>
      </c>
      <c r="G2804">
        <v>1</v>
      </c>
      <c r="H2804" s="1">
        <v>1.7939814814814815E-3</v>
      </c>
      <c r="I2804" t="s">
        <v>23</v>
      </c>
      <c r="J2804" s="2" t="str">
        <f>HYPERLINK("https://www.nba.com/stats/events?CFID=&amp;CFPARAMS=&amp;GameEventID=107&amp;GameID=0022200945&amp;Season=2022-23&amp;flag=1&amp;title=Leonard%20alley-oop%20DUNK%20(9%20PTS)%20(R.%20Westbrook%204%20AST)", "Alley-oop DUNK (9 PTS) (R. Westbrook 4 AST)")</f>
        <v>Alley-oop DUNK (9 PTS) (R. Westbrook 4 AST)</v>
      </c>
      <c r="K2804" s="2" t="str">
        <f>HYPERLINK("https://www.nba.com/game/...-vs-...-0022200945/play-by-play?watchFullGame=true", "LAC vs GSW - Q1 02:35.00")</f>
        <v>LAC vs GSW - Q1 02:35.00</v>
      </c>
      <c r="L2804">
        <v>1.99</v>
      </c>
      <c r="M2804">
        <v>92.99</v>
      </c>
      <c r="N2804">
        <v>52.94</v>
      </c>
      <c r="O2804">
        <v>15</v>
      </c>
      <c r="P2804">
        <v>13</v>
      </c>
    </row>
    <row r="2805" spans="1:16" x14ac:dyDescent="0.25">
      <c r="A2805">
        <v>22300235</v>
      </c>
      <c r="B2805">
        <v>2023</v>
      </c>
      <c r="C2805" t="s">
        <v>32</v>
      </c>
      <c r="D2805" t="s">
        <v>47</v>
      </c>
      <c r="E2805">
        <v>64</v>
      </c>
      <c r="F2805">
        <v>70</v>
      </c>
      <c r="G2805">
        <v>3</v>
      </c>
      <c r="H2805" s="1">
        <v>4.0740740740740737E-3</v>
      </c>
      <c r="I2805" t="s">
        <v>23</v>
      </c>
      <c r="J2805" s="2" t="str">
        <f>HYPERLINK("https://www.nba.com/stats/events?CFID=&amp;CFPARAMS=&amp;GameEventID=430&amp;GameID=0022300235&amp;Season=2023-24&amp;flag=1&amp;title=Leonard%20finger%20roll%20Layup%20(20%20PTS)%20(J.%20Harden%207%20AST)", "Finger roll Layup (20 PTS) (J. Harden 7 AST)")</f>
        <v>Finger roll Layup (20 PTS) (J. Harden 7 AST)</v>
      </c>
      <c r="K2805" s="2" t="str">
        <f>HYPERLINK("https://www.nba.com/game/...-vs-...-0022300235/play-by-play?watchFullGame=true", "LAC vs SAS - Q3 05:52.00")</f>
        <v>LAC vs SAS - Q3 05:52.00</v>
      </c>
      <c r="L2805">
        <v>1.93</v>
      </c>
      <c r="M2805">
        <v>6.92</v>
      </c>
      <c r="N2805">
        <v>47.06</v>
      </c>
      <c r="O2805">
        <v>15</v>
      </c>
      <c r="P2805">
        <v>13</v>
      </c>
    </row>
    <row r="2806" spans="1:16" x14ac:dyDescent="0.25">
      <c r="A2806">
        <v>21300312</v>
      </c>
      <c r="B2806">
        <v>2013</v>
      </c>
      <c r="C2806" t="s">
        <v>32</v>
      </c>
      <c r="D2806" t="s">
        <v>55</v>
      </c>
      <c r="E2806">
        <v>53</v>
      </c>
      <c r="F2806">
        <v>61</v>
      </c>
      <c r="G2806">
        <v>3</v>
      </c>
      <c r="H2806" s="1">
        <v>7.3148148148148148E-3</v>
      </c>
      <c r="I2806" t="s">
        <v>18</v>
      </c>
      <c r="J2806" s="2" t="str">
        <f>HYPERLINK("https://www.nba.com/stats/events?CFID=&amp;CFPARAMS=&amp;GameEventID=255&amp;GameID=0021300312&amp;Season=2013-14&amp;flag=1&amp;title=Leonard%202'%20Driving%20Reverse%20Layup%20(7%20PTS)%20(Green%202%20AST)", "Leonard 2' Driving Reverse Layup (7 PTS) (Green 2 AST)")</f>
        <v>Leonard 2' Driving Reverse Layup (7 PTS) (Green 2 AST)</v>
      </c>
      <c r="K2806" s="2" t="str">
        <f>HYPERLINK("https://www.nba.com/game/...-vs-...-0021300312/play-by-play?watchFullGame=true", "SAS vs TOR - Q3 10:32.00")</f>
        <v>SAS vs TOR - Q3 10:32.00</v>
      </c>
      <c r="L2806">
        <v>2</v>
      </c>
      <c r="M2806">
        <v>15</v>
      </c>
      <c r="N2806">
        <v>15</v>
      </c>
      <c r="O2806">
        <v>15</v>
      </c>
      <c r="P2806">
        <v>15</v>
      </c>
    </row>
    <row r="2807" spans="1:16" x14ac:dyDescent="0.25">
      <c r="A2807">
        <v>22201215</v>
      </c>
      <c r="B2807">
        <v>2022</v>
      </c>
      <c r="C2807" t="s">
        <v>32</v>
      </c>
      <c r="D2807" t="s">
        <v>47</v>
      </c>
      <c r="E2807">
        <v>73</v>
      </c>
      <c r="F2807">
        <v>72</v>
      </c>
      <c r="G2807">
        <v>3</v>
      </c>
      <c r="H2807" s="1">
        <v>6.9097222222222225E-3</v>
      </c>
      <c r="I2807" t="s">
        <v>23</v>
      </c>
      <c r="J2807" s="2" t="str">
        <f>HYPERLINK("https://www.nba.com/stats/events?CFID=&amp;CFPARAMS=&amp;GameEventID=370&amp;GameID=0022201215&amp;Season=2022-23&amp;flag=1&amp;title=Leonard%20driving%20Layup%20(16%20PTS)%20(R.%20Westbrook%204%20AST)", "Driving Layup (16 PTS) (R. Westbrook 4 AST)")</f>
        <v>Driving Layup (16 PTS) (R. Westbrook 4 AST)</v>
      </c>
      <c r="K2807" s="2" t="str">
        <f>HYPERLINK("https://www.nba.com/game/...-vs-...-0022201215/play-by-play?watchFullGame=true", "LAC vs POR - Q3 09:57.00")</f>
        <v>LAC vs POR - Q3 09:57.00</v>
      </c>
      <c r="L2807">
        <v>2.17</v>
      </c>
      <c r="M2807">
        <v>7.28</v>
      </c>
      <c r="N2807">
        <v>47.06</v>
      </c>
      <c r="O2807">
        <v>15</v>
      </c>
      <c r="P2807">
        <v>16</v>
      </c>
    </row>
    <row r="2808" spans="1:16" x14ac:dyDescent="0.25">
      <c r="A2808">
        <v>41800113</v>
      </c>
      <c r="B2808" t="s">
        <v>20</v>
      </c>
      <c r="C2808" t="s">
        <v>32</v>
      </c>
      <c r="D2808" t="s">
        <v>56</v>
      </c>
      <c r="E2808">
        <v>31</v>
      </c>
      <c r="F2808">
        <v>35</v>
      </c>
      <c r="G2808">
        <v>2</v>
      </c>
      <c r="H2808" s="1">
        <v>4.1898148148148146E-3</v>
      </c>
      <c r="I2808" t="s">
        <v>21</v>
      </c>
      <c r="J2808" s="2" t="str">
        <f>HYPERLINK("https://www.nba.com/stats/events?CFID=&amp;CFPARAMS=&amp;GameEventID=245&amp;GameID=0041800113&amp;Season=2018-19&amp;flag=1&amp;title=Leonard%202'%20Running%20Layup%20(4%20PTS)", "Leonard 2' Running Layup (4 PTS)")</f>
        <v>Leonard 2' Running Layup (4 PTS)</v>
      </c>
      <c r="K2808" s="2" t="str">
        <f>HYPERLINK("https://www.nba.com/game/...-vs-...-0041800113/play-by-play?watchFullGame=true", "TOR vs ORL - Q2 06:02.00")</f>
        <v>TOR vs ORL - Q2 06:02.00</v>
      </c>
      <c r="L2808">
        <v>2</v>
      </c>
      <c r="M2808">
        <v>15</v>
      </c>
      <c r="N2808">
        <v>17</v>
      </c>
      <c r="O2808">
        <v>15</v>
      </c>
      <c r="P2808">
        <v>17</v>
      </c>
    </row>
    <row r="2809" spans="1:16" x14ac:dyDescent="0.25">
      <c r="A2809">
        <v>22000509</v>
      </c>
      <c r="B2809">
        <v>2020</v>
      </c>
      <c r="C2809" t="s">
        <v>32</v>
      </c>
      <c r="D2809" t="s">
        <v>47</v>
      </c>
      <c r="E2809">
        <v>19</v>
      </c>
      <c r="F2809">
        <v>24</v>
      </c>
      <c r="G2809">
        <v>1</v>
      </c>
      <c r="H2809" s="1">
        <v>2.2569444444444442E-3</v>
      </c>
      <c r="I2809" t="s">
        <v>23</v>
      </c>
      <c r="J2809" s="2" t="str">
        <f>HYPERLINK("https://www.nba.com/stats/events?CFID=&amp;CFPARAMS=&amp;GameEventID=107&amp;GameID=0022000509&amp;Season=2020-21&amp;flag=1&amp;title=Leonard%20alley-oop%20Layup%20(8%20PTS)%20(P.%20George%202%20AST)", "Alley-oop Layup (8 PTS) (P. George 2 AST)")</f>
        <v>Alley-oop Layup (8 PTS) (P. George 2 AST)</v>
      </c>
      <c r="K2809" s="2" t="str">
        <f>HYPERLINK("https://www.nba.com/game/...-vs-...-0022000509/play-by-play?watchFullGame=true", "LAC vs MEM - Q1 03:15.00")</f>
        <v>LAC vs MEM - Q1 03:15.00</v>
      </c>
      <c r="L2809">
        <v>2.2799999999999998</v>
      </c>
      <c r="M2809">
        <v>92.59</v>
      </c>
      <c r="N2809">
        <v>53.01</v>
      </c>
      <c r="O2809">
        <v>15</v>
      </c>
      <c r="P2809">
        <v>17</v>
      </c>
    </row>
    <row r="2810" spans="1:16" x14ac:dyDescent="0.25">
      <c r="A2810">
        <v>21300094</v>
      </c>
      <c r="B2810">
        <v>2013</v>
      </c>
      <c r="C2810" t="s">
        <v>32</v>
      </c>
      <c r="D2810" t="s">
        <v>67</v>
      </c>
      <c r="E2810">
        <v>27</v>
      </c>
      <c r="F2810">
        <v>50</v>
      </c>
      <c r="G2810">
        <v>2</v>
      </c>
      <c r="H2810" s="1">
        <v>3.6226851851851854E-3</v>
      </c>
      <c r="I2810" t="s">
        <v>18</v>
      </c>
      <c r="J2810" s="2" t="str">
        <f>HYPERLINK("https://www.nba.com/stats/events?CFID=&amp;CFPARAMS=&amp;GameEventID=191&amp;GameID=0021300094&amp;Season=2013-14&amp;flag=1&amp;title=Leonard%202'%20Driving%20Dunk%20(9%20PTS)%20(Parker%206%20AST)", "Leonard 2' Driving Dunk (9 PTS) (Parker 6 AST)")</f>
        <v>Leonard 2' Driving Dunk (9 PTS) (Parker 6 AST)</v>
      </c>
      <c r="K2810" s="2" t="str">
        <f>HYPERLINK("https://www.nba.com/game/...-vs-...-0021300094/play-by-play?watchFullGame=true", "SAS vs NYK - Q2 05:13.00")</f>
        <v>SAS vs NYK - Q2 05:13.00</v>
      </c>
      <c r="L2810">
        <v>2</v>
      </c>
      <c r="M2810">
        <v>15</v>
      </c>
      <c r="N2810">
        <v>17</v>
      </c>
      <c r="O2810">
        <v>15</v>
      </c>
      <c r="P2810">
        <v>17</v>
      </c>
    </row>
    <row r="2811" spans="1:16" x14ac:dyDescent="0.25">
      <c r="A2811">
        <v>22300873</v>
      </c>
      <c r="B2811">
        <v>2023</v>
      </c>
      <c r="C2811" t="s">
        <v>32</v>
      </c>
      <c r="D2811" t="s">
        <v>47</v>
      </c>
      <c r="E2811">
        <v>62</v>
      </c>
      <c r="F2811">
        <v>63</v>
      </c>
      <c r="G2811">
        <v>3</v>
      </c>
      <c r="H2811" s="1">
        <v>2.0601851851851853E-3</v>
      </c>
      <c r="I2811" t="s">
        <v>23</v>
      </c>
      <c r="J2811" s="2" t="str">
        <f>HYPERLINK("https://www.nba.com/stats/events?CFID=&amp;CFPARAMS=&amp;GameEventID=399&amp;GameID=0022300873&amp;Season=2023-24&amp;flag=1&amp;title=Leonard%20Layup%20(23%20PTS)", "Layup (23 PTS)")</f>
        <v>Layup (23 PTS)</v>
      </c>
      <c r="K2811" s="2" t="str">
        <f>HYPERLINK("https://www.nba.com/game/...-vs-...-0022300873/play-by-play?watchFullGame=true", "LAC vs MIN - Q3 02:58.00")</f>
        <v>LAC vs MIN - Q3 02:58.00</v>
      </c>
      <c r="L2811">
        <v>2.36</v>
      </c>
      <c r="M2811">
        <v>92.51</v>
      </c>
      <c r="N2811">
        <v>53.09</v>
      </c>
      <c r="O2811">
        <v>15</v>
      </c>
      <c r="P2811">
        <v>18</v>
      </c>
    </row>
    <row r="2812" spans="1:16" x14ac:dyDescent="0.25">
      <c r="A2812">
        <v>21500207</v>
      </c>
      <c r="B2812">
        <v>2015</v>
      </c>
      <c r="C2812" t="s">
        <v>32</v>
      </c>
      <c r="D2812" t="s">
        <v>57</v>
      </c>
      <c r="E2812">
        <v>49</v>
      </c>
      <c r="F2812">
        <v>41</v>
      </c>
      <c r="G2812">
        <v>3</v>
      </c>
      <c r="H2812" s="1">
        <v>5.8333333333333336E-3</v>
      </c>
      <c r="I2812" t="s">
        <v>18</v>
      </c>
      <c r="J2812" s="2" t="str">
        <f>HYPERLINK("https://www.nba.com/stats/events?CFID=&amp;CFPARAMS=&amp;GameEventID=274&amp;GameID=0021500207&amp;Season=2015-16&amp;flag=1&amp;title=Leonard%203'%20Layup%20(13%20PTS)", "Leonard 3' Layup (13 PTS)")</f>
        <v>Leonard 3' Layup (13 PTS)</v>
      </c>
      <c r="K2812" s="2" t="str">
        <f>HYPERLINK("https://www.nba.com/game/...-vs-...-0021500207/play-by-play?watchFullGame=true", "SAS vs PHX - Q3 08:24.00")</f>
        <v>SAS vs PHX - Q3 08:24.00</v>
      </c>
      <c r="L2812">
        <v>3</v>
      </c>
      <c r="M2812">
        <v>15</v>
      </c>
      <c r="N2812">
        <v>21</v>
      </c>
      <c r="O2812">
        <v>15</v>
      </c>
      <c r="P2812">
        <v>21</v>
      </c>
    </row>
    <row r="2813" spans="1:16" x14ac:dyDescent="0.25">
      <c r="A2813">
        <v>21401223</v>
      </c>
      <c r="B2813">
        <v>2014</v>
      </c>
      <c r="C2813" t="s">
        <v>32</v>
      </c>
      <c r="D2813" t="s">
        <v>57</v>
      </c>
      <c r="E2813">
        <v>47</v>
      </c>
      <c r="F2813">
        <v>31</v>
      </c>
      <c r="G2813">
        <v>2</v>
      </c>
      <c r="H2813" s="1">
        <v>4.1087962962962962E-3</v>
      </c>
      <c r="I2813" t="s">
        <v>18</v>
      </c>
      <c r="J2813" s="2" t="str">
        <f>HYPERLINK("https://www.nba.com/stats/events?CFID=&amp;CFPARAMS=&amp;GameEventID=152&amp;GameID=0021401223&amp;Season=2014-15&amp;flag=1&amp;title=Leonard%203'%20Layup%20(8%20PTS)%20(Duncan%202%20AST)", "Leonard 3' Layup (8 PTS) (Duncan 2 AST)")</f>
        <v>Leonard 3' Layup (8 PTS) (Duncan 2 AST)</v>
      </c>
      <c r="K2813" s="2" t="str">
        <f>HYPERLINK("https://www.nba.com/game/...-vs-...-0021401223/play-by-play?watchFullGame=true", "SAS vs NOP - Q2 05:55.00")</f>
        <v>SAS vs NOP - Q2 05:55.00</v>
      </c>
      <c r="L2813">
        <v>3</v>
      </c>
      <c r="M2813">
        <v>15</v>
      </c>
      <c r="N2813">
        <v>22</v>
      </c>
      <c r="O2813">
        <v>15</v>
      </c>
      <c r="P2813">
        <v>22</v>
      </c>
    </row>
    <row r="2814" spans="1:16" x14ac:dyDescent="0.25">
      <c r="A2814">
        <v>22200719</v>
      </c>
      <c r="B2814">
        <v>2022</v>
      </c>
      <c r="C2814" t="s">
        <v>32</v>
      </c>
      <c r="D2814" t="s">
        <v>47</v>
      </c>
      <c r="E2814">
        <v>0</v>
      </c>
      <c r="F2814">
        <v>2</v>
      </c>
      <c r="G2814">
        <v>1</v>
      </c>
      <c r="H2814" s="1">
        <v>8.1018518518518514E-3</v>
      </c>
      <c r="I2814" t="s">
        <v>23</v>
      </c>
      <c r="J2814" s="2" t="str">
        <f>HYPERLINK("https://www.nba.com/stats/events?CFID=&amp;CFPARAMS=&amp;GameEventID=7&amp;GameID=0022200719&amp;Season=2022-23&amp;flag=1&amp;title=Leonard%20driving%20finger%20roll%20Layup%20(2%20PTS)", "Driving finger roll Layup (2 PTS)")</f>
        <v>Driving finger roll Layup (2 PTS)</v>
      </c>
      <c r="K2814" s="2" t="str">
        <f>HYPERLINK("https://www.nba.com/game/...-vs-...-0022200719/play-by-play?watchFullGame=true", "LAC vs LAL - Q1 11:40.00")</f>
        <v>LAC vs LAL - Q1 11:40.00</v>
      </c>
      <c r="L2814">
        <v>3.55</v>
      </c>
      <c r="M2814">
        <v>90.98</v>
      </c>
      <c r="N2814">
        <v>52.94</v>
      </c>
      <c r="O2814">
        <v>15</v>
      </c>
      <c r="P2814">
        <v>32</v>
      </c>
    </row>
    <row r="2815" spans="1:16" x14ac:dyDescent="0.25">
      <c r="A2815">
        <v>22200389</v>
      </c>
      <c r="B2815">
        <v>2022</v>
      </c>
      <c r="C2815" t="s">
        <v>32</v>
      </c>
      <c r="D2815" t="s">
        <v>47</v>
      </c>
      <c r="E2815">
        <v>105</v>
      </c>
      <c r="F2815">
        <v>107</v>
      </c>
      <c r="G2815">
        <v>4</v>
      </c>
      <c r="H2815" s="1">
        <v>6.8287037037037036E-4</v>
      </c>
      <c r="I2815" t="s">
        <v>23</v>
      </c>
      <c r="J2815" s="2" t="str">
        <f>HYPERLINK("https://www.nba.com/stats/events?CFID=&amp;CFPARAMS=&amp;GameEventID=620&amp;GameID=0022200389&amp;Season=2022-23&amp;flag=1&amp;title=Leonard%20driving%20Layup%20(13%20PTS)", "Driving Layup (13 PTS)")</f>
        <v>Driving Layup (13 PTS)</v>
      </c>
      <c r="K2815" s="2" t="str">
        <f>HYPERLINK("https://www.nba.com/game/...-vs-...-0022200389/play-by-play?watchFullGame=true", "LAC vs WAS - Q4 00:59.00")</f>
        <v>LAC vs WAS - Q4 00:59.00</v>
      </c>
      <c r="L2815">
        <v>3.55</v>
      </c>
      <c r="M2815">
        <v>9.02</v>
      </c>
      <c r="N2815">
        <v>47.06</v>
      </c>
      <c r="O2815">
        <v>15</v>
      </c>
      <c r="P2815">
        <v>32</v>
      </c>
    </row>
    <row r="2816" spans="1:16" x14ac:dyDescent="0.25">
      <c r="A2816">
        <v>22301043</v>
      </c>
      <c r="B2816">
        <v>2023</v>
      </c>
      <c r="C2816" t="s">
        <v>32</v>
      </c>
      <c r="D2816" t="s">
        <v>47</v>
      </c>
      <c r="E2816">
        <v>83</v>
      </c>
      <c r="F2816">
        <v>86</v>
      </c>
      <c r="G2816">
        <v>3</v>
      </c>
      <c r="H2816" s="1">
        <v>2.1990740740740742E-3</v>
      </c>
      <c r="I2816" t="s">
        <v>23</v>
      </c>
      <c r="J2816" s="2" t="str">
        <f>HYPERLINK("https://www.nba.com/stats/events?CFID=&amp;CFPARAMS=&amp;GameEventID=420&amp;GameID=0022301043&amp;Season=2023-24&amp;flag=1&amp;title=Leonard%20Layup%20(22%20PTS)%20(R.%20Westbrook%205%20AST)", "Layup (22 PTS) (R. Westbrook 5 AST)")</f>
        <v>Layup (22 PTS) (R. Westbrook 5 AST)</v>
      </c>
      <c r="K2816" s="2" t="str">
        <f>HYPERLINK("https://www.nba.com/game/...-vs-...-0022301043/play-by-play?watchFullGame=true", "LAC vs IND - Q3 03:10.00")</f>
        <v>LAC vs IND - Q3 03:10.00</v>
      </c>
      <c r="L2816">
        <v>4.3499999999999996</v>
      </c>
      <c r="M2816">
        <v>90.06</v>
      </c>
      <c r="N2816">
        <v>52.94</v>
      </c>
      <c r="O2816">
        <v>15</v>
      </c>
      <c r="P2816">
        <v>41</v>
      </c>
    </row>
    <row r="2817" spans="1:16" x14ac:dyDescent="0.25">
      <c r="A2817">
        <v>22300873</v>
      </c>
      <c r="B2817">
        <v>2023</v>
      </c>
      <c r="C2817" t="s">
        <v>32</v>
      </c>
      <c r="D2817" t="s">
        <v>44</v>
      </c>
      <c r="E2817">
        <v>40</v>
      </c>
      <c r="F2817">
        <v>39</v>
      </c>
      <c r="G2817">
        <v>2</v>
      </c>
      <c r="H2817" s="1">
        <v>2.9861111111111113E-3</v>
      </c>
      <c r="I2817" t="s">
        <v>23</v>
      </c>
      <c r="J2817" s="2" t="str">
        <f>HYPERLINK("https://www.nba.com/stats/events?CFID=&amp;CFPARAMS=&amp;GameEventID=225&amp;GameID=0022300873&amp;Season=2023-24&amp;flag=1&amp;title=Leonard%206'%20Hook%20(9%20PTS)%20(J.%20Harden%204%20AST)", "6' Hook (9 PTS) (J. Harden 4 AST)")</f>
        <v>6' Hook (9 PTS) (J. Harden 4 AST)</v>
      </c>
      <c r="K2817" s="2" t="str">
        <f>HYPERLINK("https://www.nba.com/game/...-vs-...-0022300873/play-by-play?watchFullGame=true", "LAC vs MIN - Q2 04:18.00")</f>
        <v>LAC vs MIN - Q2 04:18.00</v>
      </c>
      <c r="L2817">
        <v>6</v>
      </c>
      <c r="M2817">
        <v>11.78</v>
      </c>
      <c r="N2817">
        <v>47.06</v>
      </c>
      <c r="O2817">
        <v>15</v>
      </c>
      <c r="P2817">
        <v>58</v>
      </c>
    </row>
    <row r="2818" spans="1:16" x14ac:dyDescent="0.25">
      <c r="A2818">
        <v>42000177</v>
      </c>
      <c r="B2818" t="s">
        <v>83</v>
      </c>
      <c r="C2818" t="s">
        <v>32</v>
      </c>
      <c r="D2818" t="s">
        <v>19</v>
      </c>
      <c r="E2818">
        <v>72</v>
      </c>
      <c r="F2818">
        <v>67</v>
      </c>
      <c r="G2818">
        <v>3</v>
      </c>
      <c r="H2818" s="1">
        <v>7.5462962962962966E-3</v>
      </c>
      <c r="I2818" t="s">
        <v>23</v>
      </c>
      <c r="J2818" s="2" t="str">
        <f>HYPERLINK("https://www.nba.com/stats/events?CFID=&amp;CFPARAMS=&amp;GameEventID=341&amp;GameID=0042000177&amp;Season=2020-21&amp;flag=1&amp;title=Leonard%2010'%20pullup%20Jump%20Shot%20(15%20PTS)", "10' pullup Jump Shot (15 PTS)")</f>
        <v>10' pullup Jump Shot (15 PTS)</v>
      </c>
      <c r="K2818" s="2" t="str">
        <f>HYPERLINK("https://www.nba.com/game/...-vs-...-0042000177/play-by-play?watchFullGame=true", "LAC vs DAL - Q3 10:52.00")</f>
        <v>LAC vs DAL - Q3 10:52.00</v>
      </c>
      <c r="L2818">
        <v>10.58</v>
      </c>
      <c r="M2818">
        <v>15.33</v>
      </c>
      <c r="N2818">
        <v>60.61</v>
      </c>
      <c r="O2818">
        <v>15</v>
      </c>
      <c r="P2818">
        <v>60</v>
      </c>
    </row>
    <row r="2819" spans="1:16" x14ac:dyDescent="0.25">
      <c r="A2819">
        <v>21900251</v>
      </c>
      <c r="B2819">
        <v>2019</v>
      </c>
      <c r="C2819" t="s">
        <v>32</v>
      </c>
      <c r="D2819" t="s">
        <v>22</v>
      </c>
      <c r="E2819">
        <v>86</v>
      </c>
      <c r="F2819">
        <v>102</v>
      </c>
      <c r="G2819">
        <v>4</v>
      </c>
      <c r="H2819" s="1">
        <v>4.9652777777777777E-3</v>
      </c>
      <c r="I2819" t="s">
        <v>23</v>
      </c>
      <c r="J2819" s="2" t="str">
        <f>HYPERLINK("https://www.nba.com/stats/events?CFID=&amp;CFPARAMS=&amp;GameEventID=611&amp;GameID=0021900251&amp;Season=2019-20&amp;flag=1&amp;title=Leonard%209'%20jumpshot%20(24%20PTS)", "9' jumpshot (24 PTS)")</f>
        <v>9' jumpshot (24 PTS)</v>
      </c>
      <c r="K2819" s="2" t="str">
        <f>HYPERLINK("https://www.nba.com/game/...-vs-...-0021900251/play-by-play?watchFullGame=true", "LAC vs DAL - Q4 07:09.00")</f>
        <v>LAC vs DAL - Q4 07:09.00</v>
      </c>
      <c r="L2819">
        <v>9.42</v>
      </c>
      <c r="M2819">
        <v>85.1</v>
      </c>
      <c r="N2819">
        <v>53.01</v>
      </c>
      <c r="O2819">
        <v>15</v>
      </c>
      <c r="P2819">
        <v>88</v>
      </c>
    </row>
    <row r="2820" spans="1:16" x14ac:dyDescent="0.25">
      <c r="A2820">
        <v>22300273</v>
      </c>
      <c r="B2820">
        <v>2023</v>
      </c>
      <c r="C2820" t="s">
        <v>32</v>
      </c>
      <c r="D2820" t="s">
        <v>19</v>
      </c>
      <c r="E2820">
        <v>64</v>
      </c>
      <c r="F2820">
        <v>58</v>
      </c>
      <c r="G2820">
        <v>3</v>
      </c>
      <c r="H2820" s="1">
        <v>6.7129629629629631E-3</v>
      </c>
      <c r="I2820" t="s">
        <v>23</v>
      </c>
      <c r="J2820" s="2" t="str">
        <f>HYPERLINK("https://www.nba.com/stats/events?CFID=&amp;CFPARAMS=&amp;GameEventID=356&amp;GameID=0022300273&amp;Season=2023-24&amp;flag=1&amp;title=Leonard%209'%20driving%20floating%20Jump%20Shot%20(16%20PTS)", "9' driving floating Jump Shot (16 PTS)")</f>
        <v>9' driving floating Jump Shot (16 PTS)</v>
      </c>
      <c r="K2820" s="2" t="str">
        <f>HYPERLINK("https://www.nba.com/game/...-vs-...-0022300273/play-by-play?watchFullGame=true", "LAC vs GSW - Q3 09:40.00")</f>
        <v>LAC vs GSW - Q3 09:40.00</v>
      </c>
      <c r="L2820">
        <v>9.4</v>
      </c>
      <c r="M2820">
        <v>15.59</v>
      </c>
      <c r="N2820">
        <v>50</v>
      </c>
      <c r="O2820">
        <v>15</v>
      </c>
      <c r="P2820">
        <v>94</v>
      </c>
    </row>
    <row r="2821" spans="1:16" x14ac:dyDescent="0.25">
      <c r="A2821">
        <v>22400983</v>
      </c>
      <c r="B2821">
        <v>2024</v>
      </c>
      <c r="C2821" t="s">
        <v>32</v>
      </c>
      <c r="D2821" t="s">
        <v>19</v>
      </c>
      <c r="E2821">
        <v>46</v>
      </c>
      <c r="F2821">
        <v>22</v>
      </c>
      <c r="G2821">
        <v>2</v>
      </c>
      <c r="H2821" s="1">
        <v>5.4050925925925924E-3</v>
      </c>
      <c r="I2821" t="s">
        <v>23</v>
      </c>
      <c r="J2821" s="2" t="str">
        <f>HYPERLINK("https://www.nba.com/stats/events?CFID=&amp;CFPARAMS=&amp;GameEventID=212&amp;GameID=0022400983&amp;Season=2024-25&amp;flag=1&amp;title=Leonard%2010'%20pullup%20Jump%20Shot%20(4%20PTS)%20(T.%20Mann%203%20AST)", "10' pullup Jump Shot (4 PTS) (T. Mann 3 AST)")</f>
        <v>10' pullup Jump Shot (4 PTS) (T. Mann 3 AST)</v>
      </c>
      <c r="K2821" s="2" t="str">
        <f>HYPERLINK("https://www.nba.com/game/...-vs-...-0022400983/play-by-play?watchFullGame=true", "LAC vs WAS - Q2 07:47.00")</f>
        <v>LAC vs WAS - Q2 07:47.00</v>
      </c>
      <c r="L2821">
        <v>10.1</v>
      </c>
      <c r="M2821">
        <v>83.79</v>
      </c>
      <c r="N2821">
        <v>52.94</v>
      </c>
      <c r="O2821">
        <v>15</v>
      </c>
      <c r="P2821">
        <v>100</v>
      </c>
    </row>
    <row r="2822" spans="1:16" x14ac:dyDescent="0.25">
      <c r="A2822">
        <v>21600264</v>
      </c>
      <c r="B2822">
        <v>2016</v>
      </c>
      <c r="C2822" t="s">
        <v>32</v>
      </c>
      <c r="D2822" t="s">
        <v>29</v>
      </c>
      <c r="E2822">
        <v>30</v>
      </c>
      <c r="F2822">
        <v>35</v>
      </c>
      <c r="G2822">
        <v>2</v>
      </c>
      <c r="H2822" s="1">
        <v>2.1064814814814813E-3</v>
      </c>
      <c r="I2822" t="s">
        <v>18</v>
      </c>
      <c r="J2822" s="2" t="str">
        <f>HYPERLINK("https://www.nba.com/stats/events?CFID=&amp;CFPARAMS=&amp;GameEventID=201&amp;GameID=0021600264&amp;Season=2016-17&amp;flag=1&amp;title=Leonard%2011'%20Pullup%20Jump%20Shot%20(8%20PTS)%20(Aldridge%201%20AST)", "Leonard 11' Pullup Jump Shot (8 PTS) (Aldridge 1 AST)")</f>
        <v>Leonard 11' Pullup Jump Shot (8 PTS) (Aldridge 1 AST)</v>
      </c>
      <c r="K2822" s="2" t="str">
        <f>HYPERLINK("https://www.nba.com/game/...-vs-...-0021600264/play-by-play?watchFullGame=true", "SAS vs ORL - Q2 03:02.00")</f>
        <v>SAS vs ORL - Q2 03:02.00</v>
      </c>
      <c r="L2822">
        <v>11</v>
      </c>
      <c r="M2822">
        <v>15</v>
      </c>
      <c r="N2822">
        <v>106</v>
      </c>
      <c r="O2822">
        <v>15</v>
      </c>
      <c r="P2822">
        <v>106</v>
      </c>
    </row>
    <row r="2823" spans="1:16" x14ac:dyDescent="0.25">
      <c r="A2823">
        <v>21300039</v>
      </c>
      <c r="B2823">
        <v>2013</v>
      </c>
      <c r="C2823" t="s">
        <v>32</v>
      </c>
      <c r="D2823" t="s">
        <v>19</v>
      </c>
      <c r="E2823">
        <v>41</v>
      </c>
      <c r="F2823">
        <v>35</v>
      </c>
      <c r="G2823">
        <v>2</v>
      </c>
      <c r="H2823" s="1">
        <v>1.4583333333333334E-3</v>
      </c>
      <c r="I2823" t="s">
        <v>18</v>
      </c>
      <c r="J2823" s="2" t="str">
        <f>HYPERLINK("https://www.nba.com/stats/events?CFID=&amp;CFPARAMS=&amp;GameEventID=224&amp;GameID=0021300039&amp;Season=2013-14&amp;flag=1&amp;title=Leonard%2019'%20Jump%20Shot%20(4%20PTS)%20(Parker%204%20AST)", "Leonard 19' Jump Shot (4 PTS) (Parker 4 AST)")</f>
        <v>Leonard 19' Jump Shot (4 PTS) (Parker 4 AST)</v>
      </c>
      <c r="K2823" s="2" t="str">
        <f>HYPERLINK("https://www.nba.com/game/...-vs-...-0021300039/play-by-play?watchFullGame=true", "SAS vs POR - Q2 02:06.00")</f>
        <v>SAS vs POR - Q2 02:06.00</v>
      </c>
      <c r="L2823">
        <v>19</v>
      </c>
      <c r="M2823">
        <v>15</v>
      </c>
      <c r="N2823">
        <v>194</v>
      </c>
      <c r="O2823">
        <v>15</v>
      </c>
      <c r="P2823">
        <v>194</v>
      </c>
    </row>
    <row r="2824" spans="1:16" x14ac:dyDescent="0.25">
      <c r="A2824">
        <v>21401113</v>
      </c>
      <c r="B2824">
        <v>2014</v>
      </c>
      <c r="C2824" t="s">
        <v>32</v>
      </c>
      <c r="D2824" t="s">
        <v>19</v>
      </c>
      <c r="E2824">
        <v>0</v>
      </c>
      <c r="F2824">
        <v>5</v>
      </c>
      <c r="G2824">
        <v>1</v>
      </c>
      <c r="H2824" s="1">
        <v>7.6041666666666671E-3</v>
      </c>
      <c r="I2824" t="s">
        <v>18</v>
      </c>
      <c r="J2824" s="2" t="str">
        <f>HYPERLINK("https://www.nba.com/stats/events?CFID=&amp;CFPARAMS=&amp;GameEventID=9&amp;GameID=0021401113&amp;Season=2014-15&amp;flag=1&amp;title=Leonard%2020'%20Jump%20Shot%20(2%20PTS)", "Leonard 20' Jump Shot (2 PTS)")</f>
        <v>Leonard 20' Jump Shot (2 PTS)</v>
      </c>
      <c r="K2824" s="2" t="str">
        <f>HYPERLINK("https://www.nba.com/game/...-vs-...-0021401113/play-by-play?watchFullGame=true", "SAS vs ORL - Q1 10:57.00")</f>
        <v>SAS vs ORL - Q1 10:57.00</v>
      </c>
      <c r="L2824">
        <v>20</v>
      </c>
      <c r="M2824">
        <v>15</v>
      </c>
      <c r="N2824">
        <v>195</v>
      </c>
      <c r="O2824">
        <v>15</v>
      </c>
      <c r="P2824">
        <v>195</v>
      </c>
    </row>
    <row r="2825" spans="1:16" x14ac:dyDescent="0.25">
      <c r="A2825">
        <v>22300309</v>
      </c>
      <c r="B2825">
        <v>2023</v>
      </c>
      <c r="C2825" t="s">
        <v>32</v>
      </c>
      <c r="D2825" t="s">
        <v>19</v>
      </c>
      <c r="E2825">
        <v>65</v>
      </c>
      <c r="F2825">
        <v>41</v>
      </c>
      <c r="G2825">
        <v>2</v>
      </c>
      <c r="H2825" s="1">
        <v>2.5000000000000001E-3</v>
      </c>
      <c r="I2825" t="s">
        <v>23</v>
      </c>
      <c r="J2825" s="2" t="str">
        <f>HYPERLINK("https://www.nba.com/stats/events?CFID=&amp;CFPARAMS=&amp;GameEventID=279&amp;GameID=0022300309&amp;Season=2023-24&amp;flag=1&amp;title=Leonard%2020'%20turnaround%20fadeaway%20Jump%20Shot%20(15%20PTS)", "20' turnaround fadeaway Jump Shot (15 PTS)")</f>
        <v>20' turnaround fadeaway Jump Shot (15 PTS)</v>
      </c>
      <c r="K2825" s="2" t="str">
        <f>HYPERLINK("https://www.nba.com/game/...-vs-...-0022300309/play-by-play?watchFullGame=true", "LAC vs SAC - Q2 03:36.00")</f>
        <v>LAC vs SAC - Q2 03:36.00</v>
      </c>
      <c r="L2825">
        <v>20.69</v>
      </c>
      <c r="M2825">
        <v>72.45</v>
      </c>
      <c r="N2825">
        <v>52.94</v>
      </c>
      <c r="O2825">
        <v>15</v>
      </c>
      <c r="P2825">
        <v>206</v>
      </c>
    </row>
    <row r="2826" spans="1:16" x14ac:dyDescent="0.25">
      <c r="A2826">
        <v>21300082</v>
      </c>
      <c r="B2826">
        <v>2013</v>
      </c>
      <c r="C2826" t="s">
        <v>32</v>
      </c>
      <c r="D2826" t="s">
        <v>57</v>
      </c>
      <c r="E2826">
        <v>48</v>
      </c>
      <c r="F2826">
        <v>40</v>
      </c>
      <c r="G2826">
        <v>3</v>
      </c>
      <c r="H2826" s="1">
        <v>6.2962962962962964E-3</v>
      </c>
      <c r="I2826" t="s">
        <v>18</v>
      </c>
      <c r="J2826" s="2" t="str">
        <f>HYPERLINK("https://www.nba.com/stats/events?CFID=&amp;CFPARAMS=&amp;GameEventID=252&amp;GameID=0021300082&amp;Season=2013-14&amp;flag=1&amp;title=Leonard%202'%20Layup%20(13%20PTS)", "Leonard 2' Layup (13 PTS)")</f>
        <v>Leonard 2' Layup (13 PTS)</v>
      </c>
      <c r="K2826" s="2" t="str">
        <f>HYPERLINK("https://www.nba.com/game/...-vs-...-0021300082/play-by-play?watchFullGame=true", "SAS vs GSW - Q3 09:04.00")</f>
        <v>SAS vs GSW - Q3 09:04.00</v>
      </c>
      <c r="L2826">
        <v>2</v>
      </c>
      <c r="M2826">
        <v>16</v>
      </c>
      <c r="N2826">
        <v>-5</v>
      </c>
      <c r="O2826">
        <v>16</v>
      </c>
      <c r="P2826">
        <v>-5</v>
      </c>
    </row>
    <row r="2827" spans="1:16" x14ac:dyDescent="0.25">
      <c r="A2827">
        <v>22300964</v>
      </c>
      <c r="B2827">
        <v>2023</v>
      </c>
      <c r="C2827" t="s">
        <v>32</v>
      </c>
      <c r="D2827" t="s">
        <v>47</v>
      </c>
      <c r="E2827">
        <v>10</v>
      </c>
      <c r="F2827">
        <v>11</v>
      </c>
      <c r="G2827">
        <v>1</v>
      </c>
      <c r="H2827" s="1">
        <v>3.1365740740740742E-3</v>
      </c>
      <c r="I2827" t="s">
        <v>23</v>
      </c>
      <c r="J2827" s="2" t="str">
        <f>HYPERLINK("https://www.nba.com/stats/events?CFID=&amp;CFPARAMS=&amp;GameEventID=86&amp;GameID=0022300964&amp;Season=2023-24&amp;flag=1&amp;title=Leonard%20driving%20Layup%20(7%20PTS)%20(A.%20Coffey%201%20AST)", "Driving Layup (7 PTS) (A. Coffey 1 AST)")</f>
        <v>Driving Layup (7 PTS) (A. Coffey 1 AST)</v>
      </c>
      <c r="K2827" s="2" t="str">
        <f>HYPERLINK("https://www.nba.com/game/...-vs-...-0022300964/play-by-play?watchFullGame=true", "LAC vs NOP - Q1 04:31.00")</f>
        <v>LAC vs NOP - Q1 04:31.00</v>
      </c>
      <c r="L2827">
        <v>1.6</v>
      </c>
      <c r="M2827">
        <v>94.56</v>
      </c>
      <c r="N2827">
        <v>53.19</v>
      </c>
      <c r="O2827">
        <v>16</v>
      </c>
      <c r="P2827">
        <v>-1</v>
      </c>
    </row>
    <row r="2828" spans="1:16" x14ac:dyDescent="0.25">
      <c r="A2828">
        <v>41800405</v>
      </c>
      <c r="B2828" t="s">
        <v>20</v>
      </c>
      <c r="C2828" t="s">
        <v>32</v>
      </c>
      <c r="D2828" t="s">
        <v>56</v>
      </c>
      <c r="E2828">
        <v>18</v>
      </c>
      <c r="F2828">
        <v>19</v>
      </c>
      <c r="G2828">
        <v>1</v>
      </c>
      <c r="H2828" s="1">
        <v>3.7152777777777778E-3</v>
      </c>
      <c r="I2828" t="s">
        <v>21</v>
      </c>
      <c r="J2828" s="2" t="str">
        <f>HYPERLINK("https://www.nba.com/stats/events?CFID=&amp;CFPARAMS=&amp;GameEventID=85&amp;GameID=0041800405&amp;Season=2018-19&amp;flag=1&amp;title=Leonard%202'%20Running%20Layup%20(4%20PTS)%20(Lowry%203%20AST)", "Leonard 2' Running Layup (4 PTS) (Lowry 3 AST)")</f>
        <v>Leonard 2' Running Layup (4 PTS) (Lowry 3 AST)</v>
      </c>
      <c r="K2828" s="2" t="str">
        <f>HYPERLINK("https://www.nba.com/game/...-vs-...-0041800405/play-by-play?watchFullGame=true", "TOR vs GSW - Q1 05:21.00")</f>
        <v>TOR vs GSW - Q1 05:21.00</v>
      </c>
      <c r="L2828">
        <v>2</v>
      </c>
      <c r="M2828">
        <v>16</v>
      </c>
      <c r="N2828">
        <v>-1</v>
      </c>
      <c r="O2828">
        <v>16</v>
      </c>
      <c r="P2828">
        <v>-1</v>
      </c>
    </row>
    <row r="2829" spans="1:16" x14ac:dyDescent="0.25">
      <c r="A2829">
        <v>22000601</v>
      </c>
      <c r="B2829">
        <v>2020</v>
      </c>
      <c r="C2829" t="s">
        <v>32</v>
      </c>
      <c r="D2829" t="s">
        <v>47</v>
      </c>
      <c r="E2829">
        <v>65</v>
      </c>
      <c r="F2829">
        <v>54</v>
      </c>
      <c r="G2829">
        <v>2</v>
      </c>
      <c r="H2829" s="1">
        <v>5.9027777777777778E-4</v>
      </c>
      <c r="I2829" t="s">
        <v>23</v>
      </c>
      <c r="J2829" s="2" t="str">
        <f>HYPERLINK("https://www.nba.com/stats/events?CFID=&amp;CFPARAMS=&amp;GameEventID=317&amp;GameID=0022000601&amp;Season=2020-21&amp;flag=1&amp;title=Leonard%20driving%20Layup%20(16%20PTS)", "Driving Layup (16 PTS)")</f>
        <v>Driving Layup (16 PTS)</v>
      </c>
      <c r="K2829" s="2" t="str">
        <f>HYPERLINK("https://www.nba.com/game/...-vs-...-0022000601/play-by-play?watchFullGame=true", "LAC vs NOP - Q2 00:51.00")</f>
        <v>LAC vs NOP - Q2 00:51.00</v>
      </c>
      <c r="L2829">
        <v>1.57</v>
      </c>
      <c r="M2829">
        <v>5.73</v>
      </c>
      <c r="N2829">
        <v>46.88</v>
      </c>
      <c r="O2829">
        <v>16</v>
      </c>
      <c r="P2829">
        <v>1</v>
      </c>
    </row>
    <row r="2830" spans="1:16" x14ac:dyDescent="0.25">
      <c r="A2830">
        <v>22000788</v>
      </c>
      <c r="B2830">
        <v>2020</v>
      </c>
      <c r="C2830" t="s">
        <v>32</v>
      </c>
      <c r="D2830" t="s">
        <v>47</v>
      </c>
      <c r="E2830">
        <v>76</v>
      </c>
      <c r="F2830">
        <v>77</v>
      </c>
      <c r="G2830">
        <v>3</v>
      </c>
      <c r="H2830" s="1">
        <v>1.5972222222222223E-3</v>
      </c>
      <c r="I2830" t="s">
        <v>23</v>
      </c>
      <c r="J2830" s="2" t="str">
        <f>HYPERLINK("https://www.nba.com/stats/events?CFID=&amp;CFPARAMS=&amp;GameEventID=397&amp;GameID=0022000788&amp;Season=2020-21&amp;flag=1&amp;title=Leonard%20driving%20Layup%20(17%20PTS)%20(P.%20Patterson%201%20AST)", "Driving Layup (17 PTS) (P. Patterson 1 AST)")</f>
        <v>Driving Layup (17 PTS) (P. Patterson 1 AST)</v>
      </c>
      <c r="K2830" s="2" t="str">
        <f>HYPERLINK("https://www.nba.com/game/...-vs-...-0022000788/play-by-play?watchFullGame=true", "LAC vs PHX - Q3 02:18.00")</f>
        <v>LAC vs PHX - Q3 02:18.00</v>
      </c>
      <c r="L2830">
        <v>1.84</v>
      </c>
      <c r="M2830">
        <v>93.51</v>
      </c>
      <c r="N2830">
        <v>53.26</v>
      </c>
      <c r="O2830">
        <v>16</v>
      </c>
      <c r="P2830">
        <v>8</v>
      </c>
    </row>
    <row r="2831" spans="1:16" x14ac:dyDescent="0.25">
      <c r="A2831">
        <v>21901258</v>
      </c>
      <c r="B2831">
        <v>2019</v>
      </c>
      <c r="C2831" t="s">
        <v>32</v>
      </c>
      <c r="D2831" t="s">
        <v>50</v>
      </c>
      <c r="E2831">
        <v>45</v>
      </c>
      <c r="F2831">
        <v>43</v>
      </c>
      <c r="G2831">
        <v>2</v>
      </c>
      <c r="H2831" s="1">
        <v>3.2060185185185186E-3</v>
      </c>
      <c r="I2831" t="s">
        <v>23</v>
      </c>
      <c r="J2831" s="2" t="str">
        <f>HYPERLINK("https://www.nba.com/stats/events?CFID=&amp;CFPARAMS=&amp;GameEventID=242&amp;GameID=0021901258&amp;Season=2019-20&amp;flag=1&amp;title=Leonard%20layup%20(6%20PTS)", "Layup (6 PTS)")</f>
        <v>Layup (6 PTS)</v>
      </c>
      <c r="K2831" s="2" t="str">
        <f>HYPERLINK("https://www.nba.com/game/...-vs-...-0021901258/play-by-play?watchFullGame=true", "LAC vs PHX - Q2 04:37.00")</f>
        <v>LAC vs PHX - Q2 04:37.00</v>
      </c>
      <c r="L2831">
        <v>2.04</v>
      </c>
      <c r="M2831">
        <v>6.39</v>
      </c>
      <c r="N2831">
        <v>46.88</v>
      </c>
      <c r="O2831">
        <v>16</v>
      </c>
      <c r="P2831">
        <v>8</v>
      </c>
    </row>
    <row r="2832" spans="1:16" x14ac:dyDescent="0.25">
      <c r="A2832">
        <v>22400646</v>
      </c>
      <c r="B2832">
        <v>2024</v>
      </c>
      <c r="C2832" t="s">
        <v>32</v>
      </c>
      <c r="D2832" t="s">
        <v>47</v>
      </c>
      <c r="E2832">
        <v>43</v>
      </c>
      <c r="F2832">
        <v>42</v>
      </c>
      <c r="G2832">
        <v>2</v>
      </c>
      <c r="H2832" s="1">
        <v>4.0856481481481481E-3</v>
      </c>
      <c r="I2832" t="s">
        <v>23</v>
      </c>
      <c r="J2832" s="2" t="str">
        <f>HYPERLINK("https://www.nba.com/stats/events?CFID=&amp;CFPARAMS=&amp;GameEventID=247&amp;GameID=0022400646&amp;Season=2024-25&amp;flag=1&amp;title=Leonard%20driving%20Layup%20(11%20PTS)%20(Porter%20Jr.%201%20AST)", "Driving Layup (11 PTS) (K. Porter Jr. 1 AST)")</f>
        <v>Driving Layup (11 PTS) (K. Porter Jr. 1 AST)</v>
      </c>
      <c r="K2832" s="2" t="str">
        <f>HYPERLINK("https://www.nba.com/game/...-vs-...-0022400646/play-by-play?watchFullGame=true", "LAC vs MIL - Q2 05:53.00")</f>
        <v>LAC vs MIL - Q2 05:53.00</v>
      </c>
      <c r="L2832">
        <v>1.8</v>
      </c>
      <c r="M2832">
        <v>93.51</v>
      </c>
      <c r="N2832">
        <v>53.19</v>
      </c>
      <c r="O2832">
        <v>16</v>
      </c>
      <c r="P2832">
        <v>8</v>
      </c>
    </row>
    <row r="2833" spans="1:16" x14ac:dyDescent="0.25">
      <c r="A2833">
        <v>41800216</v>
      </c>
      <c r="B2833" t="s">
        <v>20</v>
      </c>
      <c r="C2833" t="s">
        <v>32</v>
      </c>
      <c r="D2833" t="s">
        <v>61</v>
      </c>
      <c r="E2833">
        <v>13</v>
      </c>
      <c r="F2833">
        <v>12</v>
      </c>
      <c r="G2833">
        <v>1</v>
      </c>
      <c r="H2833" s="1">
        <v>4.0277777777777777E-3</v>
      </c>
      <c r="I2833" t="s">
        <v>21</v>
      </c>
      <c r="J2833" s="2" t="str">
        <f>HYPERLINK("https://www.nba.com/stats/events?CFID=&amp;CFPARAMS=&amp;GameEventID=71&amp;GameID=0041800216&amp;Season=2018-19&amp;flag=1&amp;title=Leonard%202'%20Driving%20Finger%20Roll%20Layup%20(2%20PTS)%20(Siakam%202%20AST)", "Leonard 2' Driving Finger Roll Layup (2 PTS) (Siakam 2 AST)")</f>
        <v>Leonard 2' Driving Finger Roll Layup (2 PTS) (Siakam 2 AST)</v>
      </c>
      <c r="K2833" s="2" t="str">
        <f>HYPERLINK("https://www.nba.com/game/...-vs-...-0041800216/play-by-play?watchFullGame=true", "TOR vs PHI - Q1 05:48.00")</f>
        <v>TOR vs PHI - Q1 05:48.00</v>
      </c>
      <c r="L2833">
        <v>2</v>
      </c>
      <c r="M2833">
        <v>16</v>
      </c>
      <c r="N2833">
        <v>8</v>
      </c>
      <c r="O2833">
        <v>16</v>
      </c>
      <c r="P2833">
        <v>8</v>
      </c>
    </row>
    <row r="2834" spans="1:16" x14ac:dyDescent="0.25">
      <c r="A2834">
        <v>21901232</v>
      </c>
      <c r="B2834">
        <v>2019</v>
      </c>
      <c r="C2834" t="s">
        <v>32</v>
      </c>
      <c r="D2834" t="s">
        <v>65</v>
      </c>
      <c r="E2834">
        <v>41</v>
      </c>
      <c r="F2834">
        <v>31</v>
      </c>
      <c r="G2834">
        <v>2</v>
      </c>
      <c r="H2834" s="1">
        <v>6.6782407407407407E-3</v>
      </c>
      <c r="I2834" t="s">
        <v>23</v>
      </c>
      <c r="J2834" s="2" t="str">
        <f>HYPERLINK("https://www.nba.com/stats/events?CFID=&amp;CFPARAMS=&amp;GameEventID=231&amp;GameID=0021901232&amp;Season=2019-20&amp;flag=1&amp;title=Leonard%20dunk%20(8%20PTS)%20(P.%20Patterson%201%20AST)", "Dunk (8 PTS) (P. Patterson 1 AST)")</f>
        <v>Dunk (8 PTS) (P. Patterson 1 AST)</v>
      </c>
      <c r="K2834" s="2" t="str">
        <f>HYPERLINK("https://www.nba.com/game/...-vs-...-0021901232/play-by-play?watchFullGame=true", "LAC vs LAL - Q2 09:37.00")</f>
        <v>LAC vs LAL - Q2 09:37.00</v>
      </c>
      <c r="L2834">
        <v>2.2000000000000002</v>
      </c>
      <c r="M2834">
        <v>6.65</v>
      </c>
      <c r="N2834">
        <v>46.88</v>
      </c>
      <c r="O2834">
        <v>16</v>
      </c>
      <c r="P2834">
        <v>10</v>
      </c>
    </row>
    <row r="2835" spans="1:16" x14ac:dyDescent="0.25">
      <c r="A2835">
        <v>22301003</v>
      </c>
      <c r="B2835">
        <v>2023</v>
      </c>
      <c r="C2835" t="s">
        <v>32</v>
      </c>
      <c r="D2835" t="s">
        <v>47</v>
      </c>
      <c r="E2835">
        <v>55</v>
      </c>
      <c r="F2835">
        <v>66</v>
      </c>
      <c r="G2835">
        <v>3</v>
      </c>
      <c r="H2835" s="1">
        <v>5.7060185185185183E-3</v>
      </c>
      <c r="I2835" t="s">
        <v>23</v>
      </c>
      <c r="J2835" s="2" t="str">
        <f>HYPERLINK("https://www.nba.com/stats/events?CFID=&amp;CFPARAMS=&amp;GameEventID=303&amp;GameID=0022301003&amp;Season=2023-24&amp;flag=1&amp;title=Leonard%20reverse%20Layup%20(9%20PTS)%20(J.%20Harden%208%20AST)", "Reverse Layup (9 PTS) (J. Harden 8 AST)")</f>
        <v>Reverse Layup (9 PTS) (J. Harden 8 AST)</v>
      </c>
      <c r="K2835" s="2" t="str">
        <f>HYPERLINK("https://www.nba.com/game/...-vs-...-0022301003/play-by-play?watchFullGame=true", "LAC vs POR - Q3 08:13.00")</f>
        <v>LAC vs POR - Q3 08:13.00</v>
      </c>
      <c r="L2835">
        <v>1.88</v>
      </c>
      <c r="M2835">
        <v>6.65</v>
      </c>
      <c r="N2835">
        <v>46.81</v>
      </c>
      <c r="O2835">
        <v>16</v>
      </c>
      <c r="P2835">
        <v>10</v>
      </c>
    </row>
    <row r="2836" spans="1:16" x14ac:dyDescent="0.25">
      <c r="A2836">
        <v>41800214</v>
      </c>
      <c r="B2836" t="s">
        <v>20</v>
      </c>
      <c r="C2836" t="s">
        <v>32</v>
      </c>
      <c r="D2836" t="s">
        <v>59</v>
      </c>
      <c r="E2836">
        <v>40</v>
      </c>
      <c r="F2836">
        <v>45</v>
      </c>
      <c r="G2836">
        <v>2</v>
      </c>
      <c r="H2836" s="1">
        <v>8.564814814814815E-4</v>
      </c>
      <c r="I2836" t="s">
        <v>21</v>
      </c>
      <c r="J2836" s="2" t="str">
        <f>HYPERLINK("https://www.nba.com/stats/events?CFID=&amp;CFPARAMS=&amp;GameEventID=313&amp;GameID=0041800214&amp;Season=2018-19&amp;flag=1&amp;title=Leonard%202'%20Putback%20Layup%20(15%20PTS)", "Leonard 2' Putback Layup (15 PTS)")</f>
        <v>Leonard 2' Putback Layup (15 PTS)</v>
      </c>
      <c r="K2836" s="2" t="str">
        <f>HYPERLINK("https://www.nba.com/game/...-vs-...-0041800214/play-by-play?watchFullGame=true", "TOR vs PHI - Q2 01:14.00")</f>
        <v>TOR vs PHI - Q2 01:14.00</v>
      </c>
      <c r="L2836">
        <v>2</v>
      </c>
      <c r="M2836">
        <v>16</v>
      </c>
      <c r="N2836">
        <v>14</v>
      </c>
      <c r="O2836">
        <v>16</v>
      </c>
      <c r="P2836">
        <v>14</v>
      </c>
    </row>
    <row r="2837" spans="1:16" x14ac:dyDescent="0.25">
      <c r="A2837">
        <v>22201112</v>
      </c>
      <c r="B2837">
        <v>2022</v>
      </c>
      <c r="C2837" t="s">
        <v>32</v>
      </c>
      <c r="D2837" t="s">
        <v>47</v>
      </c>
      <c r="E2837">
        <v>20</v>
      </c>
      <c r="F2837">
        <v>25</v>
      </c>
      <c r="G2837">
        <v>1</v>
      </c>
      <c r="H2837" s="1">
        <v>2.9976851851851853E-3</v>
      </c>
      <c r="I2837" t="s">
        <v>23</v>
      </c>
      <c r="J2837" s="2" t="str">
        <f>HYPERLINK("https://www.nba.com/stats/events?CFID=&amp;CFPARAMS=&amp;GameEventID=92&amp;GameID=0022201112&amp;Season=2022-23&amp;flag=1&amp;title=Leonard%20driving%20finger%20roll%20Layup%20(2%20PTS)", "Driving finger roll Layup (2 PTS)")</f>
        <v>Driving finger roll Layup (2 PTS)</v>
      </c>
      <c r="K2837" s="2" t="str">
        <f>HYPERLINK("https://www.nba.com/game/...-vs-...-0022201112/play-by-play?watchFullGame=true", "LAC vs NOP - Q1 04:19.00")</f>
        <v>LAC vs NOP - Q1 04:19.00</v>
      </c>
      <c r="L2837">
        <v>2.17</v>
      </c>
      <c r="M2837">
        <v>7.15</v>
      </c>
      <c r="N2837">
        <v>46.81</v>
      </c>
      <c r="O2837">
        <v>16</v>
      </c>
      <c r="P2837">
        <v>15</v>
      </c>
    </row>
    <row r="2838" spans="1:16" x14ac:dyDescent="0.25">
      <c r="A2838">
        <v>22301003</v>
      </c>
      <c r="B2838">
        <v>2023</v>
      </c>
      <c r="C2838" t="s">
        <v>32</v>
      </c>
      <c r="D2838" t="s">
        <v>47</v>
      </c>
      <c r="E2838">
        <v>58</v>
      </c>
      <c r="F2838">
        <v>72</v>
      </c>
      <c r="G2838">
        <v>3</v>
      </c>
      <c r="H2838" s="1">
        <v>4.43287037037037E-3</v>
      </c>
      <c r="I2838" t="s">
        <v>23</v>
      </c>
      <c r="J2838" s="2" t="str">
        <f>HYPERLINK("https://www.nba.com/stats/events?CFID=&amp;CFPARAMS=&amp;GameEventID=325&amp;GameID=0022301003&amp;Season=2023-24&amp;flag=1&amp;title=Leonard%20running%20finger%20roll%20Layup%20(15%20PTS)%20(J.%20Harden%2010%20AST)", "Running finger roll Layup (15 PTS) (J. Harden 10 AST)")</f>
        <v>Running finger roll Layup (15 PTS) (J. Harden 10 AST)</v>
      </c>
      <c r="K2838" s="2" t="str">
        <f>HYPERLINK("https://www.nba.com/game/...-vs-...-0022301003/play-by-play?watchFullGame=true", "LAC vs POR - Q3 06:23.00")</f>
        <v>LAC vs POR - Q3 06:23.00</v>
      </c>
      <c r="L2838">
        <v>2.75</v>
      </c>
      <c r="M2838">
        <v>7.97</v>
      </c>
      <c r="N2838">
        <v>46.81</v>
      </c>
      <c r="O2838">
        <v>16</v>
      </c>
      <c r="P2838">
        <v>22</v>
      </c>
    </row>
    <row r="2839" spans="1:16" x14ac:dyDescent="0.25">
      <c r="A2839">
        <v>22300223</v>
      </c>
      <c r="B2839">
        <v>2023</v>
      </c>
      <c r="C2839" t="s">
        <v>32</v>
      </c>
      <c r="D2839" t="s">
        <v>48</v>
      </c>
      <c r="E2839">
        <v>50</v>
      </c>
      <c r="F2839">
        <v>60</v>
      </c>
      <c r="G2839">
        <v>2</v>
      </c>
      <c r="H2839" s="1">
        <v>1.5856481481481481E-3</v>
      </c>
      <c r="I2839" t="s">
        <v>23</v>
      </c>
      <c r="J2839" s="2" t="str">
        <f>HYPERLINK("https://www.nba.com/stats/events?CFID=&amp;CFPARAMS=&amp;GameEventID=286&amp;GameID=0022300223&amp;Season=2023-24&amp;flag=1&amp;title=Leonard%20driving%20DUNK%20(10%20PTS)%20(P.%20George%205%20AST)", "Driving DUNK (10 PTS) (P. George 5 AST)")</f>
        <v>Driving DUNK (10 PTS) (P. George 5 AST)</v>
      </c>
      <c r="K2839" s="2" t="str">
        <f>HYPERLINK("https://www.nba.com/game/...-vs-...-0022300223/play-by-play?watchFullGame=true", "LAC vs SAS - Q2 02:17.00")</f>
        <v>LAC vs SAS - Q2 02:17.00</v>
      </c>
      <c r="L2839">
        <v>2.82</v>
      </c>
      <c r="M2839">
        <v>91.93</v>
      </c>
      <c r="N2839">
        <v>53.19</v>
      </c>
      <c r="O2839">
        <v>16</v>
      </c>
      <c r="P2839">
        <v>23</v>
      </c>
    </row>
    <row r="2840" spans="1:16" x14ac:dyDescent="0.25">
      <c r="A2840">
        <v>22400889</v>
      </c>
      <c r="B2840">
        <v>2024</v>
      </c>
      <c r="C2840" t="s">
        <v>32</v>
      </c>
      <c r="D2840" t="s">
        <v>48</v>
      </c>
      <c r="E2840">
        <v>64</v>
      </c>
      <c r="F2840">
        <v>84</v>
      </c>
      <c r="G2840">
        <v>3</v>
      </c>
      <c r="H2840" s="1">
        <v>3.5532407407407409E-3</v>
      </c>
      <c r="I2840" t="s">
        <v>23</v>
      </c>
      <c r="J2840" s="2" t="str">
        <f>HYPERLINK("https://www.nba.com/stats/events?CFID=&amp;CFPARAMS=&amp;GameEventID=373&amp;GameID=0022400889&amp;Season=2024-25&amp;flag=1&amp;title=Leonard%20cutting%20DUNK%20(19%20PTS)%20(I.%20Zubac%203%20AST)", "Cutting DUNK (19 PTS) (I. Zubac 3 AST)")</f>
        <v>Cutting DUNK (19 PTS) (I. Zubac 3 AST)</v>
      </c>
      <c r="K2840" s="2" t="str">
        <f>HYPERLINK("https://www.nba.com/game/...-vs-...-0022400889/play-by-play?watchFullGame=true", "LAC vs PHX - Q3 05:07.00")</f>
        <v>LAC vs PHX - Q3 05:07.00</v>
      </c>
      <c r="L2840">
        <v>2.88</v>
      </c>
      <c r="M2840">
        <v>8.15</v>
      </c>
      <c r="N2840">
        <v>46.86</v>
      </c>
      <c r="O2840">
        <v>16</v>
      </c>
      <c r="P2840">
        <v>24</v>
      </c>
    </row>
    <row r="2841" spans="1:16" x14ac:dyDescent="0.25">
      <c r="A2841">
        <v>22400911</v>
      </c>
      <c r="B2841">
        <v>2024</v>
      </c>
      <c r="C2841" t="s">
        <v>32</v>
      </c>
      <c r="D2841" t="s">
        <v>47</v>
      </c>
      <c r="E2841">
        <v>70</v>
      </c>
      <c r="F2841">
        <v>64</v>
      </c>
      <c r="G2841">
        <v>3</v>
      </c>
      <c r="H2841" s="1">
        <v>4.8148148148148152E-3</v>
      </c>
      <c r="I2841" t="s">
        <v>23</v>
      </c>
      <c r="J2841" s="2" t="str">
        <f>HYPERLINK("https://www.nba.com/stats/events?CFID=&amp;CFPARAMS=&amp;GameEventID=351&amp;GameID=0022400911&amp;Season=2024-25&amp;flag=1&amp;title=Leonard%20driving%20reverse%20Layup%20(15%20PTS)", "Driving reverse Layup (15 PTS)")</f>
        <v>Driving reverse Layup (15 PTS)</v>
      </c>
      <c r="K2841" s="2" t="str">
        <f>HYPERLINK("https://www.nba.com/game/...-vs-...-0022400911/play-by-play?watchFullGame=true", "LAC vs NYK - Q3 06:56.00")</f>
        <v>LAC vs NYK - Q3 06:56.00</v>
      </c>
      <c r="L2841">
        <v>3.27</v>
      </c>
      <c r="M2841">
        <v>8.6199999999999992</v>
      </c>
      <c r="N2841">
        <v>46.81</v>
      </c>
      <c r="O2841">
        <v>16</v>
      </c>
      <c r="P2841">
        <v>29</v>
      </c>
    </row>
    <row r="2842" spans="1:16" x14ac:dyDescent="0.25">
      <c r="A2842">
        <v>21901241</v>
      </c>
      <c r="B2842">
        <v>2019</v>
      </c>
      <c r="C2842" t="s">
        <v>32</v>
      </c>
      <c r="D2842" t="s">
        <v>50</v>
      </c>
      <c r="E2842">
        <v>61</v>
      </c>
      <c r="F2842">
        <v>40</v>
      </c>
      <c r="G2842">
        <v>2</v>
      </c>
      <c r="H2842" s="1">
        <v>3.5532407407407409E-3</v>
      </c>
      <c r="I2842" t="s">
        <v>23</v>
      </c>
      <c r="J2842" s="2" t="str">
        <f>HYPERLINK("https://www.nba.com/stats/events?CFID=&amp;CFPARAMS=&amp;GameEventID=262&amp;GameID=0021901241&amp;Season=2019-20&amp;flag=1&amp;title=Leonard%20layup%20(18%20PTS)", "Layup (18 PTS)")</f>
        <v>Layup (18 PTS)</v>
      </c>
      <c r="K2842" s="2" t="str">
        <f>HYPERLINK("https://www.nba.com/game/...-vs-...-0021901241/play-by-play?watchFullGame=true", "LAC vs NOP - Q2 05:07.00")</f>
        <v>LAC vs NOP - Q2 05:07.00</v>
      </c>
      <c r="L2842">
        <v>3.97</v>
      </c>
      <c r="M2842">
        <v>8.89</v>
      </c>
      <c r="N2842">
        <v>46.88</v>
      </c>
      <c r="O2842">
        <v>16</v>
      </c>
      <c r="P2842">
        <v>31</v>
      </c>
    </row>
    <row r="2843" spans="1:16" x14ac:dyDescent="0.25">
      <c r="A2843">
        <v>42200171</v>
      </c>
      <c r="B2843" t="s">
        <v>86</v>
      </c>
      <c r="C2843" t="s">
        <v>32</v>
      </c>
      <c r="D2843" t="s">
        <v>19</v>
      </c>
      <c r="E2843">
        <v>81</v>
      </c>
      <c r="F2843">
        <v>83</v>
      </c>
      <c r="G2843">
        <v>4</v>
      </c>
      <c r="H2843" s="1">
        <v>8.1597222222222227E-3</v>
      </c>
      <c r="I2843" t="s">
        <v>23</v>
      </c>
      <c r="J2843" s="2" t="str">
        <f>HYPERLINK("https://www.nba.com/stats/events?CFID=&amp;CFPARAMS=&amp;GameEventID=509&amp;GameID=0042200171&amp;Season=2022-23&amp;flag=1&amp;title=Leonard%2011'%20fadeaway%20Jump%20Shot%20(27%20PTS)", "11' fadeaway Jump Shot (27 PTS)")</f>
        <v>11' fadeaway Jump Shot (27 PTS)</v>
      </c>
      <c r="K2843" s="2" t="str">
        <f>HYPERLINK("https://www.nba.com/game/...-vs-...-0042200171/play-by-play?watchFullGame=true", "LAC vs PHX - Q4 11:45.00")</f>
        <v>LAC vs PHX - Q4 11:45.00</v>
      </c>
      <c r="L2843">
        <v>11.22</v>
      </c>
      <c r="M2843">
        <v>16.11</v>
      </c>
      <c r="N2843">
        <v>39.46</v>
      </c>
      <c r="O2843">
        <v>16</v>
      </c>
      <c r="P2843">
        <v>39</v>
      </c>
    </row>
    <row r="2844" spans="1:16" x14ac:dyDescent="0.25">
      <c r="A2844">
        <v>42000222</v>
      </c>
      <c r="B2844" t="s">
        <v>85</v>
      </c>
      <c r="C2844" t="s">
        <v>32</v>
      </c>
      <c r="D2844" t="s">
        <v>19</v>
      </c>
      <c r="E2844">
        <v>39</v>
      </c>
      <c r="F2844">
        <v>35</v>
      </c>
      <c r="G2844">
        <v>2</v>
      </c>
      <c r="H2844" s="1">
        <v>5.6481481481481478E-3</v>
      </c>
      <c r="I2844" t="s">
        <v>23</v>
      </c>
      <c r="J2844" s="2" t="str">
        <f>HYPERLINK("https://www.nba.com/stats/events?CFID=&amp;CFPARAMS=&amp;GameEventID=200&amp;GameID=0042000222&amp;Season=2020-21&amp;flag=1&amp;title=Leonard%2010'%20fadeaway%20Jump%20Shot%20(7%20PTS)", "10' fadeaway Jump Shot (7 PTS)")</f>
        <v>10' fadeaway Jump Shot (7 PTS)</v>
      </c>
      <c r="K2844" s="2" t="str">
        <f>HYPERLINK("https://www.nba.com/game/...-vs-...-0042000222/play-by-play?watchFullGame=true", "LAC vs UTA - Q2 08:08.00")</f>
        <v>LAC vs UTA - Q2 08:08.00</v>
      </c>
      <c r="L2844">
        <v>10.15</v>
      </c>
      <c r="M2844">
        <v>16.38</v>
      </c>
      <c r="N2844">
        <v>49.33</v>
      </c>
      <c r="O2844">
        <v>16</v>
      </c>
      <c r="P2844">
        <v>49</v>
      </c>
    </row>
    <row r="2845" spans="1:16" x14ac:dyDescent="0.25">
      <c r="A2845">
        <v>42200171</v>
      </c>
      <c r="B2845" t="s">
        <v>86</v>
      </c>
      <c r="C2845" t="s">
        <v>32</v>
      </c>
      <c r="D2845" t="s">
        <v>19</v>
      </c>
      <c r="E2845">
        <v>58</v>
      </c>
      <c r="F2845">
        <v>63</v>
      </c>
      <c r="G2845">
        <v>3</v>
      </c>
      <c r="H2845" s="1">
        <v>7.4884259259259262E-3</v>
      </c>
      <c r="I2845" t="s">
        <v>23</v>
      </c>
      <c r="J2845" s="2" t="str">
        <f>HYPERLINK("https://www.nba.com/stats/events?CFID=&amp;CFPARAMS=&amp;GameEventID=346&amp;GameID=0042200171&amp;Season=2022-23&amp;flag=1&amp;title=Leonard%2010'%20driving%20floating%20bank%20Jump%20Shot%20(17%20PTS)", "10' driving floating bank Jump Shot (17 PTS)")</f>
        <v>10' driving floating bank Jump Shot (17 PTS)</v>
      </c>
      <c r="K2845" s="2" t="str">
        <f>HYPERLINK("https://www.nba.com/game/...-vs-...-0042200171/play-by-play?watchFullGame=true", "LAC vs PHX - Q3 10:47.00")</f>
        <v>LAC vs PHX - Q3 10:47.00</v>
      </c>
      <c r="L2845">
        <v>10.4</v>
      </c>
      <c r="M2845">
        <v>16.64</v>
      </c>
      <c r="N2845">
        <v>50.74</v>
      </c>
      <c r="O2845">
        <v>16</v>
      </c>
      <c r="P2845">
        <v>50</v>
      </c>
    </row>
    <row r="2846" spans="1:16" x14ac:dyDescent="0.25">
      <c r="A2846">
        <v>22300223</v>
      </c>
      <c r="B2846">
        <v>2023</v>
      </c>
      <c r="C2846" t="s">
        <v>32</v>
      </c>
      <c r="D2846" t="s">
        <v>47</v>
      </c>
      <c r="E2846">
        <v>66</v>
      </c>
      <c r="F2846">
        <v>84</v>
      </c>
      <c r="G2846">
        <v>3</v>
      </c>
      <c r="H2846" s="1">
        <v>3.425925925925926E-3</v>
      </c>
      <c r="I2846" t="s">
        <v>23</v>
      </c>
      <c r="J2846" s="2" t="str">
        <f>HYPERLINK("https://www.nba.com/stats/events?CFID=&amp;CFPARAMS=&amp;GameEventID=396&amp;GameID=0022300223&amp;Season=2023-24&amp;flag=1&amp;title=Leonard%20driving%20Layup%20(21%20PTS)", "Driving Layup (21 PTS)")</f>
        <v>Driving Layup (21 PTS)</v>
      </c>
      <c r="K2846" s="2" t="str">
        <f>HYPERLINK("https://www.nba.com/game/...-vs-...-0022300223/play-by-play?watchFullGame=true", "LAC vs SAS - Q3 04:56.00")</f>
        <v>LAC vs SAS - Q3 04:56.00</v>
      </c>
      <c r="L2846">
        <v>5.44</v>
      </c>
      <c r="M2846">
        <v>11.12</v>
      </c>
      <c r="N2846">
        <v>46.81</v>
      </c>
      <c r="O2846">
        <v>16</v>
      </c>
      <c r="P2846">
        <v>52</v>
      </c>
    </row>
    <row r="2847" spans="1:16" x14ac:dyDescent="0.25">
      <c r="A2847">
        <v>21900406</v>
      </c>
      <c r="B2847">
        <v>2019</v>
      </c>
      <c r="C2847" t="s">
        <v>32</v>
      </c>
      <c r="D2847" t="s">
        <v>22</v>
      </c>
      <c r="E2847">
        <v>73</v>
      </c>
      <c r="F2847">
        <v>60</v>
      </c>
      <c r="G2847">
        <v>3</v>
      </c>
      <c r="H2847" s="1">
        <v>3.3333333333333335E-3</v>
      </c>
      <c r="I2847" t="s">
        <v>23</v>
      </c>
      <c r="J2847" s="2" t="str">
        <f>HYPERLINK("https://www.nba.com/stats/events?CFID=&amp;CFPARAMS=&amp;GameEventID=448&amp;GameID=0021900406&amp;Season=2019-20&amp;flag=1&amp;title=Leonard%206'%20jumpshot%20(14%20PTS)", "6' jumpshot (14 PTS)")</f>
        <v>6' jumpshot (14 PTS)</v>
      </c>
      <c r="K2847" s="2" t="str">
        <f>HYPERLINK("https://www.nba.com/game/...-vs-...-0021900406/play-by-play?watchFullGame=true", "LAC vs PHX - Q3 04:48.00")</f>
        <v>LAC vs PHX - Q3 04:48.00</v>
      </c>
      <c r="L2847">
        <v>5.96</v>
      </c>
      <c r="M2847">
        <v>88.88</v>
      </c>
      <c r="N2847">
        <v>53.12</v>
      </c>
      <c r="O2847">
        <v>16</v>
      </c>
      <c r="P2847">
        <v>52</v>
      </c>
    </row>
    <row r="2848" spans="1:16" x14ac:dyDescent="0.25">
      <c r="A2848">
        <v>21900377</v>
      </c>
      <c r="B2848">
        <v>2019</v>
      </c>
      <c r="C2848" t="s">
        <v>32</v>
      </c>
      <c r="D2848" t="s">
        <v>50</v>
      </c>
      <c r="E2848">
        <v>51</v>
      </c>
      <c r="F2848">
        <v>56</v>
      </c>
      <c r="G2848">
        <v>2</v>
      </c>
      <c r="H2848" s="1">
        <v>1.9097222222222222E-3</v>
      </c>
      <c r="I2848" t="s">
        <v>23</v>
      </c>
      <c r="J2848" s="2" t="str">
        <f>HYPERLINK("https://www.nba.com/stats/events?CFID=&amp;CFPARAMS=&amp;GameEventID=297&amp;GameID=0021900377&amp;Season=2019-20&amp;flag=1&amp;title=Leonard%206'%20layup%20(24%20PTS)", "6' layup (24 PTS)")</f>
        <v>6' layup (24 PTS)</v>
      </c>
      <c r="K2848" s="2" t="str">
        <f>HYPERLINK("https://www.nba.com/game/...-vs-...-0021900377/play-by-play?watchFullGame=true", "LAC vs MIN - Q2 02:45.00")</f>
        <v>LAC vs MIN - Q2 02:45.00</v>
      </c>
      <c r="L2848">
        <v>6.43</v>
      </c>
      <c r="M2848">
        <v>88.39</v>
      </c>
      <c r="N2848">
        <v>53.26</v>
      </c>
      <c r="O2848">
        <v>16</v>
      </c>
      <c r="P2848">
        <v>57</v>
      </c>
    </row>
    <row r="2849" spans="1:16" x14ac:dyDescent="0.25">
      <c r="A2849">
        <v>42200171</v>
      </c>
      <c r="B2849" t="s">
        <v>86</v>
      </c>
      <c r="C2849" t="s">
        <v>32</v>
      </c>
      <c r="D2849" t="s">
        <v>19</v>
      </c>
      <c r="E2849">
        <v>96</v>
      </c>
      <c r="F2849">
        <v>97</v>
      </c>
      <c r="G2849">
        <v>4</v>
      </c>
      <c r="H2849" s="1">
        <v>4.4560185185185189E-3</v>
      </c>
      <c r="I2849" t="s">
        <v>23</v>
      </c>
      <c r="J2849" s="2" t="str">
        <f>HYPERLINK("https://www.nba.com/stats/events?CFID=&amp;CFPARAMS=&amp;GameEventID=578&amp;GameID=0042200171&amp;Season=2022-23&amp;flag=1&amp;title=Leonard%2011'%20floating%20Jump%20Shot%20(32%20PTS)", "11' floating Jump Shot (32 PTS)")</f>
        <v>11' floating Jump Shot (32 PTS)</v>
      </c>
      <c r="K2849" s="2" t="str">
        <f>HYPERLINK("https://www.nba.com/game/...-vs-...-0042200171/play-by-play?watchFullGame=true", "LAC vs PHX - Q4 06:25.00")</f>
        <v>LAC vs PHX - Q4 06:25.00</v>
      </c>
      <c r="L2849">
        <v>11.38</v>
      </c>
      <c r="M2849">
        <v>16.899999999999999</v>
      </c>
      <c r="N2849">
        <v>58.09</v>
      </c>
      <c r="O2849">
        <v>16</v>
      </c>
      <c r="P2849">
        <v>58</v>
      </c>
    </row>
    <row r="2850" spans="1:16" x14ac:dyDescent="0.25">
      <c r="A2850">
        <v>42000223</v>
      </c>
      <c r="B2850" t="s">
        <v>85</v>
      </c>
      <c r="C2850" t="s">
        <v>32</v>
      </c>
      <c r="D2850" t="s">
        <v>19</v>
      </c>
      <c r="E2850">
        <v>25</v>
      </c>
      <c r="F2850">
        <v>21</v>
      </c>
      <c r="G2850">
        <v>1</v>
      </c>
      <c r="H2850" s="1">
        <v>8.7962962962962962E-4</v>
      </c>
      <c r="I2850" t="s">
        <v>23</v>
      </c>
      <c r="J2850" s="2" t="str">
        <f>HYPERLINK("https://www.nba.com/stats/events?CFID=&amp;CFPARAMS=&amp;GameEventID=120&amp;GameID=0042000223&amp;Season=2020-21&amp;flag=1&amp;title=Leonard%2015'%20step%20back%20Jump%20Shot%20(6%20PTS)", "15' step back Jump Shot (6 PTS)")</f>
        <v>15' step back Jump Shot (6 PTS)</v>
      </c>
      <c r="K2850" s="2" t="str">
        <f>HYPERLINK("https://www.nba.com/game/...-vs-...-0042000223/play-by-play?watchFullGame=true", "LAC vs UTA - Q1 01:16.00")</f>
        <v>LAC vs UTA - Q1 01:16.00</v>
      </c>
      <c r="L2850">
        <v>15.05</v>
      </c>
      <c r="M2850">
        <v>16.03</v>
      </c>
      <c r="N2850">
        <v>72.8</v>
      </c>
      <c r="O2850">
        <v>16</v>
      </c>
      <c r="P2850">
        <v>72</v>
      </c>
    </row>
    <row r="2851" spans="1:16" x14ac:dyDescent="0.25">
      <c r="A2851">
        <v>22300235</v>
      </c>
      <c r="B2851">
        <v>2023</v>
      </c>
      <c r="C2851" t="s">
        <v>32</v>
      </c>
      <c r="D2851" t="s">
        <v>19</v>
      </c>
      <c r="E2851">
        <v>55</v>
      </c>
      <c r="F2851">
        <v>61</v>
      </c>
      <c r="G2851">
        <v>3</v>
      </c>
      <c r="H2851" s="1">
        <v>6.6898148148148151E-3</v>
      </c>
      <c r="I2851" t="s">
        <v>23</v>
      </c>
      <c r="J2851" s="2" t="str">
        <f>HYPERLINK("https://www.nba.com/stats/events?CFID=&amp;CFPARAMS=&amp;GameEventID=377&amp;GameID=0022300235&amp;Season=2023-24&amp;flag=1&amp;title=Leonard%2010'%20floating%20Jump%20Shot%20(16%20PTS)", "10' floating Jump Shot (16 PTS)")</f>
        <v>10' floating Jump Shot (16 PTS)</v>
      </c>
      <c r="K2851" s="2" t="str">
        <f>HYPERLINK("https://www.nba.com/game/...-vs-...-0022300235/play-by-play?watchFullGame=true", "LAC vs SAS - Q3 09:38.00")</f>
        <v>LAC vs SAS - Q3 09:38.00</v>
      </c>
      <c r="L2851">
        <v>10.51</v>
      </c>
      <c r="M2851">
        <v>16.77</v>
      </c>
      <c r="N2851">
        <v>50</v>
      </c>
      <c r="O2851">
        <v>16</v>
      </c>
      <c r="P2851">
        <v>105</v>
      </c>
    </row>
    <row r="2852" spans="1:16" x14ac:dyDescent="0.25">
      <c r="A2852">
        <v>22201229</v>
      </c>
      <c r="B2852">
        <v>2022</v>
      </c>
      <c r="C2852" t="s">
        <v>32</v>
      </c>
      <c r="D2852" t="s">
        <v>19</v>
      </c>
      <c r="E2852">
        <v>109</v>
      </c>
      <c r="F2852">
        <v>115</v>
      </c>
      <c r="G2852">
        <v>4</v>
      </c>
      <c r="H2852" s="1">
        <v>2.1759259259259258E-3</v>
      </c>
      <c r="I2852" t="s">
        <v>23</v>
      </c>
      <c r="J2852" s="2" t="str">
        <f>HYPERLINK("https://www.nba.com/stats/events?CFID=&amp;CFPARAMS=&amp;GameEventID=622&amp;GameID=0022201229&amp;Season=2022-23&amp;flag=1&amp;title=Leonard%2010'%20floating%20Jump%20Shot%20(21%20PTS)%20(R.%20Westbrook%209%20AST)", "10' floating Jump Shot (21 PTS) (R. Westbrook 9 AST)")</f>
        <v>10' floating Jump Shot (21 PTS) (R. Westbrook 9 AST)</v>
      </c>
      <c r="K2852" s="2" t="str">
        <f>HYPERLINK("https://www.nba.com/game/...-vs-...-0022201229/play-by-play?watchFullGame=true", "LAC vs PHX - Q4 03:08.00")</f>
        <v>LAC vs PHX - Q4 03:08.00</v>
      </c>
      <c r="L2852">
        <v>10.88</v>
      </c>
      <c r="M2852">
        <v>17.03</v>
      </c>
      <c r="N2852">
        <v>46.81</v>
      </c>
      <c r="O2852">
        <v>16</v>
      </c>
      <c r="P2852">
        <v>108</v>
      </c>
    </row>
    <row r="2853" spans="1:16" x14ac:dyDescent="0.25">
      <c r="A2853">
        <v>21500928</v>
      </c>
      <c r="B2853">
        <v>2015</v>
      </c>
      <c r="C2853" t="s">
        <v>32</v>
      </c>
      <c r="D2853" t="s">
        <v>49</v>
      </c>
      <c r="E2853">
        <v>61</v>
      </c>
      <c r="F2853">
        <v>54</v>
      </c>
      <c r="G2853">
        <v>3</v>
      </c>
      <c r="H2853" s="1">
        <v>7.0949074074074074E-3</v>
      </c>
      <c r="I2853" t="s">
        <v>18</v>
      </c>
      <c r="J2853" s="2" t="str">
        <f>HYPERLINK("https://www.nba.com/stats/events?CFID=&amp;CFPARAMS=&amp;GameEventID=290&amp;GameID=0021500928&amp;Season=2015-16&amp;flag=1&amp;title=Leonard%202'%20Driving%20Layup%20(14%20PTS)", "Leonard 2' Driving Layup (14 PTS)")</f>
        <v>Leonard 2' Driving Layup (14 PTS)</v>
      </c>
      <c r="K2853" s="2" t="str">
        <f>HYPERLINK("https://www.nba.com/game/...-vs-...-0021500928/play-by-play?watchFullGame=true", "SAS vs SAC - Q3 10:13.00")</f>
        <v>SAS vs SAC - Q3 10:13.00</v>
      </c>
      <c r="L2853">
        <v>2</v>
      </c>
      <c r="M2853">
        <v>17</v>
      </c>
      <c r="N2853">
        <v>-6</v>
      </c>
      <c r="O2853">
        <v>17</v>
      </c>
      <c r="P2853">
        <v>-6</v>
      </c>
    </row>
    <row r="2854" spans="1:16" x14ac:dyDescent="0.25">
      <c r="A2854">
        <v>21300013</v>
      </c>
      <c r="B2854">
        <v>2013</v>
      </c>
      <c r="C2854" t="s">
        <v>32</v>
      </c>
      <c r="D2854" t="s">
        <v>62</v>
      </c>
      <c r="E2854">
        <v>48</v>
      </c>
      <c r="F2854">
        <v>27</v>
      </c>
      <c r="G2854">
        <v>2</v>
      </c>
      <c r="H2854" s="1">
        <v>8.7962962962962962E-4</v>
      </c>
      <c r="I2854" t="s">
        <v>18</v>
      </c>
      <c r="J2854" s="2" t="str">
        <f>HYPERLINK("https://www.nba.com/stats/events?CFID=&amp;CFPARAMS=&amp;GameEventID=219&amp;GameID=0021300013&amp;Season=2013-14&amp;flag=1&amp;title=Leonard%202'%20Dunk%20(7%20PTS)%20(Ginobili%203%20AST)", "Leonard 2' Dunk (7 PTS) (Ginobili 3 AST)")</f>
        <v>Leonard 2' Dunk (7 PTS) (Ginobili 3 AST)</v>
      </c>
      <c r="K2854" s="2" t="str">
        <f>HYPERLINK("https://www.nba.com/game/...-vs-...-0021300013/play-by-play?watchFullGame=true", "SAS vs MEM - Q2 01:16.00")</f>
        <v>SAS vs MEM - Q2 01:16.00</v>
      </c>
      <c r="L2854">
        <v>2</v>
      </c>
      <c r="M2854">
        <v>17</v>
      </c>
      <c r="N2854">
        <v>-5</v>
      </c>
      <c r="O2854">
        <v>17</v>
      </c>
      <c r="P2854">
        <v>-5</v>
      </c>
    </row>
    <row r="2855" spans="1:16" x14ac:dyDescent="0.25">
      <c r="A2855">
        <v>21301068</v>
      </c>
      <c r="B2855">
        <v>2013</v>
      </c>
      <c r="C2855" t="s">
        <v>32</v>
      </c>
      <c r="D2855" t="s">
        <v>57</v>
      </c>
      <c r="E2855">
        <v>69</v>
      </c>
      <c r="F2855">
        <v>48</v>
      </c>
      <c r="G2855">
        <v>3</v>
      </c>
      <c r="H2855" s="1">
        <v>6.2962962962962964E-3</v>
      </c>
      <c r="I2855" t="s">
        <v>18</v>
      </c>
      <c r="J2855" s="2" t="str">
        <f>HYPERLINK("https://www.nba.com/stats/events?CFID=&amp;CFPARAMS=&amp;GameEventID=269&amp;GameID=0021301068&amp;Season=2013-14&amp;flag=1&amp;title=Leonard%202'%20Layup%20(7%20PTS)", "Leonard 2' Layup (7 PTS)")</f>
        <v>Leonard 2' Layup (7 PTS)</v>
      </c>
      <c r="K2855" s="2" t="str">
        <f>HYPERLINK("https://www.nba.com/game/...-vs-...-0021301068/play-by-play?watchFullGame=true", "SAS vs DEN - Q3 09:04.00")</f>
        <v>SAS vs DEN - Q3 09:04.00</v>
      </c>
      <c r="L2855">
        <v>2</v>
      </c>
      <c r="M2855">
        <v>17</v>
      </c>
      <c r="N2855">
        <v>-5</v>
      </c>
      <c r="O2855">
        <v>17</v>
      </c>
      <c r="P2855">
        <v>-5</v>
      </c>
    </row>
    <row r="2856" spans="1:16" x14ac:dyDescent="0.25">
      <c r="A2856">
        <v>21500013</v>
      </c>
      <c r="B2856">
        <v>2015</v>
      </c>
      <c r="C2856" t="s">
        <v>32</v>
      </c>
      <c r="D2856" t="s">
        <v>52</v>
      </c>
      <c r="E2856">
        <v>90</v>
      </c>
      <c r="F2856">
        <v>95</v>
      </c>
      <c r="G2856">
        <v>4</v>
      </c>
      <c r="H2856" s="1">
        <v>4.9652777777777777E-3</v>
      </c>
      <c r="I2856" t="s">
        <v>18</v>
      </c>
      <c r="J2856" s="2" t="str">
        <f>HYPERLINK("https://www.nba.com/stats/events?CFID=&amp;CFPARAMS=&amp;GameEventID=456&amp;GameID=0021500013&amp;Season=2015-16&amp;flag=1&amp;title=Leonard%202'%20Alley%20Oop%20Layup%20(25%20PTS)%20(West%201%20AST)", "Leonard 2' Alley Oop Layup (25 PTS) (West 1 AST)")</f>
        <v>Leonard 2' Alley Oop Layup (25 PTS) (West 1 AST)</v>
      </c>
      <c r="K2856" s="2" t="str">
        <f>HYPERLINK("https://www.nba.com/game/...-vs-...-0021500013/play-by-play?watchFullGame=true", "SAS vs OKC - Q4 07:09.00")</f>
        <v>SAS vs OKC - Q4 07:09.00</v>
      </c>
      <c r="L2856">
        <v>2</v>
      </c>
      <c r="M2856">
        <v>17</v>
      </c>
      <c r="N2856">
        <v>-5</v>
      </c>
      <c r="O2856">
        <v>17</v>
      </c>
      <c r="P2856">
        <v>-5</v>
      </c>
    </row>
    <row r="2857" spans="1:16" x14ac:dyDescent="0.25">
      <c r="A2857">
        <v>21300170</v>
      </c>
      <c r="B2857">
        <v>2013</v>
      </c>
      <c r="C2857" t="s">
        <v>32</v>
      </c>
      <c r="D2857" t="s">
        <v>57</v>
      </c>
      <c r="E2857">
        <v>6</v>
      </c>
      <c r="F2857">
        <v>2</v>
      </c>
      <c r="G2857">
        <v>1</v>
      </c>
      <c r="H2857" s="1">
        <v>6.7013888888888887E-3</v>
      </c>
      <c r="I2857" t="s">
        <v>18</v>
      </c>
      <c r="J2857" s="2" t="str">
        <f>HYPERLINK("https://www.nba.com/stats/events?CFID=&amp;CFPARAMS=&amp;GameEventID=19&amp;GameID=0021300170&amp;Season=2013-14&amp;flag=1&amp;title=Leonard%202'%20Layup%20(2%20PTS)%20(Parker%201%20AST)", "Leonard 2' Layup (2 PTS) (Parker 1 AST)")</f>
        <v>Leonard 2' Layup (2 PTS) (Parker 1 AST)</v>
      </c>
      <c r="K2857" s="2" t="str">
        <f>HYPERLINK("https://www.nba.com/game/...-vs-...-0021300170/play-by-play?watchFullGame=true", "SAS vs BOS - Q1 09:39.00")</f>
        <v>SAS vs BOS - Q1 09:39.00</v>
      </c>
      <c r="L2857">
        <v>2</v>
      </c>
      <c r="M2857">
        <v>17</v>
      </c>
      <c r="N2857">
        <v>-2</v>
      </c>
      <c r="O2857">
        <v>17</v>
      </c>
      <c r="P2857">
        <v>-2</v>
      </c>
    </row>
    <row r="2858" spans="1:16" x14ac:dyDescent="0.25">
      <c r="A2858">
        <v>21601193</v>
      </c>
      <c r="B2858">
        <v>2016</v>
      </c>
      <c r="C2858" t="s">
        <v>32</v>
      </c>
      <c r="D2858" t="s">
        <v>61</v>
      </c>
      <c r="E2858">
        <v>15</v>
      </c>
      <c r="F2858">
        <v>15</v>
      </c>
      <c r="G2858">
        <v>1</v>
      </c>
      <c r="H2858" s="1">
        <v>3.0555555555555557E-3</v>
      </c>
      <c r="I2858" t="s">
        <v>18</v>
      </c>
      <c r="J2858" s="2" t="str">
        <f>HYPERLINK("https://www.nba.com/stats/events?CFID=&amp;CFPARAMS=&amp;GameEventID=72&amp;GameID=0021601193&amp;Season=2016-17&amp;flag=1&amp;title=Leonard%202'%20Driving%20Finger%20Roll%20Layup%20(5%20PTS)", "Leonard 2' Driving Finger Roll Layup (5 PTS)")</f>
        <v>Leonard 2' Driving Finger Roll Layup (5 PTS)</v>
      </c>
      <c r="K2858" s="2" t="str">
        <f>HYPERLINK("https://www.nba.com/game/...-vs-...-0021601193/play-by-play?watchFullGame=true", "SAS vs LAC - Q1 04:24.00")</f>
        <v>SAS vs LAC - Q1 04:24.00</v>
      </c>
      <c r="L2858">
        <v>2</v>
      </c>
      <c r="M2858">
        <v>17</v>
      </c>
      <c r="N2858">
        <v>-1</v>
      </c>
      <c r="O2858">
        <v>17</v>
      </c>
      <c r="P2858">
        <v>-1</v>
      </c>
    </row>
    <row r="2859" spans="1:16" x14ac:dyDescent="0.25">
      <c r="A2859">
        <v>21500013</v>
      </c>
      <c r="B2859">
        <v>2015</v>
      </c>
      <c r="C2859" t="s">
        <v>32</v>
      </c>
      <c r="D2859" t="s">
        <v>49</v>
      </c>
      <c r="E2859">
        <v>22</v>
      </c>
      <c r="F2859">
        <v>25</v>
      </c>
      <c r="G2859">
        <v>1</v>
      </c>
      <c r="H2859" s="1">
        <v>1.7013888888888888E-3</v>
      </c>
      <c r="I2859" t="s">
        <v>18</v>
      </c>
      <c r="J2859" s="2" t="str">
        <f>HYPERLINK("https://www.nba.com/stats/events?CFID=&amp;CFPARAMS=&amp;GameEventID=100&amp;GameID=0021500013&amp;Season=2015-16&amp;flag=1&amp;title=Leonard%202'%20Driving%20Layup%20(8%20PTS)%20(Ginobili%202%20AST)", "Leonard 2' Driving Layup (8 PTS) (Ginobili 2 AST)")</f>
        <v>Leonard 2' Driving Layup (8 PTS) (Ginobili 2 AST)</v>
      </c>
      <c r="K2859" s="2" t="str">
        <f>HYPERLINK("https://www.nba.com/game/...-vs-...-0021500013/play-by-play?watchFullGame=true", "SAS vs OKC - Q1 02:27.00")</f>
        <v>SAS vs OKC - Q1 02:27.00</v>
      </c>
      <c r="L2859">
        <v>2</v>
      </c>
      <c r="M2859">
        <v>17</v>
      </c>
      <c r="N2859">
        <v>0</v>
      </c>
      <c r="O2859">
        <v>17</v>
      </c>
      <c r="P2859">
        <v>0</v>
      </c>
    </row>
    <row r="2860" spans="1:16" x14ac:dyDescent="0.25">
      <c r="A2860">
        <v>41200152</v>
      </c>
      <c r="B2860" t="s">
        <v>27</v>
      </c>
      <c r="C2860" t="s">
        <v>32</v>
      </c>
      <c r="D2860" t="s">
        <v>77</v>
      </c>
      <c r="E2860">
        <v>14</v>
      </c>
      <c r="F2860">
        <v>10</v>
      </c>
      <c r="G2860">
        <v>1</v>
      </c>
      <c r="H2860" s="1">
        <v>4.1319444444444442E-3</v>
      </c>
      <c r="I2860" t="s">
        <v>18</v>
      </c>
      <c r="J2860" s="2" t="str">
        <f>HYPERLINK("https://www.nba.com/stats/events?CFID=&amp;CFPARAMS=&amp;GameEventID=50&amp;GameID=0041200152&amp;Season=2012-13&amp;flag=1&amp;title=Leonard%202'%20Finger%20Roll%20Layup%20(4%20PTS)", "Leonard 2' Finger Roll Layup (4 PTS)")</f>
        <v>Leonard 2' Finger Roll Layup (4 PTS)</v>
      </c>
      <c r="K2860" s="2" t="str">
        <f>HYPERLINK("https://www.nba.com/game/...-vs-...-0041200152/play-by-play?watchFullGame=true", "SAS vs LAL - Q1 05:57.00")</f>
        <v>SAS vs LAL - Q1 05:57.00</v>
      </c>
      <c r="L2860">
        <v>2</v>
      </c>
      <c r="M2860">
        <v>17</v>
      </c>
      <c r="N2860">
        <v>0</v>
      </c>
      <c r="O2860">
        <v>17</v>
      </c>
      <c r="P2860">
        <v>0</v>
      </c>
    </row>
    <row r="2861" spans="1:16" x14ac:dyDescent="0.25">
      <c r="A2861">
        <v>21300871</v>
      </c>
      <c r="B2861">
        <v>2013</v>
      </c>
      <c r="C2861" t="s">
        <v>32</v>
      </c>
      <c r="D2861" t="s">
        <v>62</v>
      </c>
      <c r="E2861">
        <v>6</v>
      </c>
      <c r="F2861">
        <v>6</v>
      </c>
      <c r="G2861">
        <v>1</v>
      </c>
      <c r="H2861" s="1">
        <v>5.162037037037037E-3</v>
      </c>
      <c r="I2861" t="s">
        <v>18</v>
      </c>
      <c r="J2861" s="2" t="str">
        <f>HYPERLINK("https://www.nba.com/stats/events?CFID=&amp;CFPARAMS=&amp;GameEventID=43&amp;GameID=0021300871&amp;Season=2013-14&amp;flag=1&amp;title=Leonard%202'%20Dunk%20(2%20PTS)", "Leonard 2' Dunk (2 PTS)")</f>
        <v>Leonard 2' Dunk (2 PTS)</v>
      </c>
      <c r="K2861" s="2" t="str">
        <f>HYPERLINK("https://www.nba.com/game/...-vs-...-0021300871/play-by-play?watchFullGame=true", "SAS vs CHA - Q1 07:26.00")</f>
        <v>SAS vs CHA - Q1 07:26.00</v>
      </c>
      <c r="L2861">
        <v>2</v>
      </c>
      <c r="M2861">
        <v>17</v>
      </c>
      <c r="N2861">
        <v>0</v>
      </c>
      <c r="O2861">
        <v>17</v>
      </c>
      <c r="P2861">
        <v>0</v>
      </c>
    </row>
    <row r="2862" spans="1:16" x14ac:dyDescent="0.25">
      <c r="A2862">
        <v>21400595</v>
      </c>
      <c r="B2862">
        <v>2014</v>
      </c>
      <c r="C2862" t="s">
        <v>32</v>
      </c>
      <c r="D2862" t="s">
        <v>49</v>
      </c>
      <c r="E2862">
        <v>108</v>
      </c>
      <c r="F2862">
        <v>85</v>
      </c>
      <c r="G2862">
        <v>4</v>
      </c>
      <c r="H2862" s="1">
        <v>4.3518518518518515E-3</v>
      </c>
      <c r="I2862" t="s">
        <v>18</v>
      </c>
      <c r="J2862" s="2" t="str">
        <f>HYPERLINK("https://www.nba.com/stats/events?CFID=&amp;CFPARAMS=&amp;GameEventID=436&amp;GameID=0021400595&amp;Season=2014-15&amp;flag=1&amp;title=Leonard%202'%20Driving%20Layup%20(18%20PTS)%20(Parker%207%20AST)", "Leonard 2' Driving Layup (18 PTS) (Parker 7 AST)")</f>
        <v>Leonard 2' Driving Layup (18 PTS) (Parker 7 AST)</v>
      </c>
      <c r="K2862" s="2" t="str">
        <f>HYPERLINK("https://www.nba.com/game/...-vs-...-0021400595/play-by-play?watchFullGame=true", "SAS vs POR - Q4 06:16.00")</f>
        <v>SAS vs POR - Q4 06:16.00</v>
      </c>
      <c r="L2862">
        <v>2</v>
      </c>
      <c r="M2862">
        <v>17</v>
      </c>
      <c r="N2862">
        <v>1</v>
      </c>
      <c r="O2862">
        <v>17</v>
      </c>
      <c r="P2862">
        <v>1</v>
      </c>
    </row>
    <row r="2863" spans="1:16" x14ac:dyDescent="0.25">
      <c r="A2863">
        <v>41300223</v>
      </c>
      <c r="B2863" t="s">
        <v>26</v>
      </c>
      <c r="C2863" t="s">
        <v>32</v>
      </c>
      <c r="D2863" t="s">
        <v>49</v>
      </c>
      <c r="E2863">
        <v>81</v>
      </c>
      <c r="F2863">
        <v>102</v>
      </c>
      <c r="G2863">
        <v>4</v>
      </c>
      <c r="H2863" s="1">
        <v>5.3587962962962964E-3</v>
      </c>
      <c r="I2863" t="s">
        <v>18</v>
      </c>
      <c r="J2863" s="2" t="str">
        <f>HYPERLINK("https://www.nba.com/stats/events?CFID=&amp;CFPARAMS=&amp;GameEventID=446&amp;GameID=0041300223&amp;Season=2013-14&amp;flag=1&amp;title=Leonard%202'%20Driving%20Layup%20(10%20PTS)%20(Duncan%204%20AST)", "Leonard 2' Driving Layup (10 PTS) (Duncan 4 AST)")</f>
        <v>Leonard 2' Driving Layup (10 PTS) (Duncan 4 AST)</v>
      </c>
      <c r="K2863" s="2" t="str">
        <f>HYPERLINK("https://www.nba.com/game/...-vs-...-0041300223/play-by-play?watchFullGame=true", "SAS vs POR - Q4 07:43.00")</f>
        <v>SAS vs POR - Q4 07:43.00</v>
      </c>
      <c r="L2863">
        <v>2</v>
      </c>
      <c r="M2863">
        <v>17</v>
      </c>
      <c r="N2863">
        <v>1</v>
      </c>
      <c r="O2863">
        <v>17</v>
      </c>
      <c r="P2863">
        <v>1</v>
      </c>
    </row>
    <row r="2864" spans="1:16" x14ac:dyDescent="0.25">
      <c r="A2864">
        <v>21401150</v>
      </c>
      <c r="B2864">
        <v>2014</v>
      </c>
      <c r="C2864" t="s">
        <v>32</v>
      </c>
      <c r="D2864" t="s">
        <v>49</v>
      </c>
      <c r="E2864">
        <v>2</v>
      </c>
      <c r="F2864">
        <v>0</v>
      </c>
      <c r="G2864">
        <v>1</v>
      </c>
      <c r="H2864" s="1">
        <v>7.858796296296296E-3</v>
      </c>
      <c r="I2864" t="s">
        <v>18</v>
      </c>
      <c r="J2864" s="2" t="str">
        <f>HYPERLINK("https://www.nba.com/stats/events?CFID=&amp;CFPARAMS=&amp;GameEventID=4&amp;GameID=0021401150&amp;Season=2014-15&amp;flag=1&amp;title=Leonard%202'%20Driving%20Layup%20(2%20PTS)%20(Duncan%201%20AST)", "Leonard 2' Driving Layup (2 PTS) (Duncan 1 AST)")</f>
        <v>Leonard 2' Driving Layup (2 PTS) (Duncan 1 AST)</v>
      </c>
      <c r="K2864" s="2" t="str">
        <f>HYPERLINK("https://www.nba.com/game/...-vs-...-0021401150/play-by-play?watchFullGame=true", "SAS vs GSW - Q1 11:19.00")</f>
        <v>SAS vs GSW - Q1 11:19.00</v>
      </c>
      <c r="L2864">
        <v>2</v>
      </c>
      <c r="M2864">
        <v>17</v>
      </c>
      <c r="N2864">
        <v>3</v>
      </c>
      <c r="O2864">
        <v>17</v>
      </c>
      <c r="P2864">
        <v>3</v>
      </c>
    </row>
    <row r="2865" spans="1:16" x14ac:dyDescent="0.25">
      <c r="A2865">
        <v>21300382</v>
      </c>
      <c r="B2865">
        <v>2013</v>
      </c>
      <c r="C2865" t="s">
        <v>32</v>
      </c>
      <c r="D2865" t="s">
        <v>73</v>
      </c>
      <c r="E2865">
        <v>57</v>
      </c>
      <c r="F2865">
        <v>60</v>
      </c>
      <c r="G2865">
        <v>3</v>
      </c>
      <c r="H2865" s="1">
        <v>6.053240740740741E-3</v>
      </c>
      <c r="I2865" t="s">
        <v>18</v>
      </c>
      <c r="J2865" s="2" t="str">
        <f>HYPERLINK("https://www.nba.com/stats/events?CFID=&amp;CFPARAMS=&amp;GameEventID=280&amp;GameID=0021300382&amp;Season=2013-14&amp;flag=1&amp;title=Leonard%202'%20Running%20Finger%20Roll%20Layup%20(19%20PTS)", "Leonard 2' Running Finger Roll Layup (19 PTS)")</f>
        <v>Leonard 2' Running Finger Roll Layup (19 PTS)</v>
      </c>
      <c r="K2865" s="2" t="str">
        <f>HYPERLINK("https://www.nba.com/game/...-vs-...-0021300382/play-by-play?watchFullGame=true", "SAS vs GSW - Q3 08:43.00")</f>
        <v>SAS vs GSW - Q3 08:43.00</v>
      </c>
      <c r="L2865">
        <v>2</v>
      </c>
      <c r="M2865">
        <v>17</v>
      </c>
      <c r="N2865">
        <v>4</v>
      </c>
      <c r="O2865">
        <v>17</v>
      </c>
      <c r="P2865">
        <v>4</v>
      </c>
    </row>
    <row r="2866" spans="1:16" x14ac:dyDescent="0.25">
      <c r="A2866">
        <v>21400314</v>
      </c>
      <c r="B2866">
        <v>2014</v>
      </c>
      <c r="C2866" t="s">
        <v>32</v>
      </c>
      <c r="D2866" t="s">
        <v>57</v>
      </c>
      <c r="E2866">
        <v>14</v>
      </c>
      <c r="F2866">
        <v>17</v>
      </c>
      <c r="G2866">
        <v>1</v>
      </c>
      <c r="H2866" s="1">
        <v>1.4236111111111112E-3</v>
      </c>
      <c r="I2866" t="s">
        <v>18</v>
      </c>
      <c r="J2866" s="2" t="str">
        <f>HYPERLINK("https://www.nba.com/stats/events?CFID=&amp;CFPARAMS=&amp;GameEventID=87&amp;GameID=0021400314&amp;Season=2014-15&amp;flag=1&amp;title=Leonard%202'%20Layup%20(2%20PTS)%20(Diaw%202%20AST)", "Leonard 2' Layup (2 PTS) (Diaw 2 AST)")</f>
        <v>Leonard 2' Layup (2 PTS) (Diaw 2 AST)</v>
      </c>
      <c r="K2866" s="2" t="str">
        <f>HYPERLINK("https://www.nba.com/game/...-vs-...-0021400314/play-by-play?watchFullGame=true", "SAS vs UTA - Q1 02:03.00")</f>
        <v>SAS vs UTA - Q1 02:03.00</v>
      </c>
      <c r="L2866">
        <v>2</v>
      </c>
      <c r="M2866">
        <v>17</v>
      </c>
      <c r="N2866">
        <v>6</v>
      </c>
      <c r="O2866">
        <v>17</v>
      </c>
      <c r="P2866">
        <v>6</v>
      </c>
    </row>
    <row r="2867" spans="1:16" x14ac:dyDescent="0.25">
      <c r="A2867">
        <v>21500566</v>
      </c>
      <c r="B2867">
        <v>2015</v>
      </c>
      <c r="C2867" t="s">
        <v>32</v>
      </c>
      <c r="D2867" t="s">
        <v>55</v>
      </c>
      <c r="E2867">
        <v>18</v>
      </c>
      <c r="F2867">
        <v>22</v>
      </c>
      <c r="G2867">
        <v>1</v>
      </c>
      <c r="H2867" s="1">
        <v>3.9583333333333338E-4</v>
      </c>
      <c r="I2867" t="s">
        <v>18</v>
      </c>
      <c r="J2867" s="2" t="str">
        <f>HYPERLINK("https://www.nba.com/stats/events?CFID=&amp;CFPARAMS=&amp;GameEventID=80&amp;GameID=0021500566&amp;Season=2015-16&amp;flag=1&amp;title=Leonard%202'%20Driving%20Reverse%20Layup%20(2%20PTS)%20(Diaw%202%20AST)", "Leonard 2' Driving Reverse Layup (2 PTS) (Diaw 2 AST)")</f>
        <v>Leonard 2' Driving Reverse Layup (2 PTS) (Diaw 2 AST)</v>
      </c>
      <c r="K2867" s="2" t="str">
        <f>HYPERLINK("https://www.nba.com/game/...-vs-...-0021500566/play-by-play?watchFullGame=true", "SAS vs BKN - Q1 00:34.20")</f>
        <v>SAS vs BKN - Q1 00:34.20</v>
      </c>
      <c r="L2867">
        <v>2</v>
      </c>
      <c r="M2867">
        <v>17</v>
      </c>
      <c r="N2867">
        <v>7</v>
      </c>
      <c r="O2867">
        <v>17</v>
      </c>
      <c r="P2867">
        <v>7</v>
      </c>
    </row>
    <row r="2868" spans="1:16" x14ac:dyDescent="0.25">
      <c r="A2868">
        <v>22301225</v>
      </c>
      <c r="B2868">
        <v>2023</v>
      </c>
      <c r="C2868" t="s">
        <v>32</v>
      </c>
      <c r="D2868" t="s">
        <v>47</v>
      </c>
      <c r="E2868">
        <v>11</v>
      </c>
      <c r="F2868">
        <v>21</v>
      </c>
      <c r="G2868">
        <v>1</v>
      </c>
      <c r="H2868" s="1">
        <v>3.2407407407407406E-3</v>
      </c>
      <c r="I2868" t="s">
        <v>23</v>
      </c>
      <c r="J2868" s="2" t="str">
        <f>HYPERLINK("https://www.nba.com/stats/events?CFID=&amp;CFPARAMS=&amp;GameEventID=93&amp;GameID=0022301225&amp;Season=2023-24&amp;flag=1&amp;title=Leonard%20running%20reverse%20Layup%20(11%20PTS)%20(R.%20Westbrook%201%20AST)", "Running reverse Layup (11 PTS) (R. Westbrook 1 AST)")</f>
        <v>Running reverse Layup (11 PTS) (R. Westbrook 1 AST)</v>
      </c>
      <c r="K2868" s="2" t="str">
        <f>HYPERLINK("https://www.nba.com/game/...-vs-...-0022301225/play-by-play?watchFullGame=true", "LAC vs UTA - Q1 04:40.00")</f>
        <v>LAC vs UTA - Q1 04:40.00</v>
      </c>
      <c r="L2868">
        <v>1.87</v>
      </c>
      <c r="M2868">
        <v>93.64</v>
      </c>
      <c r="N2868">
        <v>53.43</v>
      </c>
      <c r="O2868">
        <v>17</v>
      </c>
      <c r="P2868">
        <v>7</v>
      </c>
    </row>
    <row r="2869" spans="1:16" x14ac:dyDescent="0.25">
      <c r="A2869">
        <v>21501001</v>
      </c>
      <c r="B2869">
        <v>2015</v>
      </c>
      <c r="C2869" t="s">
        <v>32</v>
      </c>
      <c r="D2869" t="s">
        <v>61</v>
      </c>
      <c r="E2869">
        <v>10</v>
      </c>
      <c r="F2869">
        <v>12</v>
      </c>
      <c r="G2869">
        <v>1</v>
      </c>
      <c r="H2869" s="1">
        <v>4.5254629629629629E-3</v>
      </c>
      <c r="I2869" t="s">
        <v>18</v>
      </c>
      <c r="J2869" s="2" t="str">
        <f>HYPERLINK("https://www.nba.com/stats/events?CFID=&amp;CFPARAMS=&amp;GameEventID=47&amp;GameID=0021501001&amp;Season=2015-16&amp;flag=1&amp;title=Leonard%202'%20Driving%20Finger%20Roll%20Layup%20(4%20PTS)", "Leonard 2' Driving Finger Roll Layup (4 PTS)")</f>
        <v>Leonard 2' Driving Finger Roll Layup (4 PTS)</v>
      </c>
      <c r="K2869" s="2" t="str">
        <f>HYPERLINK("https://www.nba.com/game/...-vs-...-0021501001/play-by-play?watchFullGame=true", "SAS vs LAC - Q1 06:31.00")</f>
        <v>SAS vs LAC - Q1 06:31.00</v>
      </c>
      <c r="L2869">
        <v>2</v>
      </c>
      <c r="M2869">
        <v>17</v>
      </c>
      <c r="N2869">
        <v>7</v>
      </c>
      <c r="O2869">
        <v>17</v>
      </c>
      <c r="P2869">
        <v>7</v>
      </c>
    </row>
    <row r="2870" spans="1:16" x14ac:dyDescent="0.25">
      <c r="A2870">
        <v>21500207</v>
      </c>
      <c r="B2870">
        <v>2015</v>
      </c>
      <c r="C2870" t="s">
        <v>32</v>
      </c>
      <c r="D2870" t="s">
        <v>57</v>
      </c>
      <c r="E2870">
        <v>53</v>
      </c>
      <c r="F2870">
        <v>41</v>
      </c>
      <c r="G2870">
        <v>3</v>
      </c>
      <c r="H2870" s="1">
        <v>5.0578703703703706E-3</v>
      </c>
      <c r="I2870" t="s">
        <v>18</v>
      </c>
      <c r="J2870" s="2" t="str">
        <f>HYPERLINK("https://www.nba.com/stats/events?CFID=&amp;CFPARAMS=&amp;GameEventID=283&amp;GameID=0021500207&amp;Season=2015-16&amp;flag=1&amp;title=Leonard%202'%20Layup%20(17%20PTS)%20(Green%204%20AST)", "Leonard 2' Layup (17 PTS) (Green 4 AST)")</f>
        <v>Leonard 2' Layup (17 PTS) (Green 4 AST)</v>
      </c>
      <c r="K2870" s="2" t="str">
        <f>HYPERLINK("https://www.nba.com/game/...-vs-...-0021500207/play-by-play?watchFullGame=true", "SAS vs PHX - Q3 07:17.00")</f>
        <v>SAS vs PHX - Q3 07:17.00</v>
      </c>
      <c r="L2870">
        <v>2</v>
      </c>
      <c r="M2870">
        <v>17</v>
      </c>
      <c r="N2870">
        <v>7</v>
      </c>
      <c r="O2870">
        <v>17</v>
      </c>
      <c r="P2870">
        <v>7</v>
      </c>
    </row>
    <row r="2871" spans="1:16" x14ac:dyDescent="0.25">
      <c r="A2871">
        <v>22200604</v>
      </c>
      <c r="B2871">
        <v>2022</v>
      </c>
      <c r="C2871" t="s">
        <v>32</v>
      </c>
      <c r="D2871" t="s">
        <v>47</v>
      </c>
      <c r="E2871">
        <v>108</v>
      </c>
      <c r="F2871">
        <v>108</v>
      </c>
      <c r="G2871">
        <v>4</v>
      </c>
      <c r="H2871" s="1">
        <v>5.0810185185185181E-4</v>
      </c>
      <c r="I2871" t="s">
        <v>23</v>
      </c>
      <c r="J2871" s="2" t="str">
        <f>HYPERLINK("https://www.nba.com/stats/events?CFID=&amp;CFPARAMS=&amp;GameEventID=651&amp;GameID=0022200604&amp;Season=2022-23&amp;flag=1&amp;title=Leonard%20driving%20Layup%20(29%20PTS)%20(M.%20Morris%20Sr.%202%20AST)", "Driving Layup (29 PTS) (M. Morris Sr. 2 AST)")</f>
        <v>Driving Layup (29 PTS) (M. Morris Sr. 2 AST)</v>
      </c>
      <c r="K2871" s="2" t="str">
        <f>HYPERLINK("https://www.nba.com/game/...-vs-...-0022200604/play-by-play?watchFullGame=true", "LAC vs ATL - Q4 00:43.90")</f>
        <v>LAC vs ATL - Q4 00:43.90</v>
      </c>
      <c r="L2871">
        <v>1.92</v>
      </c>
      <c r="M2871">
        <v>6.49</v>
      </c>
      <c r="N2871">
        <v>46.57</v>
      </c>
      <c r="O2871">
        <v>17</v>
      </c>
      <c r="P2871">
        <v>8</v>
      </c>
    </row>
    <row r="2872" spans="1:16" x14ac:dyDescent="0.25">
      <c r="A2872">
        <v>22300676</v>
      </c>
      <c r="B2872">
        <v>2023</v>
      </c>
      <c r="C2872" t="s">
        <v>32</v>
      </c>
      <c r="D2872" t="s">
        <v>47</v>
      </c>
      <c r="E2872">
        <v>60</v>
      </c>
      <c r="F2872">
        <v>66</v>
      </c>
      <c r="G2872">
        <v>2</v>
      </c>
      <c r="H2872" s="1">
        <v>1.7361111111111111E-5</v>
      </c>
      <c r="I2872" t="s">
        <v>23</v>
      </c>
      <c r="J2872" s="2" t="str">
        <f>HYPERLINK("https://www.nba.com/stats/events?CFID=&amp;CFPARAMS=&amp;GameEventID=300&amp;GameID=0022300676&amp;Season=2023-24&amp;flag=1&amp;title=Leonard%20driving%20Layup%20(19%20PTS)", "Driving Layup (19 PTS)")</f>
        <v>Driving Layup (19 PTS)</v>
      </c>
      <c r="K2872" s="2" t="str">
        <f>HYPERLINK("https://www.nba.com/game/...-vs-...-0022300676/play-by-play?watchFullGame=true", "LAC vs WAS - Q2 00:01.50")</f>
        <v>LAC vs WAS - Q2 00:01.50</v>
      </c>
      <c r="L2872">
        <v>1.97</v>
      </c>
      <c r="M2872">
        <v>93.38</v>
      </c>
      <c r="N2872">
        <v>53.43</v>
      </c>
      <c r="O2872">
        <v>17</v>
      </c>
      <c r="P2872">
        <v>10</v>
      </c>
    </row>
    <row r="2873" spans="1:16" x14ac:dyDescent="0.25">
      <c r="A2873">
        <v>21600441</v>
      </c>
      <c r="B2873">
        <v>2016</v>
      </c>
      <c r="C2873" t="s">
        <v>32</v>
      </c>
      <c r="D2873" t="s">
        <v>57</v>
      </c>
      <c r="E2873">
        <v>100</v>
      </c>
      <c r="F2873">
        <v>89</v>
      </c>
      <c r="G2873">
        <v>4</v>
      </c>
      <c r="H2873" s="1">
        <v>1.5856481481481481E-3</v>
      </c>
      <c r="I2873" t="s">
        <v>18</v>
      </c>
      <c r="J2873" s="2" t="str">
        <f>HYPERLINK("https://www.nba.com/stats/events?CFID=&amp;CFPARAMS=&amp;GameEventID=523&amp;GameID=0021600441&amp;Season=2016-17&amp;flag=1&amp;title=Leonard%202'%20Layup%20(27%20PTS)", "Leonard 2' Layup (27 PTS)")</f>
        <v>Leonard 2' Layup (27 PTS)</v>
      </c>
      <c r="K2873" s="2" t="str">
        <f>HYPERLINK("https://www.nba.com/game/...-vs-...-0021600441/play-by-play?watchFullGame=true", "SAS vs LAC - Q4 02:17.00")</f>
        <v>SAS vs LAC - Q4 02:17.00</v>
      </c>
      <c r="L2873">
        <v>2</v>
      </c>
      <c r="M2873">
        <v>17</v>
      </c>
      <c r="N2873">
        <v>11</v>
      </c>
      <c r="O2873">
        <v>17</v>
      </c>
      <c r="P2873">
        <v>11</v>
      </c>
    </row>
    <row r="2874" spans="1:16" x14ac:dyDescent="0.25">
      <c r="A2874">
        <v>41200233</v>
      </c>
      <c r="B2874" t="s">
        <v>27</v>
      </c>
      <c r="C2874" t="s">
        <v>32</v>
      </c>
      <c r="D2874" t="s">
        <v>51</v>
      </c>
      <c r="E2874">
        <v>83</v>
      </c>
      <c r="F2874">
        <v>93</v>
      </c>
      <c r="G2874">
        <v>4</v>
      </c>
      <c r="H2874" s="1">
        <v>2.7893518518518519E-3</v>
      </c>
      <c r="I2874" t="s">
        <v>18</v>
      </c>
      <c r="J2874" s="2" t="str">
        <f>HYPERLINK("https://www.nba.com/stats/events?CFID=&amp;CFPARAMS=&amp;GameEventID=458&amp;GameID=0041200233&amp;Season=2012-13&amp;flag=1&amp;title=Leonard%202'%20Reverse%20Layup%20(14%20PTS)%20(Ginobili%204%20AST)", "Leonard 2' Reverse Layup (14 PTS) (Ginobili 4 AST)")</f>
        <v>Leonard 2' Reverse Layup (14 PTS) (Ginobili 4 AST)</v>
      </c>
      <c r="K2874" s="2" t="str">
        <f>HYPERLINK("https://www.nba.com/game/...-vs-...-0041200233/play-by-play?watchFullGame=true", "SAS vs GSW - Q4 04:01.00")</f>
        <v>SAS vs GSW - Q4 04:01.00</v>
      </c>
      <c r="L2874">
        <v>2</v>
      </c>
      <c r="M2874">
        <v>17</v>
      </c>
      <c r="N2874">
        <v>12</v>
      </c>
      <c r="O2874">
        <v>17</v>
      </c>
      <c r="P2874">
        <v>12</v>
      </c>
    </row>
    <row r="2875" spans="1:16" x14ac:dyDescent="0.25">
      <c r="A2875">
        <v>22200509</v>
      </c>
      <c r="B2875">
        <v>2022</v>
      </c>
      <c r="C2875" t="s">
        <v>32</v>
      </c>
      <c r="D2875" t="s">
        <v>47</v>
      </c>
      <c r="E2875">
        <v>71</v>
      </c>
      <c r="F2875">
        <v>85</v>
      </c>
      <c r="G2875">
        <v>3</v>
      </c>
      <c r="H2875" s="1">
        <v>2.1180555555555558E-3</v>
      </c>
      <c r="I2875" t="s">
        <v>23</v>
      </c>
      <c r="J2875" s="2" t="str">
        <f>HYPERLINK("https://www.nba.com/stats/events?CFID=&amp;CFPARAMS=&amp;GameEventID=430&amp;GameID=0022200509&amp;Season=2022-23&amp;flag=1&amp;title=Leonard%20running%20Layup%20(10%20PTS)", "Running Layup (10 PTS)")</f>
        <v>Running Layup (10 PTS)</v>
      </c>
      <c r="K2875" s="2" t="str">
        <f>HYPERLINK("https://www.nba.com/game/...-vs-...-0022200509/play-by-play?watchFullGame=true", "LAC vs TOR - Q3 03:03.00")</f>
        <v>LAC vs TOR - Q3 03:03.00</v>
      </c>
      <c r="L2875">
        <v>2.13</v>
      </c>
      <c r="M2875">
        <v>6.92</v>
      </c>
      <c r="N2875">
        <v>46.57</v>
      </c>
      <c r="O2875">
        <v>17</v>
      </c>
      <c r="P2875">
        <v>13</v>
      </c>
    </row>
    <row r="2876" spans="1:16" x14ac:dyDescent="0.25">
      <c r="A2876">
        <v>22200617</v>
      </c>
      <c r="B2876">
        <v>2022</v>
      </c>
      <c r="C2876" t="s">
        <v>32</v>
      </c>
      <c r="D2876" t="s">
        <v>47</v>
      </c>
      <c r="E2876">
        <v>79</v>
      </c>
      <c r="F2876">
        <v>57</v>
      </c>
      <c r="G2876">
        <v>3</v>
      </c>
      <c r="H2876" s="1">
        <v>4.9305555555555552E-3</v>
      </c>
      <c r="I2876" t="s">
        <v>23</v>
      </c>
      <c r="J2876" s="2" t="str">
        <f>HYPERLINK("https://www.nba.com/stats/events?CFID=&amp;CFPARAMS=&amp;GameEventID=396&amp;GameID=0022200617&amp;Season=2022-23&amp;flag=1&amp;title=Leonard%20driving%20Layup%20(24%20PTS)", "Driving Layup (24 PTS)")</f>
        <v>Driving Layup (24 PTS)</v>
      </c>
      <c r="K2876" s="2" t="str">
        <f>HYPERLINK("https://www.nba.com/game/...-vs-...-0022200617/play-by-play?watchFullGame=true", "LAC vs DAL - Q3 07:06.00")</f>
        <v>LAC vs DAL - Q3 07:06.00</v>
      </c>
      <c r="L2876">
        <v>2.2599999999999998</v>
      </c>
      <c r="M2876">
        <v>7.15</v>
      </c>
      <c r="N2876">
        <v>46.57</v>
      </c>
      <c r="O2876">
        <v>17</v>
      </c>
      <c r="P2876">
        <v>15</v>
      </c>
    </row>
    <row r="2877" spans="1:16" x14ac:dyDescent="0.25">
      <c r="A2877">
        <v>21400774</v>
      </c>
      <c r="B2877">
        <v>2014</v>
      </c>
      <c r="C2877" t="s">
        <v>32</v>
      </c>
      <c r="D2877" t="s">
        <v>57</v>
      </c>
      <c r="E2877">
        <v>2</v>
      </c>
      <c r="F2877">
        <v>4</v>
      </c>
      <c r="G2877">
        <v>1</v>
      </c>
      <c r="H2877" s="1">
        <v>7.8240740740740736E-3</v>
      </c>
      <c r="I2877" t="s">
        <v>18</v>
      </c>
      <c r="J2877" s="2" t="str">
        <f>HYPERLINK("https://www.nba.com/stats/events?CFID=&amp;CFPARAMS=&amp;GameEventID=8&amp;GameID=0021400774&amp;Season=2014-15&amp;flag=1&amp;title=Leonard%202'%20Layup%20(2%20PTS)", "Leonard 2' Layup (2 PTS)")</f>
        <v>Leonard 2' Layup (2 PTS)</v>
      </c>
      <c r="K2877" s="2" t="str">
        <f>HYPERLINK("https://www.nba.com/game/...-vs-...-0021400774/play-by-play?watchFullGame=true", "SAS vs IND - Q1 11:16.00")</f>
        <v>SAS vs IND - Q1 11:16.00</v>
      </c>
      <c r="L2877">
        <v>2</v>
      </c>
      <c r="M2877">
        <v>17</v>
      </c>
      <c r="N2877">
        <v>15</v>
      </c>
      <c r="O2877">
        <v>17</v>
      </c>
      <c r="P2877">
        <v>15</v>
      </c>
    </row>
    <row r="2878" spans="1:16" x14ac:dyDescent="0.25">
      <c r="A2878">
        <v>22400659</v>
      </c>
      <c r="B2878">
        <v>2024</v>
      </c>
      <c r="C2878" t="s">
        <v>32</v>
      </c>
      <c r="D2878" t="s">
        <v>48</v>
      </c>
      <c r="E2878">
        <v>36</v>
      </c>
      <c r="F2878">
        <v>32</v>
      </c>
      <c r="G2878">
        <v>2</v>
      </c>
      <c r="H2878" s="1">
        <v>6.8055555555555551E-3</v>
      </c>
      <c r="I2878" t="s">
        <v>23</v>
      </c>
      <c r="J2878" s="2" t="str">
        <f>HYPERLINK("https://www.nba.com/stats/events?CFID=&amp;CFPARAMS=&amp;GameEventID=163&amp;GameID=0022400659&amp;Season=2024-25&amp;flag=1&amp;title=Leonard%20running%20DUNK%20(2%20PTS)", "Running DUNK (2 PTS)")</f>
        <v>Running DUNK (2 PTS)</v>
      </c>
      <c r="K2878" s="2" t="str">
        <f>HYPERLINK("https://www.nba.com/game/...-vs-...-0022400659/play-by-play?watchFullGame=true", "LAC vs PHX - Q2 09:48.00")</f>
        <v>LAC vs PHX - Q2 09:48.00</v>
      </c>
      <c r="L2878">
        <v>2.2599999999999998</v>
      </c>
      <c r="M2878">
        <v>92.85</v>
      </c>
      <c r="N2878">
        <v>53.43</v>
      </c>
      <c r="O2878">
        <v>17</v>
      </c>
      <c r="P2878">
        <v>15</v>
      </c>
    </row>
    <row r="2879" spans="1:16" x14ac:dyDescent="0.25">
      <c r="A2879">
        <v>41800302</v>
      </c>
      <c r="B2879" t="s">
        <v>20</v>
      </c>
      <c r="C2879" t="s">
        <v>32</v>
      </c>
      <c r="D2879" t="s">
        <v>56</v>
      </c>
      <c r="E2879">
        <v>14</v>
      </c>
      <c r="F2879">
        <v>7</v>
      </c>
      <c r="G2879">
        <v>1</v>
      </c>
      <c r="H2879" s="1">
        <v>5.2430555555555555E-3</v>
      </c>
      <c r="I2879" t="s">
        <v>21</v>
      </c>
      <c r="J2879" s="2" t="str">
        <f>HYPERLINK("https://www.nba.com/stats/events?CFID=&amp;CFPARAMS=&amp;GameEventID=55&amp;GameID=0041800302&amp;Season=2018-19&amp;flag=1&amp;title=Leonard%202'%20Running%20Layup%20(2%20PTS)", "Leonard 2' Running Layup (2 PTS)")</f>
        <v>Leonard 2' Running Layup (2 PTS)</v>
      </c>
      <c r="K2879" s="2" t="str">
        <f>HYPERLINK("https://www.nba.com/game/...-vs-...-0041800302/play-by-play?watchFullGame=true", "TOR vs MIL - Q1 07:33.00")</f>
        <v>TOR vs MIL - Q1 07:33.00</v>
      </c>
      <c r="L2879">
        <v>2</v>
      </c>
      <c r="M2879">
        <v>17</v>
      </c>
      <c r="N2879">
        <v>17</v>
      </c>
      <c r="O2879">
        <v>17</v>
      </c>
      <c r="P2879">
        <v>17</v>
      </c>
    </row>
    <row r="2880" spans="1:16" x14ac:dyDescent="0.25">
      <c r="A2880">
        <v>42000176</v>
      </c>
      <c r="B2880" t="s">
        <v>83</v>
      </c>
      <c r="C2880" t="s">
        <v>32</v>
      </c>
      <c r="D2880" t="s">
        <v>19</v>
      </c>
      <c r="E2880">
        <v>85</v>
      </c>
      <c r="F2880">
        <v>88</v>
      </c>
      <c r="G2880">
        <v>4</v>
      </c>
      <c r="H2880" s="1">
        <v>3.9004629629629628E-3</v>
      </c>
      <c r="I2880" t="s">
        <v>23</v>
      </c>
      <c r="J2880" s="2" t="str">
        <f>HYPERLINK("https://www.nba.com/stats/events?CFID=&amp;CFPARAMS=&amp;GameEventID=551&amp;GameID=0042000176&amp;Season=2020-21&amp;flag=1&amp;title=Leonard%2017'%20step%20back%20Jump%20Shot%20(37%20PTS)", "17' step back Jump Shot (37 PTS)")</f>
        <v>17' step back Jump Shot (37 PTS)</v>
      </c>
      <c r="K2880" s="2" t="str">
        <f>HYPERLINK("https://www.nba.com/game/...-vs-...-0042000176/play-by-play?watchFullGame=true", "LAC vs DAL - Q4 05:37.00")</f>
        <v>LAC vs DAL - Q4 05:37.00</v>
      </c>
      <c r="L2880">
        <v>17.59</v>
      </c>
      <c r="M2880">
        <v>17.16</v>
      </c>
      <c r="N2880">
        <v>22.37</v>
      </c>
      <c r="O2880">
        <v>17</v>
      </c>
      <c r="P2880">
        <v>22</v>
      </c>
    </row>
    <row r="2881" spans="1:16" x14ac:dyDescent="0.25">
      <c r="A2881">
        <v>21300245</v>
      </c>
      <c r="B2881">
        <v>2013</v>
      </c>
      <c r="C2881" t="s">
        <v>32</v>
      </c>
      <c r="D2881" t="s">
        <v>42</v>
      </c>
      <c r="E2881">
        <v>28</v>
      </c>
      <c r="F2881">
        <v>41</v>
      </c>
      <c r="G2881">
        <v>2</v>
      </c>
      <c r="H2881" s="1">
        <v>5.7523148148148151E-3</v>
      </c>
      <c r="I2881" t="s">
        <v>18</v>
      </c>
      <c r="J2881" s="2" t="str">
        <f>HYPERLINK("https://www.nba.com/stats/events?CFID=&amp;CFPARAMS=&amp;GameEventID=156&amp;GameID=0021300245&amp;Season=2013-14&amp;flag=1&amp;title=Leonard%203'%20Driving%20Jump%20Shot%20(2%20PTS)", "Leonard 3' Driving Jump Shot (2 PTS)")</f>
        <v>Leonard 3' Driving Jump Shot (2 PTS)</v>
      </c>
      <c r="K2881" s="2" t="str">
        <f>HYPERLINK("https://www.nba.com/game/...-vs-...-0021300245/play-by-play?watchFullGame=true", "SAS vs HOU - Q2 08:17.00")</f>
        <v>SAS vs HOU - Q2 08:17.00</v>
      </c>
      <c r="L2881">
        <v>3</v>
      </c>
      <c r="M2881">
        <v>17</v>
      </c>
      <c r="N2881">
        <v>25</v>
      </c>
      <c r="O2881">
        <v>17</v>
      </c>
      <c r="P2881">
        <v>25</v>
      </c>
    </row>
    <row r="2882" spans="1:16" x14ac:dyDescent="0.25">
      <c r="A2882">
        <v>22300309</v>
      </c>
      <c r="B2882">
        <v>2023</v>
      </c>
      <c r="C2882" t="s">
        <v>32</v>
      </c>
      <c r="D2882" t="s">
        <v>44</v>
      </c>
      <c r="E2882">
        <v>81</v>
      </c>
      <c r="F2882">
        <v>54</v>
      </c>
      <c r="G2882">
        <v>3</v>
      </c>
      <c r="H2882" s="1">
        <v>4.1087962962962962E-3</v>
      </c>
      <c r="I2882" t="s">
        <v>23</v>
      </c>
      <c r="J2882" s="2" t="str">
        <f>HYPERLINK("https://www.nba.com/stats/events?CFID=&amp;CFPARAMS=&amp;GameEventID=409&amp;GameID=0022300309&amp;Season=2023-24&amp;flag=1&amp;title=Leonard%20turnaround%20Hook%20(24%20PTS)", "Turnaround Hook (24 PTS)")</f>
        <v>Turnaround Hook (24 PTS)</v>
      </c>
      <c r="K2882" s="2" t="str">
        <f>HYPERLINK("https://www.nba.com/game/...-vs-...-0022300309/play-by-play?watchFullGame=true", "LAC vs SAC - Q3 05:55.00")</f>
        <v>LAC vs SAC - Q3 05:55.00</v>
      </c>
      <c r="L2882">
        <v>2.99</v>
      </c>
      <c r="M2882">
        <v>8.1999999999999993</v>
      </c>
      <c r="N2882">
        <v>46.57</v>
      </c>
      <c r="O2882">
        <v>17</v>
      </c>
      <c r="P2882">
        <v>25</v>
      </c>
    </row>
    <row r="2883" spans="1:16" x14ac:dyDescent="0.25">
      <c r="A2883">
        <v>21300082</v>
      </c>
      <c r="B2883">
        <v>2013</v>
      </c>
      <c r="C2883" t="s">
        <v>32</v>
      </c>
      <c r="D2883" t="s">
        <v>19</v>
      </c>
      <c r="E2883">
        <v>44</v>
      </c>
      <c r="F2883">
        <v>35</v>
      </c>
      <c r="G2883">
        <v>3</v>
      </c>
      <c r="H2883" s="1">
        <v>7.6504629629629631E-3</v>
      </c>
      <c r="I2883" t="s">
        <v>18</v>
      </c>
      <c r="J2883" s="2" t="str">
        <f>HYPERLINK("https://www.nba.com/stats/events?CFID=&amp;CFPARAMS=&amp;GameEventID=241&amp;GameID=0021300082&amp;Season=2013-14&amp;flag=1&amp;title=Leonard%203'%20Jump%20Shot%20(9%20PTS)%20(Duncan%203%20AST)", "Leonard 3' Jump Shot (9 PTS) (Duncan 3 AST)")</f>
        <v>Leonard 3' Jump Shot (9 PTS) (Duncan 3 AST)</v>
      </c>
      <c r="K2883" s="2" t="str">
        <f>HYPERLINK("https://www.nba.com/game/...-vs-...-0021300082/play-by-play?watchFullGame=true", "SAS vs GSW - Q3 11:01.00")</f>
        <v>SAS vs GSW - Q3 11:01.00</v>
      </c>
      <c r="L2883">
        <v>3</v>
      </c>
      <c r="M2883">
        <v>17</v>
      </c>
      <c r="N2883">
        <v>26</v>
      </c>
      <c r="O2883">
        <v>17</v>
      </c>
      <c r="P2883">
        <v>26</v>
      </c>
    </row>
    <row r="2884" spans="1:16" x14ac:dyDescent="0.25">
      <c r="A2884">
        <v>41800406</v>
      </c>
      <c r="B2884" t="s">
        <v>20</v>
      </c>
      <c r="C2884" t="s">
        <v>32</v>
      </c>
      <c r="D2884" t="s">
        <v>56</v>
      </c>
      <c r="E2884">
        <v>66</v>
      </c>
      <c r="F2884">
        <v>71</v>
      </c>
      <c r="G2884">
        <v>3</v>
      </c>
      <c r="H2884" s="1">
        <v>5.6944444444444447E-3</v>
      </c>
      <c r="I2884" t="s">
        <v>21</v>
      </c>
      <c r="J2884" s="2" t="str">
        <f>HYPERLINK("https://www.nba.com/stats/events?CFID=&amp;CFPARAMS=&amp;GameEventID=360&amp;GameID=0041800406&amp;Season=2018-19&amp;flag=1&amp;title=Leonard%203'%20Running%20Layup%20(14%20PTS)", "Leonard 3' Running Layup (14 PTS)")</f>
        <v>Leonard 3' Running Layup (14 PTS)</v>
      </c>
      <c r="K2884" s="2" t="str">
        <f>HYPERLINK("https://www.nba.com/game/...-vs-...-0041800406/play-by-play?watchFullGame=true", "TOR vs GSW - Q3 08:12.00")</f>
        <v>TOR vs GSW - Q3 08:12.00</v>
      </c>
      <c r="L2884">
        <v>3</v>
      </c>
      <c r="M2884">
        <v>17</v>
      </c>
      <c r="N2884">
        <v>26</v>
      </c>
      <c r="O2884">
        <v>17</v>
      </c>
      <c r="P2884">
        <v>26</v>
      </c>
    </row>
    <row r="2885" spans="1:16" x14ac:dyDescent="0.25">
      <c r="A2885">
        <v>21900406</v>
      </c>
      <c r="B2885">
        <v>2019</v>
      </c>
      <c r="C2885" t="s">
        <v>32</v>
      </c>
      <c r="D2885" t="s">
        <v>50</v>
      </c>
      <c r="E2885">
        <v>78</v>
      </c>
      <c r="F2885">
        <v>60</v>
      </c>
      <c r="G2885">
        <v>3</v>
      </c>
      <c r="H2885" s="1">
        <v>2.2222222222222222E-3</v>
      </c>
      <c r="I2885" t="s">
        <v>23</v>
      </c>
      <c r="J2885" s="2" t="str">
        <f>HYPERLINK("https://www.nba.com/stats/events?CFID=&amp;CFPARAMS=&amp;GameEventID=474&amp;GameID=0021900406&amp;Season=2019-20&amp;flag=1&amp;title=Leonard%20layup%20(16%20PTS)%20(L.%20Shamet%201%20AST)", "Layup (16 PTS) (L. Shamet 1 AST)")</f>
        <v>Layup (16 PTS) (L. Shamet 1 AST)</v>
      </c>
      <c r="K2885" s="2" t="str">
        <f>HYPERLINK("https://www.nba.com/game/...-vs-...-0021900406/play-by-play?watchFullGame=true", "LAC vs PHX - Q3 03:12.00")</f>
        <v>LAC vs PHX - Q3 03:12.00</v>
      </c>
      <c r="L2885">
        <v>4.0199999999999996</v>
      </c>
      <c r="M2885">
        <v>91.11</v>
      </c>
      <c r="N2885">
        <v>53.36</v>
      </c>
      <c r="O2885">
        <v>17</v>
      </c>
      <c r="P2885">
        <v>31</v>
      </c>
    </row>
    <row r="2886" spans="1:16" x14ac:dyDescent="0.25">
      <c r="A2886">
        <v>21300554</v>
      </c>
      <c r="B2886">
        <v>2013</v>
      </c>
      <c r="C2886" t="s">
        <v>32</v>
      </c>
      <c r="D2886" t="s">
        <v>19</v>
      </c>
      <c r="E2886">
        <v>93</v>
      </c>
      <c r="F2886">
        <v>79</v>
      </c>
      <c r="G2886">
        <v>4</v>
      </c>
      <c r="H2886" s="1">
        <v>4.2592592592592595E-3</v>
      </c>
      <c r="I2886" t="s">
        <v>18</v>
      </c>
      <c r="J2886" s="2" t="str">
        <f>HYPERLINK("https://www.nba.com/stats/events?CFID=&amp;CFPARAMS=&amp;GameEventID=414&amp;GameID=0021300554&amp;Season=2013-14&amp;flag=1&amp;title=Leonard%204'%20Jump%20Shot%20(15%20PTS)%20(Mills%202%20AST)", "Leonard 4' Jump Shot (15 PTS) (Mills 2 AST)")</f>
        <v>Leonard 4' Jump Shot (15 PTS) (Mills 2 AST)</v>
      </c>
      <c r="K2886" s="2" t="str">
        <f>HYPERLINK("https://www.nba.com/game/...-vs-...-0021300554/play-by-play?watchFullGame=true", "SAS vs MIN - Q4 06:08.00")</f>
        <v>SAS vs MIN - Q4 06:08.00</v>
      </c>
      <c r="L2886">
        <v>4</v>
      </c>
      <c r="M2886">
        <v>17</v>
      </c>
      <c r="N2886">
        <v>37</v>
      </c>
      <c r="O2886">
        <v>17</v>
      </c>
      <c r="P2886">
        <v>37</v>
      </c>
    </row>
    <row r="2887" spans="1:16" x14ac:dyDescent="0.25">
      <c r="A2887">
        <v>22201096</v>
      </c>
      <c r="B2887">
        <v>2022</v>
      </c>
      <c r="C2887" t="s">
        <v>32</v>
      </c>
      <c r="D2887" t="s">
        <v>44</v>
      </c>
      <c r="E2887">
        <v>58</v>
      </c>
      <c r="F2887">
        <v>58</v>
      </c>
      <c r="G2887">
        <v>3</v>
      </c>
      <c r="H2887" s="1">
        <v>6.9907407407407409E-3</v>
      </c>
      <c r="I2887" t="s">
        <v>23</v>
      </c>
      <c r="J2887" s="2" t="str">
        <f>HYPERLINK("https://www.nba.com/stats/events?CFID=&amp;CFPARAMS=&amp;GameEventID=347&amp;GameID=0022201096&amp;Season=2022-23&amp;flag=1&amp;title=Leonard%20turnaround%20Hook%20(17%20PTS)", "Turnaround Hook (17 PTS)")</f>
        <v>Turnaround Hook (17 PTS)</v>
      </c>
      <c r="K2887" s="2" t="str">
        <f>HYPERLINK("https://www.nba.com/game/...-vs-...-0022201096/play-by-play?watchFullGame=true", "LAC vs OKC - Q3 10:04.00")</f>
        <v>LAC vs OKC - Q3 10:04.00</v>
      </c>
      <c r="L2887">
        <v>5.0999999999999996</v>
      </c>
      <c r="M2887">
        <v>10.69</v>
      </c>
      <c r="N2887">
        <v>46.57</v>
      </c>
      <c r="O2887">
        <v>17</v>
      </c>
      <c r="P2887">
        <v>48</v>
      </c>
    </row>
    <row r="2888" spans="1:16" x14ac:dyDescent="0.25">
      <c r="A2888">
        <v>42300172</v>
      </c>
      <c r="B2888" t="s">
        <v>84</v>
      </c>
      <c r="C2888" t="s">
        <v>32</v>
      </c>
      <c r="D2888" t="s">
        <v>19</v>
      </c>
      <c r="E2888">
        <v>57</v>
      </c>
      <c r="F2888">
        <v>61</v>
      </c>
      <c r="G2888">
        <v>3</v>
      </c>
      <c r="H2888" s="1">
        <v>3.1134259259259257E-3</v>
      </c>
      <c r="I2888" t="s">
        <v>23</v>
      </c>
      <c r="J2888" s="2" t="str">
        <f>HYPERLINK("https://www.nba.com/stats/events?CFID=&amp;CFPARAMS=&amp;GameEventID=434&amp;GameID=0042300172&amp;Season=2023-24&amp;flag=1&amp;title=Leonard%2011'%20step%20back%20Jump%20Shot%20(12%20PTS)", "11' step back Jump Shot (12 PTS)")</f>
        <v>11' step back Jump Shot (12 PTS)</v>
      </c>
      <c r="K2888" s="2" t="str">
        <f>HYPERLINK("https://www.nba.com/game/...-vs-...-0042300172/play-by-play?watchFullGame=true", "LAC vs DAL - Q3 04:29.00")</f>
        <v>LAC vs DAL - Q3 04:29.00</v>
      </c>
      <c r="L2888">
        <v>11.17</v>
      </c>
      <c r="M2888">
        <v>17.39</v>
      </c>
      <c r="N2888">
        <v>52.45</v>
      </c>
      <c r="O2888">
        <v>17</v>
      </c>
      <c r="P2888">
        <v>52</v>
      </c>
    </row>
    <row r="2889" spans="1:16" x14ac:dyDescent="0.25">
      <c r="A2889">
        <v>42300173</v>
      </c>
      <c r="B2889" t="s">
        <v>84</v>
      </c>
      <c r="C2889" t="s">
        <v>32</v>
      </c>
      <c r="D2889" t="s">
        <v>19</v>
      </c>
      <c r="E2889">
        <v>91</v>
      </c>
      <c r="F2889">
        <v>72</v>
      </c>
      <c r="G2889">
        <v>4</v>
      </c>
      <c r="H2889" s="1">
        <v>5.3009259259259259E-3</v>
      </c>
      <c r="I2889" t="s">
        <v>23</v>
      </c>
      <c r="J2889" s="2" t="str">
        <f>HYPERLINK("https://www.nba.com/stats/events?CFID=&amp;CFPARAMS=&amp;GameEventID=571&amp;GameID=0042300173&amp;Season=2023-24&amp;flag=1&amp;title=Leonard%2012'%20pullup%20Jump%20Shot%20(9%20PTS)%20(P.%20George%205%20AST)", "12' pullup Jump Shot (9 PTS) (P. George 5 AST)")</f>
        <v>12' pullup Jump Shot (9 PTS) (P. George 5 AST)</v>
      </c>
      <c r="K2889" s="2" t="str">
        <f>HYPERLINK("https://www.nba.com/game/...-vs-...-0042300173/play-by-play?watchFullGame=true", "LAC vs DAL - Q4 07:38.00")</f>
        <v>LAC vs DAL - Q4 07:38.00</v>
      </c>
      <c r="L2889">
        <v>12.37</v>
      </c>
      <c r="M2889">
        <v>17.3</v>
      </c>
      <c r="N2889">
        <v>61.27</v>
      </c>
      <c r="O2889">
        <v>17</v>
      </c>
      <c r="P2889">
        <v>61</v>
      </c>
    </row>
    <row r="2890" spans="1:16" x14ac:dyDescent="0.25">
      <c r="A2890">
        <v>22400927</v>
      </c>
      <c r="B2890">
        <v>2024</v>
      </c>
      <c r="C2890" t="s">
        <v>32</v>
      </c>
      <c r="D2890" t="s">
        <v>19</v>
      </c>
      <c r="E2890">
        <v>81</v>
      </c>
      <c r="F2890">
        <v>81</v>
      </c>
      <c r="G2890">
        <v>4</v>
      </c>
      <c r="H2890" s="1">
        <v>5.7870370370370367E-3</v>
      </c>
      <c r="I2890" t="s">
        <v>23</v>
      </c>
      <c r="J2890" s="2" t="str">
        <f>HYPERLINK("https://www.nba.com/stats/events?CFID=&amp;CFPARAMS=&amp;GameEventID=462&amp;GameID=0022400927&amp;Season=2024-25&amp;flag=1&amp;title=Leonard%2010'%20pullup%20Jump%20Shot%20(12%20PTS)", "10' pullup Jump Shot (12 PTS)")</f>
        <v>10' pullup Jump Shot (12 PTS)</v>
      </c>
      <c r="K2890" s="2" t="str">
        <f>HYPERLINK("https://www.nba.com/game/...-vs-...-0022400927/play-by-play?watchFullGame=true", "LAC vs SAC - Q4 08:20.00")</f>
        <v>LAC vs SAC - Q4 08:20.00</v>
      </c>
      <c r="L2890">
        <v>10.53</v>
      </c>
      <c r="M2890">
        <v>16.64</v>
      </c>
      <c r="N2890">
        <v>46.57</v>
      </c>
      <c r="O2890">
        <v>17</v>
      </c>
      <c r="P2890">
        <v>104</v>
      </c>
    </row>
    <row r="2891" spans="1:16" x14ac:dyDescent="0.25">
      <c r="A2891">
        <v>22201229</v>
      </c>
      <c r="B2891">
        <v>2022</v>
      </c>
      <c r="C2891" t="s">
        <v>32</v>
      </c>
      <c r="D2891" t="s">
        <v>19</v>
      </c>
      <c r="E2891">
        <v>53</v>
      </c>
      <c r="F2891">
        <v>59</v>
      </c>
      <c r="G2891">
        <v>3</v>
      </c>
      <c r="H2891" s="1">
        <v>6.5277777777777782E-3</v>
      </c>
      <c r="I2891" t="s">
        <v>23</v>
      </c>
      <c r="J2891" s="2" t="str">
        <f>HYPERLINK("https://www.nba.com/stats/events?CFID=&amp;CFPARAMS=&amp;GameEventID=369&amp;GameID=0022201229&amp;Season=2022-23&amp;flag=1&amp;title=Leonard%2011'%20pullup%20Jump%20Shot%20(10%20PTS)", "11' pullup Jump Shot (10 PTS)")</f>
        <v>11' pullup Jump Shot (10 PTS)</v>
      </c>
      <c r="K2891" s="2" t="str">
        <f>HYPERLINK("https://www.nba.com/game/...-vs-...-0022201229/play-by-play?watchFullGame=true", "LAC vs PHX - Q3 09:24.00")</f>
        <v>LAC vs PHX - Q3 09:24.00</v>
      </c>
      <c r="L2891">
        <v>11.01</v>
      </c>
      <c r="M2891">
        <v>17.3</v>
      </c>
      <c r="N2891">
        <v>50</v>
      </c>
      <c r="O2891">
        <v>17</v>
      </c>
      <c r="P2891">
        <v>110</v>
      </c>
    </row>
    <row r="2892" spans="1:16" x14ac:dyDescent="0.25">
      <c r="A2892">
        <v>21600213</v>
      </c>
      <c r="B2892">
        <v>2016</v>
      </c>
      <c r="C2892" t="s">
        <v>32</v>
      </c>
      <c r="D2892" t="s">
        <v>19</v>
      </c>
      <c r="E2892">
        <v>63</v>
      </c>
      <c r="F2892">
        <v>64</v>
      </c>
      <c r="G2892">
        <v>3</v>
      </c>
      <c r="H2892" s="1">
        <v>7.3379629629629628E-3</v>
      </c>
      <c r="I2892" t="s">
        <v>18</v>
      </c>
      <c r="J2892" s="2" t="str">
        <f>HYPERLINK("https://www.nba.com/stats/events?CFID=&amp;CFPARAMS=&amp;GameEventID=250&amp;GameID=0021600213&amp;Season=2016-17&amp;flag=1&amp;title=Leonard%2011'%20Jump%20Shot%20(18%20PTS)", "Leonard 11' Jump Shot (18 PTS)")</f>
        <v>Leonard 11' Jump Shot (18 PTS)</v>
      </c>
      <c r="K2892" s="2" t="str">
        <f>HYPERLINK("https://www.nba.com/game/...-vs-...-0021600213/play-by-play?watchFullGame=true", "SAS vs CHA - Q3 10:34.00")</f>
        <v>SAS vs CHA - Q3 10:34.00</v>
      </c>
      <c r="L2892">
        <v>11</v>
      </c>
      <c r="M2892">
        <v>17</v>
      </c>
      <c r="N2892">
        <v>111</v>
      </c>
      <c r="O2892">
        <v>17</v>
      </c>
      <c r="P2892">
        <v>111</v>
      </c>
    </row>
    <row r="2893" spans="1:16" x14ac:dyDescent="0.25">
      <c r="A2893">
        <v>21600801</v>
      </c>
      <c r="B2893">
        <v>2016</v>
      </c>
      <c r="C2893" t="s">
        <v>32</v>
      </c>
      <c r="D2893" t="s">
        <v>29</v>
      </c>
      <c r="E2893">
        <v>0</v>
      </c>
      <c r="F2893">
        <v>6</v>
      </c>
      <c r="G2893">
        <v>1</v>
      </c>
      <c r="H2893" s="1">
        <v>6.7708333333333336E-3</v>
      </c>
      <c r="I2893" t="s">
        <v>18</v>
      </c>
      <c r="J2893" s="2" t="str">
        <f>HYPERLINK("https://www.nba.com/stats/events?CFID=&amp;CFPARAMS=&amp;GameEventID=16&amp;GameID=0021600801&amp;Season=2016-17&amp;flag=1&amp;title=Leonard%2012'%20Pullup%20Jump%20Shot%20(2%20PTS)", "Leonard 12' Pullup Jump Shot (2 PTS)")</f>
        <v>Leonard 12' Pullup Jump Shot (2 PTS)</v>
      </c>
      <c r="K2893" s="2" t="str">
        <f>HYPERLINK("https://www.nba.com/game/...-vs-...-0021600801/play-by-play?watchFullGame=true", "SAS vs DET - Q1 09:45.00")</f>
        <v>SAS vs DET - Q1 09:45.00</v>
      </c>
      <c r="L2893">
        <v>12</v>
      </c>
      <c r="M2893">
        <v>17</v>
      </c>
      <c r="N2893">
        <v>115</v>
      </c>
      <c r="O2893">
        <v>17</v>
      </c>
      <c r="P2893">
        <v>115</v>
      </c>
    </row>
    <row r="2894" spans="1:16" x14ac:dyDescent="0.25">
      <c r="A2894">
        <v>22400874</v>
      </c>
      <c r="B2894">
        <v>2024</v>
      </c>
      <c r="C2894" t="s">
        <v>32</v>
      </c>
      <c r="D2894" t="s">
        <v>19</v>
      </c>
      <c r="E2894">
        <v>44</v>
      </c>
      <c r="F2894">
        <v>41</v>
      </c>
      <c r="G2894">
        <v>2</v>
      </c>
      <c r="H2894" s="1">
        <v>5.6018518518518518E-3</v>
      </c>
      <c r="I2894" t="s">
        <v>23</v>
      </c>
      <c r="J2894" s="2" t="str">
        <f>HYPERLINK("https://www.nba.com/stats/events?CFID=&amp;CFPARAMS=&amp;GameEventID=205&amp;GameID=0022400874&amp;Season=2024-25&amp;flag=1&amp;title=Leonard%2015'%20step%20back%20Jump%20Shot%20(13%20PTS)", "15' step back Jump Shot (13 PTS)")</f>
        <v>15' step back Jump Shot (13 PTS)</v>
      </c>
      <c r="K2894" s="2" t="str">
        <f>HYPERLINK("https://www.nba.com/game/...-vs-...-0022400874/play-by-play?watchFullGame=true", "LAC vs LAL - Q2 08:04.00")</f>
        <v>LAC vs LAL - Q2 08:04.00</v>
      </c>
      <c r="L2894">
        <v>15.31</v>
      </c>
      <c r="M2894">
        <v>78.239999999999995</v>
      </c>
      <c r="N2894">
        <v>53.43</v>
      </c>
      <c r="O2894">
        <v>17</v>
      </c>
      <c r="P2894">
        <v>152</v>
      </c>
    </row>
    <row r="2895" spans="1:16" x14ac:dyDescent="0.25">
      <c r="A2895">
        <v>41500152</v>
      </c>
      <c r="B2895" t="s">
        <v>25</v>
      </c>
      <c r="C2895" t="s">
        <v>32</v>
      </c>
      <c r="D2895" t="s">
        <v>29</v>
      </c>
      <c r="E2895">
        <v>36</v>
      </c>
      <c r="F2895">
        <v>24</v>
      </c>
      <c r="G2895">
        <v>2</v>
      </c>
      <c r="H2895" s="1">
        <v>4.340277777777778E-3</v>
      </c>
      <c r="I2895" t="s">
        <v>18</v>
      </c>
      <c r="J2895" s="2" t="str">
        <f>HYPERLINK("https://www.nba.com/stats/events?CFID=&amp;CFPARAMS=&amp;GameEventID=171&amp;GameID=0041500152&amp;Season=2015-16&amp;flag=1&amp;title=Leonard%2016'%20Pullup%20Jump%20Shot%20(6%20PTS)%20(Duncan%203%20AST)", "Leonard 16' Pullup Jump Shot (6 PTS) (Duncan 3 AST)")</f>
        <v>Leonard 16' Pullup Jump Shot (6 PTS) (Duncan 3 AST)</v>
      </c>
      <c r="K2895" s="2" t="str">
        <f>HYPERLINK("https://www.nba.com/game/...-vs-...-0041500152/play-by-play?watchFullGame=true", "SAS vs MEM - Q2 06:15.00")</f>
        <v>SAS vs MEM - Q2 06:15.00</v>
      </c>
      <c r="L2895">
        <v>16</v>
      </c>
      <c r="M2895">
        <v>17</v>
      </c>
      <c r="N2895">
        <v>159</v>
      </c>
      <c r="O2895">
        <v>17</v>
      </c>
      <c r="P2895">
        <v>159</v>
      </c>
    </row>
    <row r="2896" spans="1:16" x14ac:dyDescent="0.25">
      <c r="A2896">
        <v>21500713</v>
      </c>
      <c r="B2896">
        <v>2015</v>
      </c>
      <c r="C2896" t="s">
        <v>16</v>
      </c>
      <c r="D2896" t="s">
        <v>19</v>
      </c>
      <c r="E2896">
        <v>52</v>
      </c>
      <c r="F2896">
        <v>43</v>
      </c>
      <c r="G2896">
        <v>2</v>
      </c>
      <c r="H2896" s="1">
        <v>3.7499999999999999E-3</v>
      </c>
      <c r="I2896" t="s">
        <v>18</v>
      </c>
      <c r="J2896" s="2" t="str">
        <f>HYPERLINK("https://www.nba.com/stats/events?CFID=&amp;CFPARAMS=&amp;GameEventID=189&amp;GameID=0021500713&amp;Season=2015-16&amp;flag=1&amp;title=Leonard%2025'%203PT%20Jump%20Shot%20(10%20PTS)%20(Parker%204%20AST)", "Leonard 25' 3PT Jump Shot (10 PTS) (Parker 4 AST)")</f>
        <v>Leonard 25' 3PT Jump Shot (10 PTS) (Parker 4 AST)</v>
      </c>
      <c r="K2896" s="2" t="str">
        <f>HYPERLINK("https://www.nba.com/game/...-vs-...-0021500713/play-by-play?watchFullGame=true", "SAS vs CLE - Q2 05:24.00")</f>
        <v>SAS vs CLE - Q2 05:24.00</v>
      </c>
      <c r="L2896">
        <v>25</v>
      </c>
      <c r="M2896">
        <v>17</v>
      </c>
      <c r="N2896">
        <v>247</v>
      </c>
      <c r="O2896">
        <v>17</v>
      </c>
      <c r="P2896">
        <v>247</v>
      </c>
    </row>
    <row r="2897" spans="1:16" x14ac:dyDescent="0.25">
      <c r="A2897">
        <v>22201162</v>
      </c>
      <c r="B2897">
        <v>2022</v>
      </c>
      <c r="C2897" t="s">
        <v>16</v>
      </c>
      <c r="D2897" t="s">
        <v>19</v>
      </c>
      <c r="E2897">
        <v>99</v>
      </c>
      <c r="F2897">
        <v>97</v>
      </c>
      <c r="G2897">
        <v>4</v>
      </c>
      <c r="H2897" s="1">
        <v>5.9722222222222225E-3</v>
      </c>
      <c r="I2897" t="s">
        <v>23</v>
      </c>
      <c r="J2897" s="2" t="str">
        <f>HYPERLINK("https://www.nba.com/stats/events?CFID=&amp;CFPARAMS=&amp;GameEventID=530&amp;GameID=0022201162&amp;Season=2022-23&amp;flag=1&amp;title=Leonard%2024'%203PT%20%20(29%20PTS)%20(R.%20Westbrook%207%20AST)", "24' 3PT  (29 PTS) (R. Westbrook 7 AST)")</f>
        <v>24' 3PT  (29 PTS) (R. Westbrook 7 AST)</v>
      </c>
      <c r="K2897" s="2" t="str">
        <f>HYPERLINK("https://www.nba.com/game/...-vs-...-0022201162/play-by-play?watchFullGame=true", "LAC vs NOP - Q4 08:36.00")</f>
        <v>LAC vs NOP - Q4 08:36.00</v>
      </c>
      <c r="L2897">
        <v>24.78</v>
      </c>
      <c r="M2897">
        <v>31.88</v>
      </c>
      <c r="N2897">
        <v>46.57</v>
      </c>
      <c r="O2897">
        <v>17</v>
      </c>
      <c r="P2897">
        <v>247</v>
      </c>
    </row>
    <row r="2898" spans="1:16" x14ac:dyDescent="0.25">
      <c r="A2898">
        <v>22201215</v>
      </c>
      <c r="B2898">
        <v>2022</v>
      </c>
      <c r="C2898" t="s">
        <v>16</v>
      </c>
      <c r="D2898" t="s">
        <v>19</v>
      </c>
      <c r="E2898">
        <v>62</v>
      </c>
      <c r="F2898">
        <v>69</v>
      </c>
      <c r="G2898">
        <v>2</v>
      </c>
      <c r="H2898" s="1">
        <v>9.4907407407407408E-4</v>
      </c>
      <c r="I2898" t="s">
        <v>23</v>
      </c>
      <c r="J2898" s="2" t="str">
        <f>HYPERLINK("https://www.nba.com/stats/events?CFID=&amp;CFPARAMS=&amp;GameEventID=312&amp;GameID=0022201215&amp;Season=2022-23&amp;flag=1&amp;title=Leonard%2025'%203PT%20pullup%20(12%20PTS)", "25' 3PT pullup (12 PTS)")</f>
        <v>25' 3PT pullup (12 PTS)</v>
      </c>
      <c r="K2898" s="2" t="str">
        <f>HYPERLINK("https://www.nba.com/game/...-vs-...-0022201215/play-by-play?watchFullGame=true", "LAC vs POR - Q2 01:22.00")</f>
        <v>LAC vs POR - Q2 01:22.00</v>
      </c>
      <c r="L2898">
        <v>25.77</v>
      </c>
      <c r="M2898">
        <v>67.069999999999993</v>
      </c>
      <c r="N2898">
        <v>53.43</v>
      </c>
      <c r="O2898">
        <v>17</v>
      </c>
      <c r="P2898">
        <v>257</v>
      </c>
    </row>
    <row r="2899" spans="1:16" x14ac:dyDescent="0.25">
      <c r="A2899">
        <v>21600264</v>
      </c>
      <c r="B2899">
        <v>2016</v>
      </c>
      <c r="C2899" t="s">
        <v>16</v>
      </c>
      <c r="D2899" t="s">
        <v>19</v>
      </c>
      <c r="E2899">
        <v>48</v>
      </c>
      <c r="F2899">
        <v>49</v>
      </c>
      <c r="G2899">
        <v>3</v>
      </c>
      <c r="H2899" s="1">
        <v>7.1759259259259259E-3</v>
      </c>
      <c r="I2899" t="s">
        <v>18</v>
      </c>
      <c r="J2899" s="2" t="str">
        <f>HYPERLINK("https://www.nba.com/stats/events?CFID=&amp;CFPARAMS=&amp;GameEventID=256&amp;GameID=0021600264&amp;Season=2016-17&amp;flag=1&amp;title=Leonard%2026'%203PT%20Jump%20Shot%20(12%20PTS)%20(Gasol%203%20AST)", "Leonard 26' 3PT Jump Shot (12 PTS) (Gasol 3 AST)")</f>
        <v>Leonard 26' 3PT Jump Shot (12 PTS) (Gasol 3 AST)</v>
      </c>
      <c r="K2899" s="2" t="str">
        <f>HYPERLINK("https://www.nba.com/game/...-vs-...-0021600264/play-by-play?watchFullGame=true", "SAS vs ORL - Q3 10:20.00")</f>
        <v>SAS vs ORL - Q3 10:20.00</v>
      </c>
      <c r="L2899">
        <v>26</v>
      </c>
      <c r="M2899">
        <v>17</v>
      </c>
      <c r="N2899">
        <v>259</v>
      </c>
      <c r="O2899">
        <v>17</v>
      </c>
      <c r="P2899">
        <v>259</v>
      </c>
    </row>
    <row r="2900" spans="1:16" x14ac:dyDescent="0.25">
      <c r="A2900">
        <v>21300363</v>
      </c>
      <c r="B2900">
        <v>2013</v>
      </c>
      <c r="C2900" t="s">
        <v>32</v>
      </c>
      <c r="D2900" t="s">
        <v>57</v>
      </c>
      <c r="E2900">
        <v>59</v>
      </c>
      <c r="F2900">
        <v>58</v>
      </c>
      <c r="G2900">
        <v>3</v>
      </c>
      <c r="H2900" s="1">
        <v>6.1111111111111114E-3</v>
      </c>
      <c r="I2900" t="s">
        <v>18</v>
      </c>
      <c r="J2900" s="2" t="str">
        <f>HYPERLINK("https://www.nba.com/stats/events?CFID=&amp;CFPARAMS=&amp;GameEventID=293&amp;GameID=0021300363&amp;Season=2013-14&amp;flag=1&amp;title=Leonard%202'%20Layup%20(8%20PTS)%20(Duncan%203%20AST)", "Leonard 2' Layup (8 PTS) (Duncan 3 AST)")</f>
        <v>Leonard 2' Layup (8 PTS) (Duncan 3 AST)</v>
      </c>
      <c r="K2900" s="2" t="str">
        <f>HYPERLINK("https://www.nba.com/game/...-vs-...-0021300363/play-by-play?watchFullGame=true", "SAS vs LAC - Q3 08:48.00")</f>
        <v>SAS vs LAC - Q3 08:48.00</v>
      </c>
      <c r="L2900">
        <v>2</v>
      </c>
      <c r="M2900">
        <v>18</v>
      </c>
      <c r="N2900">
        <v>-8</v>
      </c>
      <c r="O2900">
        <v>18</v>
      </c>
      <c r="P2900">
        <v>-8</v>
      </c>
    </row>
    <row r="2901" spans="1:16" x14ac:dyDescent="0.25">
      <c r="A2901">
        <v>21900626</v>
      </c>
      <c r="B2901">
        <v>2019</v>
      </c>
      <c r="C2901" t="s">
        <v>32</v>
      </c>
      <c r="D2901" t="s">
        <v>50</v>
      </c>
      <c r="E2901">
        <v>24</v>
      </c>
      <c r="F2901">
        <v>25</v>
      </c>
      <c r="G2901">
        <v>1</v>
      </c>
      <c r="H2901" s="1">
        <v>1.6435185185185185E-3</v>
      </c>
      <c r="I2901" t="s">
        <v>23</v>
      </c>
      <c r="J2901" s="2" t="str">
        <f>HYPERLINK("https://www.nba.com/stats/events?CFID=&amp;CFPARAMS=&amp;GameEventID=131&amp;GameID=0021900626&amp;Season=2019-20&amp;flag=1&amp;title=Leonard%20layup%20(14%20PTS)%20(P.%20Beverley%204%20AST)", "Layup (14 PTS) (P. Beverley 4 AST)")</f>
        <v>Layup (14 PTS) (P. Beverley 4 AST)</v>
      </c>
      <c r="K2901" s="2" t="str">
        <f>HYPERLINK("https://www.nba.com/game/...-vs-...-0021900626/play-by-play?watchFullGame=true", "LAC vs NOP - Q1 02:22.00")</f>
        <v>LAC vs NOP - Q1 02:22.00</v>
      </c>
      <c r="L2901">
        <v>1.93</v>
      </c>
      <c r="M2901">
        <v>5.73</v>
      </c>
      <c r="N2901">
        <v>46.39</v>
      </c>
      <c r="O2901">
        <v>18</v>
      </c>
      <c r="P2901">
        <v>1</v>
      </c>
    </row>
    <row r="2902" spans="1:16" x14ac:dyDescent="0.25">
      <c r="A2902">
        <v>21301102</v>
      </c>
      <c r="B2902">
        <v>2013</v>
      </c>
      <c r="C2902" t="s">
        <v>32</v>
      </c>
      <c r="D2902" t="s">
        <v>59</v>
      </c>
      <c r="E2902">
        <v>50</v>
      </c>
      <c r="F2902">
        <v>64</v>
      </c>
      <c r="G2902">
        <v>3</v>
      </c>
      <c r="H2902" s="1">
        <v>2.7199074074074074E-3</v>
      </c>
      <c r="I2902" t="s">
        <v>18</v>
      </c>
      <c r="J2902" s="2" t="str">
        <f>HYPERLINK("https://www.nba.com/stats/events?CFID=&amp;CFPARAMS=&amp;GameEventID=321&amp;GameID=0021301102&amp;Season=2013-14&amp;flag=1&amp;title=Leonard%202'%20Putback%20Layup%20(9%20PTS)", "Leonard 2' Putback Layup (9 PTS)")</f>
        <v>Leonard 2' Putback Layup (9 PTS)</v>
      </c>
      <c r="K2902" s="2" t="str">
        <f>HYPERLINK("https://www.nba.com/game/...-vs-...-0021301102/play-by-play?watchFullGame=true", "SAS vs IND - Q3 03:55.00")</f>
        <v>SAS vs IND - Q3 03:55.00</v>
      </c>
      <c r="L2902">
        <v>2</v>
      </c>
      <c r="M2902">
        <v>18</v>
      </c>
      <c r="N2902">
        <v>3</v>
      </c>
      <c r="O2902">
        <v>18</v>
      </c>
      <c r="P2902">
        <v>3</v>
      </c>
    </row>
    <row r="2903" spans="1:16" x14ac:dyDescent="0.25">
      <c r="A2903">
        <v>21900115</v>
      </c>
      <c r="B2903">
        <v>2019</v>
      </c>
      <c r="C2903" t="s">
        <v>32</v>
      </c>
      <c r="D2903" t="s">
        <v>50</v>
      </c>
      <c r="E2903">
        <v>4</v>
      </c>
      <c r="F2903">
        <v>4</v>
      </c>
      <c r="G2903">
        <v>1</v>
      </c>
      <c r="H2903" s="1">
        <v>7.1759259259259259E-3</v>
      </c>
      <c r="I2903" t="s">
        <v>23</v>
      </c>
      <c r="J2903" s="2" t="str">
        <f>HYPERLINK("https://www.nba.com/stats/events?CFID=&amp;CFPARAMS=&amp;GameEventID=24&amp;GameID=0021900115&amp;Season=2019-20&amp;flag=1&amp;title=[LAC]%20Leonard%20layup:%20Made%20(2%20PTS)", "[LAC] Leonard layup: Made (2 PTS)")</f>
        <v>[LAC] Leonard layup: Made (2 PTS)</v>
      </c>
      <c r="K2903" s="2" t="str">
        <f>HYPERLINK("https://www.nba.com/game/...-vs-...-0021900115/play-by-play?watchFullGame=true", "LAC vs POR - Q1 10:20.00")</f>
        <v>LAC vs POR - Q1 10:20.00</v>
      </c>
      <c r="L2903">
        <v>2.09</v>
      </c>
      <c r="M2903">
        <v>6.23</v>
      </c>
      <c r="N2903">
        <v>46.5</v>
      </c>
      <c r="O2903">
        <v>18</v>
      </c>
      <c r="P2903">
        <v>6</v>
      </c>
    </row>
    <row r="2904" spans="1:16" x14ac:dyDescent="0.25">
      <c r="A2904">
        <v>21401200</v>
      </c>
      <c r="B2904">
        <v>2014</v>
      </c>
      <c r="C2904" t="s">
        <v>32</v>
      </c>
      <c r="D2904" t="s">
        <v>49</v>
      </c>
      <c r="E2904">
        <v>23</v>
      </c>
      <c r="F2904">
        <v>18</v>
      </c>
      <c r="G2904">
        <v>2</v>
      </c>
      <c r="H2904" s="1">
        <v>7.8703703703703696E-3</v>
      </c>
      <c r="I2904" t="s">
        <v>18</v>
      </c>
      <c r="J2904" s="2" t="str">
        <f>HYPERLINK("https://www.nba.com/stats/events?CFID=&amp;CFPARAMS=&amp;GameEventID=135&amp;GameID=0021401200&amp;Season=2014-15&amp;flag=1&amp;title=Leonard%202'%20Driving%20Layup%20(5%20PTS)", "Leonard 2' Driving Layup (5 PTS)")</f>
        <v>Leonard 2' Driving Layup (5 PTS)</v>
      </c>
      <c r="K2904" s="2" t="str">
        <f>HYPERLINK("https://www.nba.com/game/...-vs-...-0021401200/play-by-play?watchFullGame=true", "SAS vs PHX - Q2 11:20.00")</f>
        <v>SAS vs PHX - Q2 11:20.00</v>
      </c>
      <c r="L2904">
        <v>2</v>
      </c>
      <c r="M2904">
        <v>18</v>
      </c>
      <c r="N2904">
        <v>6</v>
      </c>
      <c r="O2904">
        <v>18</v>
      </c>
      <c r="P2904">
        <v>6</v>
      </c>
    </row>
    <row r="2905" spans="1:16" x14ac:dyDescent="0.25">
      <c r="A2905">
        <v>22400874</v>
      </c>
      <c r="B2905">
        <v>2024</v>
      </c>
      <c r="C2905" t="s">
        <v>32</v>
      </c>
      <c r="D2905" t="s">
        <v>47</v>
      </c>
      <c r="E2905">
        <v>93</v>
      </c>
      <c r="F2905">
        <v>86</v>
      </c>
      <c r="G2905">
        <v>4</v>
      </c>
      <c r="H2905" s="1">
        <v>5.9837962962962961E-3</v>
      </c>
      <c r="I2905" t="s">
        <v>23</v>
      </c>
      <c r="J2905" s="2" t="str">
        <f>HYPERLINK("https://www.nba.com/stats/events?CFID=&amp;CFPARAMS=&amp;GameEventID=513&amp;GameID=0022400874&amp;Season=2024-25&amp;flag=1&amp;title=Leonard%20driving%20finger%20roll%20Layup%20(28%20PTS)", "Driving finger roll Layup (28 PTS)")</f>
        <v>Driving finger roll Layup (28 PTS)</v>
      </c>
      <c r="K2905" s="2" t="str">
        <f>HYPERLINK("https://www.nba.com/game/...-vs-...-0022400874/play-by-play?watchFullGame=true", "LAC vs LAL - Q4 08:37.00")</f>
        <v>LAC vs LAL - Q4 08:37.00</v>
      </c>
      <c r="L2905">
        <v>1.98</v>
      </c>
      <c r="M2905">
        <v>6.36</v>
      </c>
      <c r="N2905">
        <v>46.32</v>
      </c>
      <c r="O2905">
        <v>18</v>
      </c>
      <c r="P2905">
        <v>7</v>
      </c>
    </row>
    <row r="2906" spans="1:16" x14ac:dyDescent="0.25">
      <c r="A2906">
        <v>41200233</v>
      </c>
      <c r="B2906" t="s">
        <v>27</v>
      </c>
      <c r="C2906" t="s">
        <v>32</v>
      </c>
      <c r="D2906" t="s">
        <v>49</v>
      </c>
      <c r="E2906">
        <v>79</v>
      </c>
      <c r="F2906">
        <v>90</v>
      </c>
      <c r="G2906">
        <v>4</v>
      </c>
      <c r="H2906" s="1">
        <v>3.9236111111111112E-3</v>
      </c>
      <c r="I2906" t="s">
        <v>18</v>
      </c>
      <c r="J2906" s="2" t="str">
        <f>HYPERLINK("https://www.nba.com/stats/events?CFID=&amp;CFPARAMS=&amp;GameEventID=438&amp;GameID=0041200233&amp;Season=2012-13&amp;flag=1&amp;title=Leonard%202'%20Driving%20Layup%20(11%20PTS)%20(Neal%202%20AST)", "Leonard 2' Driving Layup (11 PTS) (Neal 2 AST)")</f>
        <v>Leonard 2' Driving Layup (11 PTS) (Neal 2 AST)</v>
      </c>
      <c r="K2906" s="2" t="str">
        <f>HYPERLINK("https://www.nba.com/game/...-vs-...-0041200233/play-by-play?watchFullGame=true", "SAS vs GSW - Q4 05:39.00")</f>
        <v>SAS vs GSW - Q4 05:39.00</v>
      </c>
      <c r="L2906">
        <v>2</v>
      </c>
      <c r="M2906">
        <v>18</v>
      </c>
      <c r="N2906">
        <v>7</v>
      </c>
      <c r="O2906">
        <v>18</v>
      </c>
      <c r="P2906">
        <v>7</v>
      </c>
    </row>
    <row r="2907" spans="1:16" x14ac:dyDescent="0.25">
      <c r="A2907">
        <v>41800401</v>
      </c>
      <c r="B2907" t="s">
        <v>20</v>
      </c>
      <c r="C2907" t="s">
        <v>32</v>
      </c>
      <c r="D2907" t="s">
        <v>46</v>
      </c>
      <c r="E2907">
        <v>51</v>
      </c>
      <c r="F2907">
        <v>45</v>
      </c>
      <c r="G2907">
        <v>2</v>
      </c>
      <c r="H2907" s="1">
        <v>1.238425925925926E-3</v>
      </c>
      <c r="I2907" t="s">
        <v>21</v>
      </c>
      <c r="J2907" s="2" t="str">
        <f>HYPERLINK("https://www.nba.com/stats/events?CFID=&amp;CFPARAMS=&amp;GameEventID=307&amp;GameID=0041800401&amp;Season=2018-19&amp;flag=1&amp;title=Leonard%202'%20Driving%20Floating%20Bank%20Jump%20Shot%20(7%20PTS)", "Leonard 2' Driving Floating Bank Jump Shot (7 PTS)")</f>
        <v>Leonard 2' Driving Floating Bank Jump Shot (7 PTS)</v>
      </c>
      <c r="K2907" s="2" t="str">
        <f>HYPERLINK("https://www.nba.com/game/...-vs-...-0041800401/play-by-play?watchFullGame=true", "TOR vs GSW - Q2 01:47.00")</f>
        <v>TOR vs GSW - Q2 01:47.00</v>
      </c>
      <c r="L2907">
        <v>2</v>
      </c>
      <c r="M2907">
        <v>18</v>
      </c>
      <c r="N2907">
        <v>8</v>
      </c>
      <c r="O2907">
        <v>18</v>
      </c>
      <c r="P2907">
        <v>8</v>
      </c>
    </row>
    <row r="2908" spans="1:16" x14ac:dyDescent="0.25">
      <c r="A2908">
        <v>41400162</v>
      </c>
      <c r="B2908" t="s">
        <v>28</v>
      </c>
      <c r="C2908" t="s">
        <v>32</v>
      </c>
      <c r="D2908" t="s">
        <v>57</v>
      </c>
      <c r="E2908">
        <v>101</v>
      </c>
      <c r="F2908">
        <v>107</v>
      </c>
      <c r="G2908">
        <v>5</v>
      </c>
      <c r="H2908" s="1">
        <v>6.5509259259259264E-4</v>
      </c>
      <c r="I2908" t="s">
        <v>18</v>
      </c>
      <c r="J2908" s="2" t="str">
        <f>HYPERLINK("https://www.nba.com/stats/events?CFID=&amp;CFPARAMS=&amp;GameEventID=606&amp;GameID=0041400162&amp;Season=2014-15&amp;flag=1&amp;title=Leonard%202'%20Layup%20(23%20PTS)%20(Diaw%206%20AST)", "Leonard 2' Layup (23 PTS) (Diaw 6 AST)")</f>
        <v>Leonard 2' Layup (23 PTS) (Diaw 6 AST)</v>
      </c>
      <c r="K2908" s="2" t="str">
        <f>HYPERLINK("https://www.nba.com/game/...-vs-...-0041400162/play-by-play?watchFullGame=true", "SAS vs LAC - Q5 00:56.60")</f>
        <v>SAS vs LAC - Q5 00:56.60</v>
      </c>
      <c r="L2908">
        <v>2</v>
      </c>
      <c r="M2908">
        <v>18</v>
      </c>
      <c r="N2908">
        <v>9</v>
      </c>
      <c r="O2908">
        <v>18</v>
      </c>
      <c r="P2908">
        <v>9</v>
      </c>
    </row>
    <row r="2909" spans="1:16" x14ac:dyDescent="0.25">
      <c r="A2909">
        <v>22300372</v>
      </c>
      <c r="B2909">
        <v>2023</v>
      </c>
      <c r="C2909" t="s">
        <v>32</v>
      </c>
      <c r="D2909" t="s">
        <v>47</v>
      </c>
      <c r="E2909">
        <v>50</v>
      </c>
      <c r="F2909">
        <v>67</v>
      </c>
      <c r="G2909">
        <v>2</v>
      </c>
      <c r="H2909" s="1">
        <v>1.0763888888888889E-3</v>
      </c>
      <c r="I2909" t="s">
        <v>23</v>
      </c>
      <c r="J2909" s="2" t="str">
        <f>HYPERLINK("https://www.nba.com/stats/events?CFID=&amp;CFPARAMS=&amp;GameEventID=289&amp;GameID=0022300372&amp;Season=2023-24&amp;flag=1&amp;title=Leonard%20driving%20Layup%20(14%20PTS)", "Driving Layup (14 PTS)")</f>
        <v>Driving Layup (14 PTS)</v>
      </c>
      <c r="K2909" s="2" t="str">
        <f>HYPERLINK("https://www.nba.com/game/...-vs-...-0022300372/play-by-play?watchFullGame=true", "LAC vs DAL - Q2 01:33.00")</f>
        <v>LAC vs DAL - Q2 01:33.00</v>
      </c>
      <c r="L2909">
        <v>2.08</v>
      </c>
      <c r="M2909">
        <v>93.38</v>
      </c>
      <c r="N2909">
        <v>53.68</v>
      </c>
      <c r="O2909">
        <v>18</v>
      </c>
      <c r="P2909">
        <v>10</v>
      </c>
    </row>
    <row r="2910" spans="1:16" x14ac:dyDescent="0.25">
      <c r="A2910">
        <v>22000324</v>
      </c>
      <c r="B2910">
        <v>2020</v>
      </c>
      <c r="C2910" t="s">
        <v>32</v>
      </c>
      <c r="D2910" t="s">
        <v>47</v>
      </c>
      <c r="E2910">
        <v>59</v>
      </c>
      <c r="F2910">
        <v>60</v>
      </c>
      <c r="G2910">
        <v>3</v>
      </c>
      <c r="H2910" s="1">
        <v>7.905092592592592E-3</v>
      </c>
      <c r="I2910" t="s">
        <v>23</v>
      </c>
      <c r="J2910" s="2" t="str">
        <f>HYPERLINK("https://www.nba.com/stats/events?CFID=&amp;CFPARAMS=&amp;GameEventID=300&amp;GameID=0022000324&amp;Season=2020-21&amp;flag=1&amp;title=Leonard%20Layup%20(16%20PTS)", "Layup (16 PTS)")</f>
        <v>Layup (16 PTS)</v>
      </c>
      <c r="K2910" s="2" t="str">
        <f>HYPERLINK("https://www.nba.com/game/...-vs-...-0022000324/play-by-play?watchFullGame=true", "LAC vs BKN - Q3 11:23.00")</f>
        <v>LAC vs BKN - Q3 11:23.00</v>
      </c>
      <c r="L2910">
        <v>2.0699999999999998</v>
      </c>
      <c r="M2910">
        <v>93.25</v>
      </c>
      <c r="N2910">
        <v>53.5</v>
      </c>
      <c r="O2910">
        <v>18</v>
      </c>
      <c r="P2910">
        <v>11</v>
      </c>
    </row>
    <row r="2911" spans="1:16" x14ac:dyDescent="0.25">
      <c r="A2911">
        <v>21400191</v>
      </c>
      <c r="B2911">
        <v>2014</v>
      </c>
      <c r="C2911" t="s">
        <v>32</v>
      </c>
      <c r="D2911" t="s">
        <v>57</v>
      </c>
      <c r="E2911">
        <v>44</v>
      </c>
      <c r="F2911">
        <v>27</v>
      </c>
      <c r="G2911">
        <v>2</v>
      </c>
      <c r="H2911" s="1">
        <v>3.4027777777777776E-3</v>
      </c>
      <c r="I2911" t="s">
        <v>18</v>
      </c>
      <c r="J2911" s="2" t="str">
        <f>HYPERLINK("https://www.nba.com/stats/events?CFID=&amp;CFPARAMS=&amp;GameEventID=172&amp;GameID=0021400191&amp;Season=2014-15&amp;flag=1&amp;title=Leonard%202'%20Layup%20(8%20PTS)%20(Duncan%205%20AST)", "Leonard 2' Layup (8 PTS) (Duncan 5 AST)")</f>
        <v>Leonard 2' Layup (8 PTS) (Duncan 5 AST)</v>
      </c>
      <c r="K2911" s="2" t="str">
        <f>HYPERLINK("https://www.nba.com/game/...-vs-...-0021400191/play-by-play?watchFullGame=true", "SAS vs BKN - Q2 04:54.00")</f>
        <v>SAS vs BKN - Q2 04:54.00</v>
      </c>
      <c r="L2911">
        <v>2</v>
      </c>
      <c r="M2911">
        <v>18</v>
      </c>
      <c r="N2911">
        <v>12</v>
      </c>
      <c r="O2911">
        <v>18</v>
      </c>
      <c r="P2911">
        <v>12</v>
      </c>
    </row>
    <row r="2912" spans="1:16" x14ac:dyDescent="0.25">
      <c r="A2912">
        <v>22301017</v>
      </c>
      <c r="B2912">
        <v>2023</v>
      </c>
      <c r="C2912" t="s">
        <v>32</v>
      </c>
      <c r="D2912" t="s">
        <v>47</v>
      </c>
      <c r="E2912">
        <v>60</v>
      </c>
      <c r="F2912">
        <v>83</v>
      </c>
      <c r="G2912">
        <v>3</v>
      </c>
      <c r="H2912" s="1">
        <v>5.9259259259259256E-3</v>
      </c>
      <c r="I2912" t="s">
        <v>23</v>
      </c>
      <c r="J2912" s="2" t="str">
        <f>HYPERLINK("https://www.nba.com/stats/events?CFID=&amp;CFPARAMS=&amp;GameEventID=367&amp;GameID=0022301017&amp;Season=2023-24&amp;flag=1&amp;title=Leonard%20driving%20Layup%20(17%20PTS)%20(J.%20Harden%207%20AST)", "Driving Layup (17 PTS) (J. Harden 7 AST)")</f>
        <v>Driving Layup (17 PTS) (J. Harden 7 AST)</v>
      </c>
      <c r="K2912" s="2" t="str">
        <f>HYPERLINK("https://www.nba.com/game/...-vs-...-0022301017/play-by-play?watchFullGame=true", "LAC vs POR - Q3 08:32.00")</f>
        <v>LAC vs POR - Q3 08:32.00</v>
      </c>
      <c r="L2912">
        <v>2.5299999999999998</v>
      </c>
      <c r="M2912">
        <v>7.44</v>
      </c>
      <c r="N2912">
        <v>46.32</v>
      </c>
      <c r="O2912">
        <v>18</v>
      </c>
      <c r="P2912">
        <v>17</v>
      </c>
    </row>
    <row r="2913" spans="1:16" x14ac:dyDescent="0.25">
      <c r="A2913">
        <v>21401223</v>
      </c>
      <c r="B2913">
        <v>2014</v>
      </c>
      <c r="C2913" t="s">
        <v>32</v>
      </c>
      <c r="D2913" t="s">
        <v>57</v>
      </c>
      <c r="E2913">
        <v>79</v>
      </c>
      <c r="F2913">
        <v>63</v>
      </c>
      <c r="G2913">
        <v>3</v>
      </c>
      <c r="H2913" s="1">
        <v>1.5972222222222223E-3</v>
      </c>
      <c r="I2913" t="s">
        <v>18</v>
      </c>
      <c r="J2913" s="2" t="str">
        <f>HYPERLINK("https://www.nba.com/stats/events?CFID=&amp;CFPARAMS=&amp;GameEventID=297&amp;GameID=0021401223&amp;Season=2014-15&amp;flag=1&amp;title=Leonard%203'%20Layup%20(14%20PTS)%20(Diaw%204%20AST)", "Leonard 3' Layup (14 PTS) (Diaw 4 AST)")</f>
        <v>Leonard 3' Layup (14 PTS) (Diaw 4 AST)</v>
      </c>
      <c r="K2913" s="2" t="str">
        <f>HYPERLINK("https://www.nba.com/game/...-vs-...-0021401223/play-by-play?watchFullGame=true", "SAS vs NOP - Q3 02:18.00")</f>
        <v>SAS vs NOP - Q3 02:18.00</v>
      </c>
      <c r="L2913">
        <v>3</v>
      </c>
      <c r="M2913">
        <v>18</v>
      </c>
      <c r="N2913">
        <v>20</v>
      </c>
      <c r="O2913">
        <v>18</v>
      </c>
      <c r="P2913">
        <v>20</v>
      </c>
    </row>
    <row r="2914" spans="1:16" x14ac:dyDescent="0.25">
      <c r="A2914">
        <v>41200234</v>
      </c>
      <c r="B2914" t="s">
        <v>27</v>
      </c>
      <c r="C2914" t="s">
        <v>32</v>
      </c>
      <c r="D2914" t="s">
        <v>49</v>
      </c>
      <c r="E2914">
        <v>36</v>
      </c>
      <c r="F2914">
        <v>44</v>
      </c>
      <c r="G2914">
        <v>2</v>
      </c>
      <c r="H2914" s="1">
        <v>1.3078703703703703E-3</v>
      </c>
      <c r="I2914" t="s">
        <v>18</v>
      </c>
      <c r="J2914" s="2" t="str">
        <f>HYPERLINK("https://www.nba.com/stats/events?CFID=&amp;CFPARAMS=&amp;GameEventID=268&amp;GameID=0041200234&amp;Season=2012-13&amp;flag=1&amp;title=Leonard%203'%20Driving%20Layup%20(4%20PTS)", "Leonard 3' Driving Layup (4 PTS)")</f>
        <v>Leonard 3' Driving Layup (4 PTS)</v>
      </c>
      <c r="K2914" s="2" t="str">
        <f>HYPERLINK("https://www.nba.com/game/...-vs-...-0041200234/play-by-play?watchFullGame=true", "SAS vs GSW - Q2 01:53.00")</f>
        <v>SAS vs GSW - Q2 01:53.00</v>
      </c>
      <c r="L2914">
        <v>3</v>
      </c>
      <c r="M2914">
        <v>18</v>
      </c>
      <c r="N2914">
        <v>22</v>
      </c>
      <c r="O2914">
        <v>18</v>
      </c>
      <c r="P2914">
        <v>22</v>
      </c>
    </row>
    <row r="2915" spans="1:16" x14ac:dyDescent="0.25">
      <c r="A2915">
        <v>22000520</v>
      </c>
      <c r="B2915">
        <v>2020</v>
      </c>
      <c r="C2915" t="s">
        <v>32</v>
      </c>
      <c r="D2915" t="s">
        <v>44</v>
      </c>
      <c r="E2915">
        <v>61</v>
      </c>
      <c r="F2915">
        <v>55</v>
      </c>
      <c r="G2915">
        <v>3</v>
      </c>
      <c r="H2915" s="1">
        <v>6.053240740740741E-3</v>
      </c>
      <c r="I2915" t="s">
        <v>23</v>
      </c>
      <c r="J2915" s="2" t="str">
        <f>HYPERLINK("https://www.nba.com/stats/events?CFID=&amp;CFPARAMS=&amp;GameEventID=348&amp;GameID=0022000520&amp;Season=2020-21&amp;flag=1&amp;title=Leonard%20driving%20Hook%20(18%20PTS)", "Driving Hook (18 PTS)")</f>
        <v>Driving Hook (18 PTS)</v>
      </c>
      <c r="K2915" s="2" t="str">
        <f>HYPERLINK("https://www.nba.com/game/...-vs-...-0022000520/play-by-play?watchFullGame=true", "LAC vs MIL - Q3 08:43.00")</f>
        <v>LAC vs MIL - Q3 08:43.00</v>
      </c>
      <c r="L2915">
        <v>4.13</v>
      </c>
      <c r="M2915">
        <v>9.5399999999999991</v>
      </c>
      <c r="N2915">
        <v>46.39</v>
      </c>
      <c r="O2915">
        <v>18</v>
      </c>
      <c r="P2915">
        <v>37</v>
      </c>
    </row>
    <row r="2916" spans="1:16" x14ac:dyDescent="0.25">
      <c r="A2916">
        <v>21400139</v>
      </c>
      <c r="B2916">
        <v>2014</v>
      </c>
      <c r="C2916" t="s">
        <v>32</v>
      </c>
      <c r="D2916" t="s">
        <v>38</v>
      </c>
      <c r="E2916">
        <v>82</v>
      </c>
      <c r="F2916">
        <v>79</v>
      </c>
      <c r="G2916">
        <v>4</v>
      </c>
      <c r="H2916" s="1">
        <v>4.2939814814814811E-3</v>
      </c>
      <c r="I2916" t="s">
        <v>18</v>
      </c>
      <c r="J2916" s="2" t="str">
        <f>HYPERLINK("https://www.nba.com/stats/events?CFID=&amp;CFPARAMS=&amp;GameEventID=435&amp;GameID=0021400139&amp;Season=2014-15&amp;flag=1&amp;title=Leonard%205'%20Jump%20Bank%20Shot%20(16%20PTS)", "Leonard 5' Jump Bank Shot (16 PTS)")</f>
        <v>Leonard 5' Jump Bank Shot (16 PTS)</v>
      </c>
      <c r="K2916" s="2" t="str">
        <f>HYPERLINK("https://www.nba.com/game/...-vs-...-0021400139/play-by-play?watchFullGame=true", "SAS vs SAC - Q4 06:11.00")</f>
        <v>SAS vs SAC - Q4 06:11.00</v>
      </c>
      <c r="L2916">
        <v>5</v>
      </c>
      <c r="M2916">
        <v>18</v>
      </c>
      <c r="N2916">
        <v>42</v>
      </c>
      <c r="O2916">
        <v>18</v>
      </c>
      <c r="P2916">
        <v>42</v>
      </c>
    </row>
    <row r="2917" spans="1:16" x14ac:dyDescent="0.25">
      <c r="A2917">
        <v>42000176</v>
      </c>
      <c r="B2917" t="s">
        <v>83</v>
      </c>
      <c r="C2917" t="s">
        <v>32</v>
      </c>
      <c r="D2917" t="s">
        <v>19</v>
      </c>
      <c r="E2917">
        <v>72</v>
      </c>
      <c r="F2917">
        <v>73</v>
      </c>
      <c r="G2917">
        <v>3</v>
      </c>
      <c r="H2917" s="1">
        <v>1.0763888888888889E-3</v>
      </c>
      <c r="I2917" t="s">
        <v>23</v>
      </c>
      <c r="J2917" s="2" t="str">
        <f>HYPERLINK("https://www.nba.com/stats/events?CFID=&amp;CFPARAMS=&amp;GameEventID=431&amp;GameID=0042000176&amp;Season=2020-21&amp;flag=1&amp;title=Leonard%2012'%20pullup%20Jump%20Shot%20(33%20PTS)", "12' pullup Jump Shot (33 PTS)")</f>
        <v>12' pullup Jump Shot (33 PTS)</v>
      </c>
      <c r="K2917" s="2" t="str">
        <f>HYPERLINK("https://www.nba.com/game/...-vs-...-0042000176/play-by-play?watchFullGame=true", "LAC vs DAL - Q3 01:33.00")</f>
        <v>LAC vs DAL - Q3 01:33.00</v>
      </c>
      <c r="L2917">
        <v>12.61</v>
      </c>
      <c r="M2917">
        <v>18.350000000000001</v>
      </c>
      <c r="N2917">
        <v>42.23</v>
      </c>
      <c r="O2917">
        <v>18</v>
      </c>
      <c r="P2917">
        <v>42</v>
      </c>
    </row>
    <row r="2918" spans="1:16" x14ac:dyDescent="0.25">
      <c r="A2918">
        <v>42000174</v>
      </c>
      <c r="B2918" t="s">
        <v>83</v>
      </c>
      <c r="C2918" t="s">
        <v>32</v>
      </c>
      <c r="D2918" t="s">
        <v>19</v>
      </c>
      <c r="E2918">
        <v>62</v>
      </c>
      <c r="F2918">
        <v>84</v>
      </c>
      <c r="G2918">
        <v>4</v>
      </c>
      <c r="H2918" s="1">
        <v>7.858796296296296E-3</v>
      </c>
      <c r="I2918" t="s">
        <v>23</v>
      </c>
      <c r="J2918" s="2" t="str">
        <f>HYPERLINK("https://www.nba.com/stats/events?CFID=&amp;CFPARAMS=&amp;GameEventID=508&amp;GameID=0042000174&amp;Season=2020-21&amp;flag=1&amp;title=Leonard%2012'%20pullup%20Jump%20Shot%20(27%20PTS)", "12' pullup Jump Shot (27 PTS)")</f>
        <v>12' pullup Jump Shot (27 PTS)</v>
      </c>
      <c r="K2918" s="2" t="str">
        <f>HYPERLINK("https://www.nba.com/game/...-vs-...-0042000174/play-by-play?watchFullGame=true", "LAC vs DAL - Q4 11:19.00")</f>
        <v>LAC vs DAL - Q4 11:19.00</v>
      </c>
      <c r="L2918">
        <v>12.47</v>
      </c>
      <c r="M2918">
        <v>18.739999999999998</v>
      </c>
      <c r="N2918">
        <v>46.88</v>
      </c>
      <c r="O2918">
        <v>18</v>
      </c>
      <c r="P2918">
        <v>46</v>
      </c>
    </row>
    <row r="2919" spans="1:16" x14ac:dyDescent="0.25">
      <c r="A2919">
        <v>42200172</v>
      </c>
      <c r="B2919" t="s">
        <v>86</v>
      </c>
      <c r="C2919" t="s">
        <v>32</v>
      </c>
      <c r="D2919" t="s">
        <v>19</v>
      </c>
      <c r="E2919">
        <v>108</v>
      </c>
      <c r="F2919">
        <v>100</v>
      </c>
      <c r="G2919">
        <v>4</v>
      </c>
      <c r="H2919" s="1">
        <v>4.2708333333333331E-3</v>
      </c>
      <c r="I2919" t="s">
        <v>23</v>
      </c>
      <c r="J2919" s="2" t="str">
        <f>HYPERLINK("https://www.nba.com/stats/events?CFID=&amp;CFPARAMS=&amp;GameEventID=545&amp;GameID=0042200172&amp;Season=2022-23&amp;flag=1&amp;title=Leonard%2012'%20step%20back%20Jump%20Shot%20(26%20PTS)%20(R.%20Westbrook%204%20AST)", "12' step back Jump Shot (26 PTS) (R. Westbrook 4 AST)")</f>
        <v>12' step back Jump Shot (26 PTS) (R. Westbrook 4 AST)</v>
      </c>
      <c r="K2919" s="2" t="str">
        <f>HYPERLINK("https://www.nba.com/game/...-vs-...-0042200172/play-by-play?watchFullGame=true", "LAC vs PHX - Q4 06:09.00")</f>
        <v>LAC vs PHX - Q4 06:09.00</v>
      </c>
      <c r="L2919">
        <v>12.59</v>
      </c>
      <c r="M2919">
        <v>18.87</v>
      </c>
      <c r="N2919">
        <v>46.81</v>
      </c>
      <c r="O2919">
        <v>18</v>
      </c>
      <c r="P2919">
        <v>46</v>
      </c>
    </row>
    <row r="2920" spans="1:16" x14ac:dyDescent="0.25">
      <c r="A2920">
        <v>21400949</v>
      </c>
      <c r="B2920">
        <v>2014</v>
      </c>
      <c r="C2920" t="s">
        <v>32</v>
      </c>
      <c r="D2920" t="s">
        <v>19</v>
      </c>
      <c r="E2920">
        <v>69</v>
      </c>
      <c r="F2920">
        <v>43</v>
      </c>
      <c r="G2920">
        <v>3</v>
      </c>
      <c r="H2920" s="1">
        <v>6.076388888888889E-3</v>
      </c>
      <c r="I2920" t="s">
        <v>18</v>
      </c>
      <c r="J2920" s="2" t="str">
        <f>HYPERLINK("https://www.nba.com/stats/events?CFID=&amp;CFPARAMS=&amp;GameEventID=279&amp;GameID=0021400949&amp;Season=2014-15&amp;flag=1&amp;title=Leonard%206'%20Jump%20Shot%20(14%20PTS)%20(Parker%208%20AST)", "Leonard 6' Jump Shot (14 PTS) (Parker 8 AST)")</f>
        <v>Leonard 6' Jump Shot (14 PTS) (Parker 8 AST)</v>
      </c>
      <c r="K2920" s="2" t="str">
        <f>HYPERLINK("https://www.nba.com/game/...-vs-...-0021400949/play-by-play?watchFullGame=true", "SAS vs TOR - Q3 08:45.00")</f>
        <v>SAS vs TOR - Q3 08:45.00</v>
      </c>
      <c r="L2920">
        <v>6</v>
      </c>
      <c r="M2920">
        <v>18</v>
      </c>
      <c r="N2920">
        <v>55</v>
      </c>
      <c r="O2920">
        <v>18</v>
      </c>
      <c r="P2920">
        <v>55</v>
      </c>
    </row>
    <row r="2921" spans="1:16" x14ac:dyDescent="0.25">
      <c r="A2921">
        <v>22200991</v>
      </c>
      <c r="B2921">
        <v>2022</v>
      </c>
      <c r="C2921" t="s">
        <v>32</v>
      </c>
      <c r="D2921" t="s">
        <v>19</v>
      </c>
      <c r="E2921">
        <v>35</v>
      </c>
      <c r="F2921">
        <v>38</v>
      </c>
      <c r="G2921">
        <v>2</v>
      </c>
      <c r="H2921" s="1">
        <v>2.8240740740740739E-3</v>
      </c>
      <c r="I2921" t="s">
        <v>23</v>
      </c>
      <c r="J2921" s="2" t="str">
        <f>HYPERLINK("https://www.nba.com/stats/events?CFID=&amp;CFPARAMS=&amp;GameEventID=248&amp;GameID=0022200991&amp;Season=2022-23&amp;flag=1&amp;title=Leonard%20running%20pullup%20Jump%20Shot%20(11%20PTS)", "Running pullup Jump Shot (11 PTS)")</f>
        <v>Running pullup Jump Shot (11 PTS)</v>
      </c>
      <c r="K2921" s="2" t="str">
        <f>HYPERLINK("https://www.nba.com/game/...-vs-...-0022200991/play-by-play?watchFullGame=true", "LAC vs TOR - Q2 04:04.00")</f>
        <v>LAC vs TOR - Q2 04:04.00</v>
      </c>
      <c r="L2921">
        <v>5.75</v>
      </c>
      <c r="M2921">
        <v>88.62</v>
      </c>
      <c r="N2921">
        <v>53.68</v>
      </c>
      <c r="O2921">
        <v>18</v>
      </c>
      <c r="P2921">
        <v>55</v>
      </c>
    </row>
    <row r="2922" spans="1:16" x14ac:dyDescent="0.25">
      <c r="A2922">
        <v>22301052</v>
      </c>
      <c r="B2922">
        <v>2023</v>
      </c>
      <c r="C2922" t="s">
        <v>32</v>
      </c>
      <c r="D2922" t="s">
        <v>19</v>
      </c>
      <c r="E2922">
        <v>97</v>
      </c>
      <c r="F2922">
        <v>94</v>
      </c>
      <c r="G2922">
        <v>4</v>
      </c>
      <c r="H2922" s="1">
        <v>2.9976851851851853E-3</v>
      </c>
      <c r="I2922" t="s">
        <v>23</v>
      </c>
      <c r="J2922" s="2" t="str">
        <f>HYPERLINK("https://www.nba.com/stats/events?CFID=&amp;CFPARAMS=&amp;GameEventID=552&amp;GameID=0022301052&amp;Season=2023-24&amp;flag=1&amp;title=Leonard%20turnaround%20Jump%20Shot%20(11%20PTS)", "Turnaround Jump Shot (11 PTS)")</f>
        <v>Turnaround Jump Shot (11 PTS)</v>
      </c>
      <c r="K2922" s="2" t="str">
        <f>HYPERLINK("https://www.nba.com/game/...-vs-...-0022301052/play-by-play?watchFullGame=true", "LAC vs PHI - Q4 04:19.00")</f>
        <v>LAC vs PHI - Q4 04:19.00</v>
      </c>
      <c r="L2922">
        <v>5.96</v>
      </c>
      <c r="M2922">
        <v>11.61</v>
      </c>
      <c r="N2922">
        <v>46.32</v>
      </c>
      <c r="O2922">
        <v>18</v>
      </c>
      <c r="P2922">
        <v>57</v>
      </c>
    </row>
    <row r="2923" spans="1:16" x14ac:dyDescent="0.25">
      <c r="A2923">
        <v>21300914</v>
      </c>
      <c r="B2923">
        <v>2013</v>
      </c>
      <c r="C2923" t="s">
        <v>32</v>
      </c>
      <c r="D2923" t="s">
        <v>19</v>
      </c>
      <c r="E2923">
        <v>67</v>
      </c>
      <c r="F2923">
        <v>53</v>
      </c>
      <c r="G2923">
        <v>3</v>
      </c>
      <c r="H2923" s="1">
        <v>7.3148148148148148E-3</v>
      </c>
      <c r="I2923" t="s">
        <v>18</v>
      </c>
      <c r="J2923" s="2" t="str">
        <f>HYPERLINK("https://www.nba.com/stats/events?CFID=&amp;CFPARAMS=&amp;GameEventID=285&amp;GameID=0021300914&amp;Season=2013-14&amp;flag=1&amp;title=Leonard%207'%20Jump%20Shot%20(4%20PTS)", "Leonard 7' Jump Shot (4 PTS)")</f>
        <v>Leonard 7' Jump Shot (4 PTS)</v>
      </c>
      <c r="K2923" s="2" t="str">
        <f>HYPERLINK("https://www.nba.com/game/...-vs-...-0021300914/play-by-play?watchFullGame=true", "SAS vs MIA - Q3 10:32.00")</f>
        <v>SAS vs MIA - Q3 10:32.00</v>
      </c>
      <c r="L2923">
        <v>7</v>
      </c>
      <c r="M2923">
        <v>18</v>
      </c>
      <c r="N2923">
        <v>64</v>
      </c>
      <c r="O2923">
        <v>18</v>
      </c>
      <c r="P2923">
        <v>64</v>
      </c>
    </row>
    <row r="2924" spans="1:16" x14ac:dyDescent="0.25">
      <c r="A2924">
        <v>22300099</v>
      </c>
      <c r="B2924">
        <v>2023</v>
      </c>
      <c r="C2924" t="s">
        <v>32</v>
      </c>
      <c r="D2924" t="s">
        <v>19</v>
      </c>
      <c r="E2924">
        <v>35</v>
      </c>
      <c r="F2924">
        <v>21</v>
      </c>
      <c r="G2924">
        <v>2</v>
      </c>
      <c r="H2924" s="1">
        <v>4.6874999999999998E-3</v>
      </c>
      <c r="I2924" t="s">
        <v>23</v>
      </c>
      <c r="J2924" s="2" t="str">
        <f>HYPERLINK("https://www.nba.com/stats/events?CFID=&amp;CFPARAMS=&amp;GameEventID=259&amp;GameID=0022300099&amp;Season=2023-24&amp;flag=1&amp;title=Leonard%207'%20driving%20floating%20Jump%20Shot%20(7%20PTS)", "7' driving floating Jump Shot (7 PTS)")</f>
        <v>7' driving floating Jump Shot (7 PTS)</v>
      </c>
      <c r="K2924" s="2" t="str">
        <f>HYPERLINK("https://www.nba.com/game/...-vs-...-0022300099/play-by-play?watchFullGame=true", "LAC vs SAS - Q2 06:45.00")</f>
        <v>LAC vs SAS - Q2 06:45.00</v>
      </c>
      <c r="L2924">
        <v>7.77</v>
      </c>
      <c r="M2924">
        <v>86.38</v>
      </c>
      <c r="N2924">
        <v>53.68</v>
      </c>
      <c r="O2924">
        <v>18</v>
      </c>
      <c r="P2924">
        <v>75</v>
      </c>
    </row>
    <row r="2925" spans="1:16" x14ac:dyDescent="0.25">
      <c r="A2925">
        <v>21900239</v>
      </c>
      <c r="B2925">
        <v>2019</v>
      </c>
      <c r="C2925" t="s">
        <v>32</v>
      </c>
      <c r="D2925" t="s">
        <v>22</v>
      </c>
      <c r="E2925">
        <v>57</v>
      </c>
      <c r="F2925">
        <v>35</v>
      </c>
      <c r="G2925">
        <v>2</v>
      </c>
      <c r="H2925" s="1">
        <v>4.8032407407407407E-3</v>
      </c>
      <c r="I2925" t="s">
        <v>23</v>
      </c>
      <c r="J2925" s="2" t="str">
        <f>HYPERLINK("https://www.nba.com/stats/events?CFID=&amp;CFPARAMS=&amp;GameEventID=244&amp;GameID=0021900239&amp;Season=2019-20&amp;flag=1&amp;title=Leonard%2012'%20jumpshot%20(16%20PTS)", "12' jumpshot (16 PTS)")</f>
        <v>12' jumpshot (16 PTS)</v>
      </c>
      <c r="K2925" s="2" t="str">
        <f>HYPERLINK("https://www.nba.com/game/...-vs-...-0021900239/play-by-play?watchFullGame=true", "LAC vs NOP - Q2 06:55.00")</f>
        <v>LAC vs NOP - Q2 06:55.00</v>
      </c>
      <c r="L2925">
        <v>11.7</v>
      </c>
      <c r="M2925">
        <v>82.7</v>
      </c>
      <c r="N2925">
        <v>53.61</v>
      </c>
      <c r="O2925">
        <v>18</v>
      </c>
      <c r="P2925">
        <v>110</v>
      </c>
    </row>
    <row r="2926" spans="1:16" x14ac:dyDescent="0.25">
      <c r="A2926">
        <v>21900251</v>
      </c>
      <c r="B2926">
        <v>2019</v>
      </c>
      <c r="C2926" t="s">
        <v>32</v>
      </c>
      <c r="D2926" t="s">
        <v>22</v>
      </c>
      <c r="E2926">
        <v>88</v>
      </c>
      <c r="F2926">
        <v>108</v>
      </c>
      <c r="G2926">
        <v>4</v>
      </c>
      <c r="H2926" s="1">
        <v>2.8240740740740739E-3</v>
      </c>
      <c r="I2926" t="s">
        <v>23</v>
      </c>
      <c r="J2926" s="2" t="str">
        <f>HYPERLINK("https://www.nba.com/stats/events?CFID=&amp;CFPARAMS=&amp;GameEventID=653&amp;GameID=0021900251&amp;Season=2019-20&amp;flag=1&amp;title=Leonard%2012'%20jumpshot%20(28%20PTS)", "12' jumpshot (28 PTS)")</f>
        <v>12' jumpshot (28 PTS)</v>
      </c>
      <c r="K2926" s="2" t="str">
        <f>HYPERLINK("https://www.nba.com/game/...-vs-...-0021900251/play-by-play?watchFullGame=true", "LAC vs DAL - Q4 04:04.00")</f>
        <v>LAC vs DAL - Q4 04:04.00</v>
      </c>
      <c r="L2926">
        <v>11.78</v>
      </c>
      <c r="M2926">
        <v>82.61</v>
      </c>
      <c r="N2926">
        <v>53.5</v>
      </c>
      <c r="O2926">
        <v>18</v>
      </c>
      <c r="P2926">
        <v>111</v>
      </c>
    </row>
    <row r="2927" spans="1:16" x14ac:dyDescent="0.25">
      <c r="A2927">
        <v>22300618</v>
      </c>
      <c r="B2927">
        <v>2023</v>
      </c>
      <c r="C2927" t="s">
        <v>32</v>
      </c>
      <c r="D2927" t="s">
        <v>19</v>
      </c>
      <c r="E2927">
        <v>79</v>
      </c>
      <c r="F2927">
        <v>66</v>
      </c>
      <c r="G2927">
        <v>3</v>
      </c>
      <c r="H2927" s="1">
        <v>7.9398148148148145E-3</v>
      </c>
      <c r="I2927" t="s">
        <v>23</v>
      </c>
      <c r="J2927" s="2" t="str">
        <f>HYPERLINK("https://www.nba.com/stats/events?CFID=&amp;CFPARAMS=&amp;GameEventID=316&amp;GameID=0022300618&amp;Season=2023-24&amp;flag=1&amp;title=Leonard%2012'%20pullup%20Jump%20Shot%20(16%20PTS)", "12' pullup Jump Shot (16 PTS)")</f>
        <v>12' pullup Jump Shot (16 PTS)</v>
      </c>
      <c r="K2927" s="2" t="str">
        <f>HYPERLINK("https://www.nba.com/game/...-vs-...-0022300618/play-by-play?watchFullGame=true", "LAC vs LAL - Q3 11:26.00")</f>
        <v>LAC vs LAL - Q3 11:26.00</v>
      </c>
      <c r="L2927">
        <v>12.21</v>
      </c>
      <c r="M2927">
        <v>18.579999999999998</v>
      </c>
      <c r="N2927">
        <v>50</v>
      </c>
      <c r="O2927">
        <v>18</v>
      </c>
      <c r="P2927">
        <v>122</v>
      </c>
    </row>
    <row r="2928" spans="1:16" x14ac:dyDescent="0.25">
      <c r="A2928">
        <v>22000756</v>
      </c>
      <c r="B2928">
        <v>2020</v>
      </c>
      <c r="C2928" t="s">
        <v>32</v>
      </c>
      <c r="D2928" t="s">
        <v>19</v>
      </c>
      <c r="E2928">
        <v>96</v>
      </c>
      <c r="F2928">
        <v>75</v>
      </c>
      <c r="G2928">
        <v>4</v>
      </c>
      <c r="H2928" s="1">
        <v>3.0555555555555557E-3</v>
      </c>
      <c r="I2928" t="s">
        <v>23</v>
      </c>
      <c r="J2928" s="2" t="str">
        <f>HYPERLINK("https://www.nba.com/stats/events?CFID=&amp;CFPARAMS=&amp;GameEventID=581&amp;GameID=0022000756&amp;Season=2020-21&amp;flag=1&amp;title=Leonard%2012'%20fadeaway%20Jump%20Shot%20(19%20PTS)", "12' fadeaway Jump Shot (19 PTS)")</f>
        <v>12' fadeaway Jump Shot (19 PTS)</v>
      </c>
      <c r="K2928" s="2" t="str">
        <f>HYPERLINK("https://www.nba.com/game/...-vs-...-0022000756/play-by-play?watchFullGame=true", "LAC vs LAL - Q4 04:24.00")</f>
        <v>LAC vs LAL - Q4 04:24.00</v>
      </c>
      <c r="L2928">
        <v>12.99</v>
      </c>
      <c r="M2928">
        <v>19.27</v>
      </c>
      <c r="N2928">
        <v>46.39</v>
      </c>
      <c r="O2928">
        <v>18</v>
      </c>
      <c r="P2928">
        <v>129</v>
      </c>
    </row>
    <row r="2929" spans="1:16" x14ac:dyDescent="0.25">
      <c r="A2929">
        <v>21301186</v>
      </c>
      <c r="B2929">
        <v>2013</v>
      </c>
      <c r="C2929" t="s">
        <v>32</v>
      </c>
      <c r="D2929" t="s">
        <v>19</v>
      </c>
      <c r="E2929">
        <v>97</v>
      </c>
      <c r="F2929">
        <v>95</v>
      </c>
      <c r="G2929">
        <v>4</v>
      </c>
      <c r="H2929" s="1">
        <v>3.3101851851851851E-3</v>
      </c>
      <c r="I2929" t="s">
        <v>18</v>
      </c>
      <c r="J2929" s="2" t="str">
        <f>HYPERLINK("https://www.nba.com/stats/events?CFID=&amp;CFPARAMS=&amp;GameEventID=440&amp;GameID=0021301186&amp;Season=2013-14&amp;flag=1&amp;title=Leonard%2016'%20Jump%20Shot%20(15%20PTS)%20(Mills%204%20AST)", "Leonard 16' Jump Shot (15 PTS) (Mills 4 AST)")</f>
        <v>Leonard 16' Jump Shot (15 PTS) (Mills 4 AST)</v>
      </c>
      <c r="K2929" s="2" t="str">
        <f>HYPERLINK("https://www.nba.com/game/...-vs-...-0021301186/play-by-play?watchFullGame=true", "SAS vs PHX - Q4 04:46.00")</f>
        <v>SAS vs PHX - Q4 04:46.00</v>
      </c>
      <c r="L2929">
        <v>16</v>
      </c>
      <c r="M2929">
        <v>18</v>
      </c>
      <c r="N2929">
        <v>159</v>
      </c>
      <c r="O2929">
        <v>18</v>
      </c>
      <c r="P2929">
        <v>159</v>
      </c>
    </row>
    <row r="2930" spans="1:16" x14ac:dyDescent="0.25">
      <c r="A2930">
        <v>21400637</v>
      </c>
      <c r="B2930">
        <v>2014</v>
      </c>
      <c r="C2930" t="s">
        <v>32</v>
      </c>
      <c r="D2930" t="s">
        <v>19</v>
      </c>
      <c r="E2930">
        <v>41</v>
      </c>
      <c r="F2930">
        <v>38</v>
      </c>
      <c r="G2930">
        <v>2</v>
      </c>
      <c r="H2930" s="1">
        <v>1.0648148148148149E-3</v>
      </c>
      <c r="I2930" t="s">
        <v>18</v>
      </c>
      <c r="J2930" s="2" t="str">
        <f>HYPERLINK("https://www.nba.com/stats/events?CFID=&amp;CFPARAMS=&amp;GameEventID=214&amp;GameID=0021400637&amp;Season=2014-15&amp;flag=1&amp;title=Leonard%2019'%20Jump%20Shot%20(14%20PTS)%20(Mills%202%20AST)", "Leonard 19' Jump Shot (14 PTS) (Mills 2 AST)")</f>
        <v>Leonard 19' Jump Shot (14 PTS) (Mills 2 AST)</v>
      </c>
      <c r="K2930" s="2" t="str">
        <f>HYPERLINK("https://www.nba.com/game/...-vs-...-0021400637/play-by-play?watchFullGame=true", "SAS vs CHI - Q2 01:32.00")</f>
        <v>SAS vs CHI - Q2 01:32.00</v>
      </c>
      <c r="L2930">
        <v>19</v>
      </c>
      <c r="M2930">
        <v>18</v>
      </c>
      <c r="N2930">
        <v>194</v>
      </c>
      <c r="O2930">
        <v>18</v>
      </c>
      <c r="P2930">
        <v>194</v>
      </c>
    </row>
    <row r="2931" spans="1:16" x14ac:dyDescent="0.25">
      <c r="A2931">
        <v>21500040</v>
      </c>
      <c r="B2931">
        <v>2015</v>
      </c>
      <c r="C2931" t="s">
        <v>32</v>
      </c>
      <c r="D2931" t="s">
        <v>49</v>
      </c>
      <c r="E2931">
        <v>2</v>
      </c>
      <c r="F2931">
        <v>3</v>
      </c>
      <c r="G2931">
        <v>1</v>
      </c>
      <c r="H2931" s="1">
        <v>5.8333333333333336E-3</v>
      </c>
      <c r="I2931" t="s">
        <v>18</v>
      </c>
      <c r="J2931" s="2" t="str">
        <f>HYPERLINK("https://www.nba.com/stats/events?CFID=&amp;CFPARAMS=&amp;GameEventID=27&amp;GameID=0021500040&amp;Season=2015-16&amp;flag=1&amp;title=Leonard%202'%20Driving%20Layup%20(2%20PTS)%20(Aldridge%201%20AST)", "Leonard 2' Driving Layup (2 PTS) (Aldridge 1 AST)")</f>
        <v>Leonard 2' Driving Layup (2 PTS) (Aldridge 1 AST)</v>
      </c>
      <c r="K2931" s="2" t="str">
        <f>HYPERLINK("https://www.nba.com/game/...-vs-...-0021500040/play-by-play?watchFullGame=true", "SAS vs BOS - Q1 08:24.00")</f>
        <v>SAS vs BOS - Q1 08:24.00</v>
      </c>
      <c r="L2931">
        <v>2</v>
      </c>
      <c r="M2931">
        <v>19</v>
      </c>
      <c r="N2931">
        <v>-6</v>
      </c>
      <c r="O2931">
        <v>19</v>
      </c>
      <c r="P2931">
        <v>-6</v>
      </c>
    </row>
    <row r="2932" spans="1:16" x14ac:dyDescent="0.25">
      <c r="A2932">
        <v>21500275</v>
      </c>
      <c r="B2932">
        <v>2015</v>
      </c>
      <c r="C2932" t="s">
        <v>32</v>
      </c>
      <c r="D2932" t="s">
        <v>55</v>
      </c>
      <c r="E2932">
        <v>23</v>
      </c>
      <c r="F2932">
        <v>15</v>
      </c>
      <c r="G2932">
        <v>1</v>
      </c>
      <c r="H2932" s="1">
        <v>1.9675925925925924E-3</v>
      </c>
      <c r="I2932" t="s">
        <v>18</v>
      </c>
      <c r="J2932" s="2" t="str">
        <f>HYPERLINK("https://www.nba.com/stats/events?CFID=&amp;CFPARAMS=&amp;GameEventID=107&amp;GameID=0021500275&amp;Season=2015-16&amp;flag=1&amp;title=Leonard%202'%20Driving%20Reverse%20Layup%20(7%20PTS)%20(Mills%201%20AST)", "Leonard 2' Driving Reverse Layup (7 PTS) (Mills 1 AST)")</f>
        <v>Leonard 2' Driving Reverse Layup (7 PTS) (Mills 1 AST)</v>
      </c>
      <c r="K2932" s="2" t="str">
        <f>HYPERLINK("https://www.nba.com/game/...-vs-...-0021500275/play-by-play?watchFullGame=true", "SAS vs MIL - Q1 02:50.00")</f>
        <v>SAS vs MIL - Q1 02:50.00</v>
      </c>
      <c r="L2932">
        <v>2</v>
      </c>
      <c r="M2932">
        <v>19</v>
      </c>
      <c r="N2932">
        <v>-6</v>
      </c>
      <c r="O2932">
        <v>19</v>
      </c>
      <c r="P2932">
        <v>-6</v>
      </c>
    </row>
    <row r="2933" spans="1:16" x14ac:dyDescent="0.25">
      <c r="A2933">
        <v>21400069</v>
      </c>
      <c r="B2933">
        <v>2014</v>
      </c>
      <c r="C2933" t="s">
        <v>32</v>
      </c>
      <c r="D2933" t="s">
        <v>57</v>
      </c>
      <c r="E2933">
        <v>45</v>
      </c>
      <c r="F2933">
        <v>31</v>
      </c>
      <c r="G2933">
        <v>3</v>
      </c>
      <c r="H2933" s="1">
        <v>8.1481481481481474E-3</v>
      </c>
      <c r="I2933" t="s">
        <v>18</v>
      </c>
      <c r="J2933" s="2" t="str">
        <f>HYPERLINK("https://www.nba.com/stats/events?CFID=&amp;CFPARAMS=&amp;GameEventID=285&amp;GameID=0021400069&amp;Season=2014-15&amp;flag=1&amp;title=Leonard%202'%20Layup%20(5%20PTS)%20(Diaw%202%20AST)", "Leonard 2' Layup (5 PTS) (Diaw 2 AST)")</f>
        <v>Leonard 2' Layup (5 PTS) (Diaw 2 AST)</v>
      </c>
      <c r="K2933" s="2" t="str">
        <f>HYPERLINK("https://www.nba.com/game/...-vs-...-0021400069/play-by-play?watchFullGame=true", "SAS vs HOU - Q3 11:44.00")</f>
        <v>SAS vs HOU - Q3 11:44.00</v>
      </c>
      <c r="L2933">
        <v>2</v>
      </c>
      <c r="M2933">
        <v>19</v>
      </c>
      <c r="N2933">
        <v>6</v>
      </c>
      <c r="O2933">
        <v>19</v>
      </c>
      <c r="P2933">
        <v>6</v>
      </c>
    </row>
    <row r="2934" spans="1:16" x14ac:dyDescent="0.25">
      <c r="A2934">
        <v>21501043</v>
      </c>
      <c r="B2934">
        <v>2015</v>
      </c>
      <c r="C2934" t="s">
        <v>32</v>
      </c>
      <c r="D2934" t="s">
        <v>75</v>
      </c>
      <c r="E2934">
        <v>80</v>
      </c>
      <c r="F2934">
        <v>80</v>
      </c>
      <c r="G2934">
        <v>4</v>
      </c>
      <c r="H2934" s="1">
        <v>4.2824074074074075E-3</v>
      </c>
      <c r="I2934" t="s">
        <v>18</v>
      </c>
      <c r="J2934" s="2" t="str">
        <f>HYPERLINK("https://www.nba.com/stats/events?CFID=&amp;CFPARAMS=&amp;GameEventID=437&amp;GameID=0021501043&amp;Season=2015-16&amp;flag=1&amp;title=Leonard%202'%20Cutting%20Layup%20Shot%20(13%20PTS)%20(West%201%20AST)", "Leonard 2' Cutting Layup Shot (13 PTS) (West 1 AST)")</f>
        <v>Leonard 2' Cutting Layup Shot (13 PTS) (West 1 AST)</v>
      </c>
      <c r="K2934" s="2" t="str">
        <f>HYPERLINK("https://www.nba.com/game/...-vs-...-0021501043/play-by-play?watchFullGame=true", "SAS vs CHA - Q4 06:10.00")</f>
        <v>SAS vs CHA - Q4 06:10.00</v>
      </c>
      <c r="L2934">
        <v>2</v>
      </c>
      <c r="M2934">
        <v>19</v>
      </c>
      <c r="N2934">
        <v>7</v>
      </c>
      <c r="O2934">
        <v>19</v>
      </c>
      <c r="P2934">
        <v>7</v>
      </c>
    </row>
    <row r="2935" spans="1:16" x14ac:dyDescent="0.25">
      <c r="A2935">
        <v>22200639</v>
      </c>
      <c r="B2935">
        <v>2022</v>
      </c>
      <c r="C2935" t="s">
        <v>32</v>
      </c>
      <c r="D2935" t="s">
        <v>48</v>
      </c>
      <c r="E2935">
        <v>76</v>
      </c>
      <c r="F2935">
        <v>81</v>
      </c>
      <c r="G2935">
        <v>3</v>
      </c>
      <c r="H2935" s="1">
        <v>1.4467592592592592E-3</v>
      </c>
      <c r="I2935" t="s">
        <v>23</v>
      </c>
      <c r="J2935" s="2" t="str">
        <f>HYPERLINK("https://www.nba.com/stats/events?CFID=&amp;CFPARAMS=&amp;GameEventID=385&amp;GameID=0022200639&amp;Season=2022-23&amp;flag=1&amp;title=Leonard%20driving%20DUNK%20(20%20PTS)%20(J.%20Wall%202%20AST)", "Driving DUNK (20 PTS) (J. Wall 2 AST)")</f>
        <v>Driving DUNK (20 PTS) (J. Wall 2 AST)</v>
      </c>
      <c r="K2935" s="2" t="str">
        <f>HYPERLINK("https://www.nba.com/game/...-vs-...-0022200639/play-by-play?watchFullGame=true", "LAC vs DEN - Q3 02:05.00")</f>
        <v>LAC vs DEN - Q3 02:05.00</v>
      </c>
      <c r="L2935">
        <v>2.0499999999999998</v>
      </c>
      <c r="M2935">
        <v>6.44</v>
      </c>
      <c r="N2935">
        <v>46.22</v>
      </c>
      <c r="O2935">
        <v>19</v>
      </c>
      <c r="P2935">
        <v>8</v>
      </c>
    </row>
    <row r="2936" spans="1:16" x14ac:dyDescent="0.25">
      <c r="A2936">
        <v>21601161</v>
      </c>
      <c r="B2936">
        <v>2016</v>
      </c>
      <c r="C2936" t="s">
        <v>32</v>
      </c>
      <c r="D2936" t="s">
        <v>56</v>
      </c>
      <c r="E2936">
        <v>29</v>
      </c>
      <c r="F2936">
        <v>30</v>
      </c>
      <c r="G2936">
        <v>2</v>
      </c>
      <c r="H2936" s="1">
        <v>1.8518518518518519E-3</v>
      </c>
      <c r="I2936" t="s">
        <v>18</v>
      </c>
      <c r="J2936" s="2" t="str">
        <f>HYPERLINK("https://www.nba.com/stats/events?CFID=&amp;CFPARAMS=&amp;GameEventID=211&amp;GameID=0021601161&amp;Season=2016-17&amp;flag=1&amp;title=Leonard%202'%20Running%20Layup%20(7%20PTS)", "Leonard 2' Running Layup (7 PTS)")</f>
        <v>Leonard 2' Running Layup (7 PTS)</v>
      </c>
      <c r="K2936" s="2" t="str">
        <f>HYPERLINK("https://www.nba.com/game/...-vs-...-0021601161/play-by-play?watchFullGame=true", "SAS vs MEM - Q2 02:40.00")</f>
        <v>SAS vs MEM - Q2 02:40.00</v>
      </c>
      <c r="L2936">
        <v>2</v>
      </c>
      <c r="M2936">
        <v>19</v>
      </c>
      <c r="N2936">
        <v>8</v>
      </c>
      <c r="O2936">
        <v>19</v>
      </c>
      <c r="P2936">
        <v>8</v>
      </c>
    </row>
    <row r="2937" spans="1:16" x14ac:dyDescent="0.25">
      <c r="A2937">
        <v>21600825</v>
      </c>
      <c r="B2937">
        <v>2016</v>
      </c>
      <c r="C2937" t="s">
        <v>32</v>
      </c>
      <c r="D2937" t="s">
        <v>60</v>
      </c>
      <c r="E2937">
        <v>66</v>
      </c>
      <c r="F2937">
        <v>66</v>
      </c>
      <c r="G2937">
        <v>3</v>
      </c>
      <c r="H2937" s="1">
        <v>3.5995370370370369E-3</v>
      </c>
      <c r="I2937" t="s">
        <v>18</v>
      </c>
      <c r="J2937" s="2" t="str">
        <f>HYPERLINK("https://www.nba.com/stats/events?CFID=&amp;CFPARAMS=&amp;GameEventID=309&amp;GameID=0021600825&amp;Season=2016-17&amp;flag=1&amp;title=Leonard%202'%20Alley%20Oop%20Dunk%20(22%20PTS)%20(Parker%204%20AST)", "Leonard 2' Alley Oop Dunk (22 PTS) (Parker 4 AST)")</f>
        <v>Leonard 2' Alley Oop Dunk (22 PTS) (Parker 4 AST)</v>
      </c>
      <c r="K2937" s="2" t="str">
        <f>HYPERLINK("https://www.nba.com/game/...-vs-...-0021600825/play-by-play?watchFullGame=true", "SAS vs IND - Q3 05:11.00")</f>
        <v>SAS vs IND - Q3 05:11.00</v>
      </c>
      <c r="L2937">
        <v>2</v>
      </c>
      <c r="M2937">
        <v>19</v>
      </c>
      <c r="N2937">
        <v>11</v>
      </c>
      <c r="O2937">
        <v>19</v>
      </c>
      <c r="P2937">
        <v>11</v>
      </c>
    </row>
    <row r="2938" spans="1:16" x14ac:dyDescent="0.25">
      <c r="A2938">
        <v>21901241</v>
      </c>
      <c r="B2938">
        <v>2019</v>
      </c>
      <c r="C2938" t="s">
        <v>32</v>
      </c>
      <c r="D2938" t="s">
        <v>50</v>
      </c>
      <c r="E2938">
        <v>81</v>
      </c>
      <c r="F2938">
        <v>49</v>
      </c>
      <c r="G2938">
        <v>3</v>
      </c>
      <c r="H2938" s="1">
        <v>6.7476851851851856E-3</v>
      </c>
      <c r="I2938" t="s">
        <v>23</v>
      </c>
      <c r="J2938" s="2" t="str">
        <f>HYPERLINK("https://www.nba.com/stats/events?CFID=&amp;CFPARAMS=&amp;GameEventID=373&amp;GameID=0021901241&amp;Season=2019-20&amp;flag=1&amp;title=Leonard%20layup%20(20%20PTS)", "Layup (20 PTS)")</f>
        <v>Layup (20 PTS)</v>
      </c>
      <c r="K2938" s="2" t="str">
        <f>HYPERLINK("https://www.nba.com/game/...-vs-...-0021901241/play-by-play?watchFullGame=true", "LAC vs NOP - Q3 09:43.00")</f>
        <v>LAC vs NOP - Q3 09:43.00</v>
      </c>
      <c r="L2938">
        <v>2.57</v>
      </c>
      <c r="M2938">
        <v>93.12</v>
      </c>
      <c r="N2938">
        <v>53.75</v>
      </c>
      <c r="O2938">
        <v>19</v>
      </c>
      <c r="P2938">
        <v>12</v>
      </c>
    </row>
    <row r="2939" spans="1:16" x14ac:dyDescent="0.25">
      <c r="A2939">
        <v>21500103</v>
      </c>
      <c r="B2939">
        <v>2015</v>
      </c>
      <c r="C2939" t="s">
        <v>32</v>
      </c>
      <c r="D2939" t="s">
        <v>49</v>
      </c>
      <c r="E2939">
        <v>45</v>
      </c>
      <c r="F2939">
        <v>51</v>
      </c>
      <c r="G2939">
        <v>3</v>
      </c>
      <c r="H2939" s="1">
        <v>7.7199074074074071E-3</v>
      </c>
      <c r="I2939" t="s">
        <v>18</v>
      </c>
      <c r="J2939" s="2" t="str">
        <f>HYPERLINK("https://www.nba.com/stats/events?CFID=&amp;CFPARAMS=&amp;GameEventID=254&amp;GameID=0021500103&amp;Season=2015-16&amp;flag=1&amp;title=Leonard%202'%20Driving%20Layup%20(13%20PTS)", "Leonard 2' Driving Layup (13 PTS)")</f>
        <v>Leonard 2' Driving Layup (13 PTS)</v>
      </c>
      <c r="K2939" s="2" t="str">
        <f>HYPERLINK("https://www.nba.com/game/...-vs-...-0021500103/play-by-play?watchFullGame=true", "SAS vs SAC - Q3 11:07.00")</f>
        <v>SAS vs SAC - Q3 11:07.00</v>
      </c>
      <c r="L2939">
        <v>2</v>
      </c>
      <c r="M2939">
        <v>19</v>
      </c>
      <c r="N2939">
        <v>13</v>
      </c>
      <c r="O2939">
        <v>19</v>
      </c>
      <c r="P2939">
        <v>13</v>
      </c>
    </row>
    <row r="2940" spans="1:16" x14ac:dyDescent="0.25">
      <c r="A2940">
        <v>21600309</v>
      </c>
      <c r="B2940">
        <v>2016</v>
      </c>
      <c r="C2940" t="s">
        <v>32</v>
      </c>
      <c r="D2940" t="s">
        <v>58</v>
      </c>
      <c r="E2940">
        <v>90</v>
      </c>
      <c r="F2940">
        <v>89</v>
      </c>
      <c r="G2940">
        <v>4</v>
      </c>
      <c r="H2940" s="1">
        <v>3.1481481481481482E-3</v>
      </c>
      <c r="I2940" t="s">
        <v>18</v>
      </c>
      <c r="J2940" s="2" t="str">
        <f>HYPERLINK("https://www.nba.com/stats/events?CFID=&amp;CFPARAMS=&amp;GameEventID=526&amp;GameID=0021600309&amp;Season=2016-17&amp;flag=1&amp;title=Leonard%202'%20Driving%20Bank%20Hook%20Shot%20(17%20PTS)%20(Ginobili%201%20AST)", "Leonard 2' Driving Bank Hook Shot (17 PTS) (Ginobili 1 AST)")</f>
        <v>Leonard 2' Driving Bank Hook Shot (17 PTS) (Ginobili 1 AST)</v>
      </c>
      <c r="K2940" s="2" t="str">
        <f>HYPERLINK("https://www.nba.com/game/...-vs-...-0021600309/play-by-play?watchFullGame=true", "SAS vs MIL - Q4 04:32.00")</f>
        <v>SAS vs MIL - Q4 04:32.00</v>
      </c>
      <c r="L2940">
        <v>2</v>
      </c>
      <c r="M2940">
        <v>19</v>
      </c>
      <c r="N2940">
        <v>16</v>
      </c>
      <c r="O2940">
        <v>19</v>
      </c>
      <c r="P2940">
        <v>16</v>
      </c>
    </row>
    <row r="2941" spans="1:16" x14ac:dyDescent="0.25">
      <c r="A2941">
        <v>41500233</v>
      </c>
      <c r="B2941" t="s">
        <v>25</v>
      </c>
      <c r="C2941" t="s">
        <v>32</v>
      </c>
      <c r="D2941" t="s">
        <v>56</v>
      </c>
      <c r="E2941">
        <v>89</v>
      </c>
      <c r="F2941">
        <v>94</v>
      </c>
      <c r="G2941">
        <v>4</v>
      </c>
      <c r="H2941" s="1">
        <v>1.2847222222222223E-3</v>
      </c>
      <c r="I2941" t="s">
        <v>18</v>
      </c>
      <c r="J2941" s="2" t="str">
        <f>HYPERLINK("https://www.nba.com/stats/events?CFID=&amp;CFPARAMS=&amp;GameEventID=494&amp;GameID=0041500233&amp;Season=2015-16&amp;flag=1&amp;title=Leonard%203'%20Running%20Layup%20(29%20PTS)", "Leonard 3' Running Layup (29 PTS)")</f>
        <v>Leonard 3' Running Layup (29 PTS)</v>
      </c>
      <c r="K2941" s="2" t="str">
        <f>HYPERLINK("https://www.nba.com/game/...-vs-...-0041500233/play-by-play?watchFullGame=true", "SAS vs OKC - Q4 01:51.00")</f>
        <v>SAS vs OKC - Q4 01:51.00</v>
      </c>
      <c r="L2941">
        <v>3</v>
      </c>
      <c r="M2941">
        <v>19</v>
      </c>
      <c r="N2941">
        <v>18</v>
      </c>
      <c r="O2941">
        <v>19</v>
      </c>
      <c r="P2941">
        <v>18</v>
      </c>
    </row>
    <row r="2942" spans="1:16" x14ac:dyDescent="0.25">
      <c r="A2942">
        <v>21500960</v>
      </c>
      <c r="B2942">
        <v>2015</v>
      </c>
      <c r="C2942" t="s">
        <v>32</v>
      </c>
      <c r="D2942" t="s">
        <v>57</v>
      </c>
      <c r="E2942">
        <v>96</v>
      </c>
      <c r="F2942">
        <v>90</v>
      </c>
      <c r="G2942">
        <v>4</v>
      </c>
      <c r="H2942" s="1">
        <v>4.2129629629629626E-3</v>
      </c>
      <c r="I2942" t="s">
        <v>18</v>
      </c>
      <c r="J2942" s="2" t="str">
        <f>HYPERLINK("https://www.nba.com/stats/events?CFID=&amp;CFPARAMS=&amp;GameEventID=438&amp;GameID=0021500960&amp;Season=2015-16&amp;flag=1&amp;title=Leonard%204'%20Layup%20(26%20PTS)%20(Parker%2010%20AST)", "Leonard 4' Layup (26 PTS) (Parker 10 AST)")</f>
        <v>Leonard 4' Layup (26 PTS) (Parker 10 AST)</v>
      </c>
      <c r="K2942" s="2" t="str">
        <f>HYPERLINK("https://www.nba.com/game/...-vs-...-0021500960/play-by-play?watchFullGame=true", "SAS vs CHI - Q4 06:04.00")</f>
        <v>SAS vs CHI - Q4 06:04.00</v>
      </c>
      <c r="L2942">
        <v>4</v>
      </c>
      <c r="M2942">
        <v>19</v>
      </c>
      <c r="N2942">
        <v>36</v>
      </c>
      <c r="O2942">
        <v>19</v>
      </c>
      <c r="P2942">
        <v>36</v>
      </c>
    </row>
    <row r="2943" spans="1:16" x14ac:dyDescent="0.25">
      <c r="A2943">
        <v>21900653</v>
      </c>
      <c r="B2943">
        <v>2019</v>
      </c>
      <c r="C2943" t="s">
        <v>32</v>
      </c>
      <c r="D2943" t="s">
        <v>22</v>
      </c>
      <c r="E2943">
        <v>66</v>
      </c>
      <c r="F2943">
        <v>77</v>
      </c>
      <c r="G2943">
        <v>3</v>
      </c>
      <c r="H2943" s="1">
        <v>2.7314814814814814E-3</v>
      </c>
      <c r="I2943" t="s">
        <v>23</v>
      </c>
      <c r="J2943" s="2" t="str">
        <f>HYPERLINK("https://www.nba.com/stats/events?CFID=&amp;CFPARAMS=&amp;GameEventID=487&amp;GameID=0021900653&amp;Season=2019-20&amp;flag=1&amp;title=Leonard%20jumpshot%20(23%20PTS)", "Jumpshot (23 PTS)")</f>
        <v>Jumpshot (23 PTS)</v>
      </c>
      <c r="K2943" s="2" t="str">
        <f>HYPERLINK("https://www.nba.com/game/...-vs-...-0021900653/play-by-play?watchFullGame=true", "LAC vs DAL - Q3 03:56.00")</f>
        <v>LAC vs DAL - Q3 03:56.00</v>
      </c>
      <c r="L2943">
        <v>4.84</v>
      </c>
      <c r="M2943">
        <v>90.28</v>
      </c>
      <c r="N2943">
        <v>53.86</v>
      </c>
      <c r="O2943">
        <v>19</v>
      </c>
      <c r="P2943">
        <v>39</v>
      </c>
    </row>
    <row r="2944" spans="1:16" x14ac:dyDescent="0.25">
      <c r="A2944">
        <v>21600942</v>
      </c>
      <c r="B2944">
        <v>2016</v>
      </c>
      <c r="C2944" t="s">
        <v>32</v>
      </c>
      <c r="D2944" t="s">
        <v>40</v>
      </c>
      <c r="E2944">
        <v>40</v>
      </c>
      <c r="F2944">
        <v>47</v>
      </c>
      <c r="G2944">
        <v>2</v>
      </c>
      <c r="H2944" s="1">
        <v>3.0439814814814813E-3</v>
      </c>
      <c r="I2944" t="s">
        <v>18</v>
      </c>
      <c r="J2944" s="2" t="str">
        <f>HYPERLINK("https://www.nba.com/stats/events?CFID=&amp;CFPARAMS=&amp;GameEventID=177&amp;GameID=0021600942&amp;Season=2016-17&amp;flag=1&amp;title=Leonard%208'%20Hook%20Shot%20(14%20PTS)%20(Green%203%20AST)", "Leonard 8' Hook Shot (14 PTS) (Green 3 AST)")</f>
        <v>Leonard 8' Hook Shot (14 PTS) (Green 3 AST)</v>
      </c>
      <c r="K2944" s="2" t="str">
        <f>HYPERLINK("https://www.nba.com/game/...-vs-...-0021600942/play-by-play?watchFullGame=true", "SAS vs HOU - Q2 04:23.00")</f>
        <v>SAS vs HOU - Q2 04:23.00</v>
      </c>
      <c r="L2944">
        <v>8</v>
      </c>
      <c r="M2944">
        <v>19</v>
      </c>
      <c r="N2944">
        <v>80</v>
      </c>
      <c r="O2944">
        <v>19</v>
      </c>
      <c r="P2944">
        <v>80</v>
      </c>
    </row>
    <row r="2945" spans="1:16" x14ac:dyDescent="0.25">
      <c r="A2945">
        <v>21500040</v>
      </c>
      <c r="B2945">
        <v>2015</v>
      </c>
      <c r="C2945" t="s">
        <v>32</v>
      </c>
      <c r="D2945" t="s">
        <v>33</v>
      </c>
      <c r="E2945">
        <v>2</v>
      </c>
      <c r="F2945">
        <v>7</v>
      </c>
      <c r="G2945">
        <v>1</v>
      </c>
      <c r="H2945" s="1">
        <v>4.409722222222222E-3</v>
      </c>
      <c r="I2945" t="s">
        <v>18</v>
      </c>
      <c r="J2945" s="2" t="str">
        <f>HYPERLINK("https://www.nba.com/stats/events?CFID=&amp;CFPARAMS=&amp;GameEventID=47&amp;GameID=0021500040&amp;Season=2015-16&amp;flag=1&amp;title=Leonard%2012'%20Fadeaway%20Jumper%20(4%20PTS)", "Leonard 12' Fadeaway Jumper (4 PTS)")</f>
        <v>Leonard 12' Fadeaway Jumper (4 PTS)</v>
      </c>
      <c r="K2945" s="2" t="str">
        <f>HYPERLINK("https://www.nba.com/game/...-vs-...-0021500040/play-by-play?watchFullGame=true", "SAS vs BOS - Q1 06:21.00")</f>
        <v>SAS vs BOS - Q1 06:21.00</v>
      </c>
      <c r="L2945">
        <v>12</v>
      </c>
      <c r="M2945">
        <v>19</v>
      </c>
      <c r="N2945">
        <v>115</v>
      </c>
      <c r="O2945">
        <v>19</v>
      </c>
      <c r="P2945">
        <v>115</v>
      </c>
    </row>
    <row r="2946" spans="1:16" x14ac:dyDescent="0.25">
      <c r="A2946">
        <v>22000799</v>
      </c>
      <c r="B2946">
        <v>2020</v>
      </c>
      <c r="C2946" t="s">
        <v>32</v>
      </c>
      <c r="D2946" t="s">
        <v>19</v>
      </c>
      <c r="E2946">
        <v>5</v>
      </c>
      <c r="F2946">
        <v>0</v>
      </c>
      <c r="G2946">
        <v>1</v>
      </c>
      <c r="H2946" s="1">
        <v>7.5231481481481477E-3</v>
      </c>
      <c r="I2946" t="s">
        <v>23</v>
      </c>
      <c r="J2946" s="2" t="str">
        <f>HYPERLINK("https://www.nba.com/stats/events?CFID=&amp;CFPARAMS=&amp;GameEventID=18&amp;GameID=0022000799&amp;Season=2020-21&amp;flag=1&amp;title=Leonard%2016'%20Jump%20Shot%20(2%20PTS)%20(R.%20Jackson%201%20AST)", "16' Jump Shot (2 PTS) (R. Jackson 1 AST)")</f>
        <v>16' Jump Shot (2 PTS) (R. Jackson 1 AST)</v>
      </c>
      <c r="K2946" s="2" t="str">
        <f>HYPERLINK("https://www.nba.com/game/...-vs-...-0022000799/play-by-play?watchFullGame=true", "LAC vs HOU - Q1 10:50.00")</f>
        <v>LAC vs HOU - Q1 10:50.00</v>
      </c>
      <c r="L2946">
        <v>16.28</v>
      </c>
      <c r="M2946">
        <v>77.22</v>
      </c>
      <c r="N2946">
        <v>53.75</v>
      </c>
      <c r="O2946">
        <v>19</v>
      </c>
      <c r="P2946">
        <v>162</v>
      </c>
    </row>
    <row r="2947" spans="1:16" x14ac:dyDescent="0.25">
      <c r="A2947">
        <v>41600151</v>
      </c>
      <c r="B2947" t="s">
        <v>30</v>
      </c>
      <c r="C2947" t="s">
        <v>32</v>
      </c>
      <c r="D2947" t="s">
        <v>29</v>
      </c>
      <c r="E2947">
        <v>20</v>
      </c>
      <c r="F2947">
        <v>28</v>
      </c>
      <c r="G2947">
        <v>1</v>
      </c>
      <c r="H2947" s="1">
        <v>1.2152777777777778E-3</v>
      </c>
      <c r="I2947" t="s">
        <v>18</v>
      </c>
      <c r="J2947" s="2" t="str">
        <f>HYPERLINK("https://www.nba.com/stats/events?CFID=&amp;CFPARAMS=&amp;GameEventID=72&amp;GameID=0041600151&amp;Season=2016-17&amp;flag=1&amp;title=Leonard%2017'%20Pullup%20Jump%20Shot%20(11%20PTS)", "Leonard 17' Pullup Jump Shot (11 PTS)")</f>
        <v>Leonard 17' Pullup Jump Shot (11 PTS)</v>
      </c>
      <c r="K2947" s="2" t="str">
        <f>HYPERLINK("https://www.nba.com/game/...-vs-...-0041600151/play-by-play?watchFullGame=true", "SAS vs MEM - Q1 01:45.00")</f>
        <v>SAS vs MEM - Q1 01:45.00</v>
      </c>
      <c r="L2947">
        <v>17</v>
      </c>
      <c r="M2947">
        <v>19</v>
      </c>
      <c r="N2947">
        <v>169</v>
      </c>
      <c r="O2947">
        <v>19</v>
      </c>
      <c r="P2947">
        <v>169</v>
      </c>
    </row>
    <row r="2948" spans="1:16" x14ac:dyDescent="0.25">
      <c r="A2948">
        <v>21600639</v>
      </c>
      <c r="B2948">
        <v>2016</v>
      </c>
      <c r="C2948" t="s">
        <v>32</v>
      </c>
      <c r="D2948" t="s">
        <v>57</v>
      </c>
      <c r="E2948">
        <v>15</v>
      </c>
      <c r="F2948">
        <v>14</v>
      </c>
      <c r="G2948">
        <v>1</v>
      </c>
      <c r="H2948" s="1">
        <v>3.2638888888888891E-3</v>
      </c>
      <c r="I2948" t="s">
        <v>18</v>
      </c>
      <c r="J2948" s="2" t="str">
        <f>HYPERLINK("https://www.nba.com/stats/events?CFID=&amp;CFPARAMS=&amp;GameEventID=61&amp;GameID=0021600639&amp;Season=2016-17&amp;flag=1&amp;title=Leonard%202'%20Layup%20(5%20PTS)%20(Aldridge%202%20AST)", "Leonard 2' Layup (5 PTS) (Aldridge 2 AST)")</f>
        <v>Leonard 2' Layup (5 PTS) (Aldridge 2 AST)</v>
      </c>
      <c r="K2948" s="2" t="str">
        <f>HYPERLINK("https://www.nba.com/game/...-vs-...-0021600639/play-by-play?watchFullGame=true", "SAS vs DEN - Q1 04:42.00")</f>
        <v>SAS vs DEN - Q1 04:42.00</v>
      </c>
      <c r="L2948">
        <v>2</v>
      </c>
      <c r="M2948">
        <v>20</v>
      </c>
      <c r="N2948">
        <v>-1</v>
      </c>
      <c r="O2948">
        <v>20</v>
      </c>
      <c r="P2948">
        <v>-1</v>
      </c>
    </row>
    <row r="2949" spans="1:16" x14ac:dyDescent="0.25">
      <c r="A2949">
        <v>21600625</v>
      </c>
      <c r="B2949">
        <v>2016</v>
      </c>
      <c r="C2949" t="s">
        <v>32</v>
      </c>
      <c r="D2949" t="s">
        <v>49</v>
      </c>
      <c r="E2949">
        <v>2</v>
      </c>
      <c r="F2949">
        <v>3</v>
      </c>
      <c r="G2949">
        <v>1</v>
      </c>
      <c r="H2949" s="1">
        <v>7.5115740740740742E-3</v>
      </c>
      <c r="I2949" t="s">
        <v>18</v>
      </c>
      <c r="J2949" s="2" t="str">
        <f>HYPERLINK("https://www.nba.com/stats/events?CFID=&amp;CFPARAMS=&amp;GameEventID=12&amp;GameID=0021600625&amp;Season=2016-17&amp;flag=1&amp;title=Leonard%202'%20Driving%20Layup%20(2%20PTS)", "Leonard 2' Driving Layup (2 PTS)")</f>
        <v>Leonard 2' Driving Layup (2 PTS)</v>
      </c>
      <c r="K2949" s="2" t="str">
        <f>HYPERLINK("https://www.nba.com/game/...-vs-...-0021600625/play-by-play?watchFullGame=true", "SAS vs MIN - Q1 10:49.00")</f>
        <v>SAS vs MIN - Q1 10:49.00</v>
      </c>
      <c r="L2949">
        <v>2</v>
      </c>
      <c r="M2949">
        <v>20</v>
      </c>
      <c r="N2949">
        <v>-1</v>
      </c>
      <c r="O2949">
        <v>20</v>
      </c>
      <c r="P2949">
        <v>-1</v>
      </c>
    </row>
    <row r="2950" spans="1:16" x14ac:dyDescent="0.25">
      <c r="A2950">
        <v>21401098</v>
      </c>
      <c r="B2950">
        <v>2014</v>
      </c>
      <c r="C2950" t="s">
        <v>32</v>
      </c>
      <c r="D2950" t="s">
        <v>57</v>
      </c>
      <c r="E2950">
        <v>55</v>
      </c>
      <c r="F2950">
        <v>44</v>
      </c>
      <c r="G2950">
        <v>3</v>
      </c>
      <c r="H2950" s="1">
        <v>7.1875000000000003E-3</v>
      </c>
      <c r="I2950" t="s">
        <v>18</v>
      </c>
      <c r="J2950" s="2" t="str">
        <f>HYPERLINK("https://www.nba.com/stats/events?CFID=&amp;CFPARAMS=&amp;GameEventID=249&amp;GameID=0021401098&amp;Season=2014-15&amp;flag=1&amp;title=Leonard%202'%20Layup%20(10%20PTS)%20(Splitter%202%20AST)", "Leonard 2' Layup (10 PTS) (Splitter 2 AST)")</f>
        <v>Leonard 2' Layup (10 PTS) (Splitter 2 AST)</v>
      </c>
      <c r="K2950" s="2" t="str">
        <f>HYPERLINK("https://www.nba.com/game/...-vs-...-0021401098/play-by-play?watchFullGame=true", "SAS vs MEM - Q3 10:21.00")</f>
        <v>SAS vs MEM - Q3 10:21.00</v>
      </c>
      <c r="L2950">
        <v>2</v>
      </c>
      <c r="M2950">
        <v>20</v>
      </c>
      <c r="N2950">
        <v>0</v>
      </c>
      <c r="O2950">
        <v>20</v>
      </c>
      <c r="P2950">
        <v>0</v>
      </c>
    </row>
    <row r="2951" spans="1:16" x14ac:dyDescent="0.25">
      <c r="A2951">
        <v>21401057</v>
      </c>
      <c r="B2951">
        <v>2014</v>
      </c>
      <c r="C2951" t="s">
        <v>32</v>
      </c>
      <c r="D2951" t="s">
        <v>59</v>
      </c>
      <c r="E2951">
        <v>36</v>
      </c>
      <c r="F2951">
        <v>43</v>
      </c>
      <c r="G2951">
        <v>2</v>
      </c>
      <c r="H2951" s="1">
        <v>1.4583333333333334E-3</v>
      </c>
      <c r="I2951" t="s">
        <v>18</v>
      </c>
      <c r="J2951" s="2" t="str">
        <f>HYPERLINK("https://www.nba.com/stats/events?CFID=&amp;CFPARAMS=&amp;GameEventID=217&amp;GameID=0021401057&amp;Season=2014-15&amp;flag=1&amp;title=Leonard%202'%20Putback%20Layup%20(10%20PTS)", "Leonard 2' Putback Layup (10 PTS)")</f>
        <v>Leonard 2' Putback Layup (10 PTS)</v>
      </c>
      <c r="K2951" s="2" t="str">
        <f>HYPERLINK("https://www.nba.com/game/...-vs-...-0021401057/play-by-play?watchFullGame=true", "SAS vs DAL - Q2 02:06.00")</f>
        <v>SAS vs DAL - Q2 02:06.00</v>
      </c>
      <c r="L2951">
        <v>2</v>
      </c>
      <c r="M2951">
        <v>20</v>
      </c>
      <c r="N2951">
        <v>1</v>
      </c>
      <c r="O2951">
        <v>20</v>
      </c>
      <c r="P2951">
        <v>1</v>
      </c>
    </row>
    <row r="2952" spans="1:16" x14ac:dyDescent="0.25">
      <c r="A2952">
        <v>21500939</v>
      </c>
      <c r="B2952">
        <v>2015</v>
      </c>
      <c r="C2952" t="s">
        <v>32</v>
      </c>
      <c r="D2952" t="s">
        <v>57</v>
      </c>
      <c r="E2952">
        <v>59</v>
      </c>
      <c r="F2952">
        <v>53</v>
      </c>
      <c r="G2952">
        <v>3</v>
      </c>
      <c r="H2952" s="1">
        <v>2.8819444444444444E-3</v>
      </c>
      <c r="I2952" t="s">
        <v>18</v>
      </c>
      <c r="J2952" s="2" t="str">
        <f>HYPERLINK("https://www.nba.com/stats/events?CFID=&amp;CFPARAMS=&amp;GameEventID=328&amp;GameID=0021500939&amp;Season=2015-16&amp;flag=1&amp;title=Leonard%202'%20Layup%20(15%20PTS)", "Leonard 2' Layup (15 PTS)")</f>
        <v>Leonard 2' Layup (15 PTS)</v>
      </c>
      <c r="K2952" s="2" t="str">
        <f>HYPERLINK("https://www.nba.com/game/...-vs-...-0021500939/play-by-play?watchFullGame=true", "SAS vs IND - Q3 04:09.00")</f>
        <v>SAS vs IND - Q3 04:09.00</v>
      </c>
      <c r="L2952">
        <v>2</v>
      </c>
      <c r="M2952">
        <v>20</v>
      </c>
      <c r="N2952">
        <v>2</v>
      </c>
      <c r="O2952">
        <v>20</v>
      </c>
      <c r="P2952">
        <v>2</v>
      </c>
    </row>
    <row r="2953" spans="1:16" x14ac:dyDescent="0.25">
      <c r="A2953">
        <v>41800402</v>
      </c>
      <c r="B2953" t="s">
        <v>20</v>
      </c>
      <c r="C2953" t="s">
        <v>32</v>
      </c>
      <c r="D2953" t="s">
        <v>58</v>
      </c>
      <c r="E2953">
        <v>93</v>
      </c>
      <c r="F2953">
        <v>102</v>
      </c>
      <c r="G2953">
        <v>4</v>
      </c>
      <c r="H2953" s="1">
        <v>4.6064814814814814E-3</v>
      </c>
      <c r="I2953" t="s">
        <v>21</v>
      </c>
      <c r="J2953" s="2" t="str">
        <f>HYPERLINK("https://www.nba.com/stats/events?CFID=&amp;CFPARAMS=&amp;GameEventID=608&amp;GameID=0041800402&amp;Season=2018-19&amp;flag=1&amp;title=Leonard%202'%20Driving%20Bank%20Hook%20Shot%20(30%20PTS)", "Leonard 2' Driving Bank Hook Shot (30 PTS)")</f>
        <v>Leonard 2' Driving Bank Hook Shot (30 PTS)</v>
      </c>
      <c r="K2953" s="2" t="str">
        <f>HYPERLINK("https://www.nba.com/game/...-vs-...-0041800402/play-by-play?watchFullGame=true", "TOR vs GSW - Q4 06:38.00")</f>
        <v>TOR vs GSW - Q4 06:38.00</v>
      </c>
      <c r="L2953">
        <v>2</v>
      </c>
      <c r="M2953">
        <v>20</v>
      </c>
      <c r="N2953">
        <v>4</v>
      </c>
      <c r="O2953">
        <v>20</v>
      </c>
      <c r="P2953">
        <v>4</v>
      </c>
    </row>
    <row r="2954" spans="1:16" x14ac:dyDescent="0.25">
      <c r="A2954">
        <v>21400241</v>
      </c>
      <c r="B2954">
        <v>2014</v>
      </c>
      <c r="C2954" t="s">
        <v>32</v>
      </c>
      <c r="D2954" t="s">
        <v>49</v>
      </c>
      <c r="E2954">
        <v>67</v>
      </c>
      <c r="F2954">
        <v>68</v>
      </c>
      <c r="G2954">
        <v>3</v>
      </c>
      <c r="H2954" s="1">
        <v>2.2800925925925927E-3</v>
      </c>
      <c r="I2954" t="s">
        <v>18</v>
      </c>
      <c r="J2954" s="2" t="str">
        <f>HYPERLINK("https://www.nba.com/stats/events?CFID=&amp;CFPARAMS=&amp;GameEventID=316&amp;GameID=0021400241&amp;Season=2014-15&amp;flag=1&amp;title=Leonard%202'%20Driving%20Layup%20(9%20PTS)", "Leonard 2' Driving Layup (9 PTS)")</f>
        <v>Leonard 2' Driving Layup (9 PTS)</v>
      </c>
      <c r="K2954" s="2" t="str">
        <f>HYPERLINK("https://www.nba.com/game/...-vs-...-0021400241/play-by-play?watchFullGame=true", "SAS vs BOS - Q3 03:17.00")</f>
        <v>SAS vs BOS - Q3 03:17.00</v>
      </c>
      <c r="L2954">
        <v>2</v>
      </c>
      <c r="M2954">
        <v>20</v>
      </c>
      <c r="N2954">
        <v>6</v>
      </c>
      <c r="O2954">
        <v>20</v>
      </c>
      <c r="P2954">
        <v>6</v>
      </c>
    </row>
    <row r="2955" spans="1:16" x14ac:dyDescent="0.25">
      <c r="A2955">
        <v>21300859</v>
      </c>
      <c r="B2955">
        <v>2013</v>
      </c>
      <c r="C2955" t="s">
        <v>32</v>
      </c>
      <c r="D2955" t="s">
        <v>72</v>
      </c>
      <c r="E2955">
        <v>10</v>
      </c>
      <c r="F2955">
        <v>7</v>
      </c>
      <c r="G2955">
        <v>1</v>
      </c>
      <c r="H2955" s="1">
        <v>5.7986111111111112E-3</v>
      </c>
      <c r="I2955" t="s">
        <v>18</v>
      </c>
      <c r="J2955" s="2" t="str">
        <f>HYPERLINK("https://www.nba.com/stats/events?CFID=&amp;CFPARAMS=&amp;GameEventID=46&amp;GameID=0021300859&amp;Season=2013-14&amp;flag=1&amp;title=Leonard%202'%20Tip%20Shot%20(2%20PTS)", "Leonard 2' Tip Shot (2 PTS)")</f>
        <v>Leonard 2' Tip Shot (2 PTS)</v>
      </c>
      <c r="K2955" s="2" t="str">
        <f>HYPERLINK("https://www.nba.com/game/...-vs-...-0021300859/play-by-play?watchFullGame=true", "SAS vs DET - Q1 08:21.00")</f>
        <v>SAS vs DET - Q1 08:21.00</v>
      </c>
      <c r="L2955">
        <v>2</v>
      </c>
      <c r="M2955">
        <v>20</v>
      </c>
      <c r="N2955">
        <v>6</v>
      </c>
      <c r="O2955">
        <v>20</v>
      </c>
      <c r="P2955">
        <v>6</v>
      </c>
    </row>
    <row r="2956" spans="1:16" x14ac:dyDescent="0.25">
      <c r="A2956">
        <v>22000077</v>
      </c>
      <c r="B2956">
        <v>2020</v>
      </c>
      <c r="C2956" t="s">
        <v>32</v>
      </c>
      <c r="D2956" t="s">
        <v>47</v>
      </c>
      <c r="E2956">
        <v>43</v>
      </c>
      <c r="F2956">
        <v>42</v>
      </c>
      <c r="G2956">
        <v>2</v>
      </c>
      <c r="H2956" s="1">
        <v>1.3194444444444445E-3</v>
      </c>
      <c r="I2956" t="s">
        <v>23</v>
      </c>
      <c r="J2956" s="2" t="str">
        <f>HYPERLINK("https://www.nba.com/stats/events?CFID=&amp;CFPARAMS=&amp;GameEventID=313&amp;GameID=0022000077&amp;Season=2020-21&amp;flag=1&amp;title=Leonard%20driving%20Layup%20(11%20PTS)", "Driving Layup (11 PTS)")</f>
        <v>Driving Layup (11 PTS)</v>
      </c>
      <c r="K2956" s="2" t="str">
        <f>HYPERLINK("https://www.nba.com/game/...-vs-...-0022000077/play-by-play?watchFullGame=true", "LAC vs UTA - Q2 01:54.00")</f>
        <v>LAC vs UTA - Q2 01:54.00</v>
      </c>
      <c r="L2956">
        <v>2.14</v>
      </c>
      <c r="M2956">
        <v>6.26</v>
      </c>
      <c r="N2956">
        <v>45.9</v>
      </c>
      <c r="O2956">
        <v>20</v>
      </c>
      <c r="P2956">
        <v>6</v>
      </c>
    </row>
    <row r="2957" spans="1:16" x14ac:dyDescent="0.25">
      <c r="A2957">
        <v>22300658</v>
      </c>
      <c r="B2957">
        <v>2023</v>
      </c>
      <c r="C2957" t="s">
        <v>32</v>
      </c>
      <c r="D2957" t="s">
        <v>47</v>
      </c>
      <c r="E2957">
        <v>102</v>
      </c>
      <c r="F2957">
        <v>92</v>
      </c>
      <c r="G2957">
        <v>4</v>
      </c>
      <c r="H2957" s="1">
        <v>5.5208333333333333E-3</v>
      </c>
      <c r="I2957" t="s">
        <v>23</v>
      </c>
      <c r="J2957" s="2" t="str">
        <f>HYPERLINK("https://www.nba.com/stats/events?CFID=&amp;CFPARAMS=&amp;GameEventID=552&amp;GameID=0022300658&amp;Season=2023-24&amp;flag=1&amp;title=Leonard%20driving%20reverse%20Layup%20(26%20PTS)%20(J.%20Harden%209%20AST)", "Driving reverse Layup (26 PTS) (J. Harden 9 AST)")</f>
        <v>Driving reverse Layup (26 PTS) (J. Harden 9 AST)</v>
      </c>
      <c r="K2957" s="2" t="str">
        <f>HYPERLINK("https://www.nba.com/game/...-vs-...-0022300658/play-by-play?watchFullGame=true", "LAC vs CLE - Q4 07:57.00")</f>
        <v>LAC vs CLE - Q4 07:57.00</v>
      </c>
      <c r="L2957">
        <v>2.15</v>
      </c>
      <c r="M2957">
        <v>6.52</v>
      </c>
      <c r="N2957">
        <v>46.08</v>
      </c>
      <c r="O2957">
        <v>20</v>
      </c>
      <c r="P2957">
        <v>9</v>
      </c>
    </row>
    <row r="2958" spans="1:16" x14ac:dyDescent="0.25">
      <c r="A2958">
        <v>22300458</v>
      </c>
      <c r="B2958">
        <v>2023</v>
      </c>
      <c r="C2958" t="s">
        <v>32</v>
      </c>
      <c r="D2958" t="s">
        <v>47</v>
      </c>
      <c r="E2958">
        <v>40</v>
      </c>
      <c r="F2958">
        <v>48</v>
      </c>
      <c r="G2958">
        <v>2</v>
      </c>
      <c r="H2958" s="1">
        <v>3.8773148148148148E-3</v>
      </c>
      <c r="I2958" t="s">
        <v>23</v>
      </c>
      <c r="J2958" s="2" t="str">
        <f>HYPERLINK("https://www.nba.com/stats/events?CFID=&amp;CFPARAMS=&amp;GameEventID=221&amp;GameID=0022300458&amp;Season=2023-24&amp;flag=1&amp;title=Leonard%20driving%20Layup%20(7%20PTS)", "Driving Layup (7 PTS)")</f>
        <v>Driving Layup (7 PTS)</v>
      </c>
      <c r="K2958" s="2" t="str">
        <f>HYPERLINK("https://www.nba.com/game/...-vs-...-0022300458/play-by-play?watchFullGame=true", "LAC vs MIA - Q2 05:35.00")</f>
        <v>LAC vs MIA - Q2 05:35.00</v>
      </c>
      <c r="L2958">
        <v>2.2000000000000002</v>
      </c>
      <c r="M2958">
        <v>93.35</v>
      </c>
      <c r="N2958">
        <v>53.92</v>
      </c>
      <c r="O2958">
        <v>20</v>
      </c>
      <c r="P2958">
        <v>10</v>
      </c>
    </row>
    <row r="2959" spans="1:16" x14ac:dyDescent="0.25">
      <c r="A2959">
        <v>21900436</v>
      </c>
      <c r="B2959">
        <v>2019</v>
      </c>
      <c r="C2959" t="s">
        <v>32</v>
      </c>
      <c r="D2959" t="s">
        <v>50</v>
      </c>
      <c r="E2959">
        <v>5</v>
      </c>
      <c r="F2959">
        <v>7</v>
      </c>
      <c r="G2959">
        <v>1</v>
      </c>
      <c r="H2959" s="1">
        <v>6.6666666666666671E-3</v>
      </c>
      <c r="I2959" t="s">
        <v>23</v>
      </c>
      <c r="J2959" s="2" t="str">
        <f>HYPERLINK("https://www.nba.com/stats/events?CFID=&amp;CFPARAMS=&amp;GameEventID=33&amp;GameID=0021900436&amp;Season=2019-20&amp;flag=1&amp;title=Leonard%20layup%20(4%20PTS)%20(I.%20Zubac%201%20AST)", "Layup (4 PTS) (I. Zubac 1 AST)")</f>
        <v>Layup (4 PTS) (I. Zubac 1 AST)</v>
      </c>
      <c r="K2959" s="2" t="str">
        <f>HYPERLINK("https://www.nba.com/game/...-vs-...-0021900436/play-by-play?watchFullGame=true", "LAC vs SAS - Q1 09:36.00")</f>
        <v>LAC vs SAS - Q1 09:36.00</v>
      </c>
      <c r="L2959">
        <v>2.65</v>
      </c>
      <c r="M2959">
        <v>6.78</v>
      </c>
      <c r="N2959">
        <v>45.9</v>
      </c>
      <c r="O2959">
        <v>20</v>
      </c>
      <c r="P2959">
        <v>11</v>
      </c>
    </row>
    <row r="2960" spans="1:16" x14ac:dyDescent="0.25">
      <c r="A2960">
        <v>22300473</v>
      </c>
      <c r="B2960">
        <v>2023</v>
      </c>
      <c r="C2960" t="s">
        <v>32</v>
      </c>
      <c r="D2960" t="s">
        <v>47</v>
      </c>
      <c r="E2960">
        <v>46</v>
      </c>
      <c r="F2960">
        <v>65</v>
      </c>
      <c r="G2960">
        <v>2</v>
      </c>
      <c r="H2960" s="1">
        <v>1.2731481481481483E-3</v>
      </c>
      <c r="I2960" t="s">
        <v>23</v>
      </c>
      <c r="J2960" s="2" t="str">
        <f>HYPERLINK("https://www.nba.com/stats/events?CFID=&amp;CFPARAMS=&amp;GameEventID=287&amp;GameID=0022300473&amp;Season=2023-24&amp;flag=1&amp;title=Leonard%20driving%20Layup%20(12%20PTS)", "Driving Layup (12 PTS)")</f>
        <v>Driving Layup (12 PTS)</v>
      </c>
      <c r="K2960" s="2" t="str">
        <f>HYPERLINK("https://www.nba.com/game/...-vs-...-0022300473/play-by-play?watchFullGame=true", "LAC vs PHX - Q2 01:50.00")</f>
        <v>LAC vs PHX - Q2 01:50.00</v>
      </c>
      <c r="L2960">
        <v>2.4500000000000002</v>
      </c>
      <c r="M2960">
        <v>92.85</v>
      </c>
      <c r="N2960">
        <v>53.92</v>
      </c>
      <c r="O2960">
        <v>20</v>
      </c>
      <c r="P2960">
        <v>15</v>
      </c>
    </row>
    <row r="2961" spans="1:16" x14ac:dyDescent="0.25">
      <c r="A2961">
        <v>41300404</v>
      </c>
      <c r="B2961" t="s">
        <v>26</v>
      </c>
      <c r="C2961" t="s">
        <v>32</v>
      </c>
      <c r="D2961" t="s">
        <v>61</v>
      </c>
      <c r="E2961">
        <v>51</v>
      </c>
      <c r="F2961">
        <v>75</v>
      </c>
      <c r="G2961">
        <v>3</v>
      </c>
      <c r="H2961" s="1">
        <v>2.1296296296296298E-3</v>
      </c>
      <c r="I2961" t="s">
        <v>18</v>
      </c>
      <c r="J2961" s="2" t="str">
        <f>HYPERLINK("https://www.nba.com/stats/events?CFID=&amp;CFPARAMS=&amp;GameEventID=327&amp;GameID=0041300404&amp;Season=2013-14&amp;flag=1&amp;title=Leonard%203'%20Driving%20Finger%20Roll%20Layup%20(15%20PTS)%20(Diaw%207%20AST)", "Leonard 3' Driving Finger Roll Layup (15 PTS) (Diaw 7 AST)")</f>
        <v>Leonard 3' Driving Finger Roll Layup (15 PTS) (Diaw 7 AST)</v>
      </c>
      <c r="K2961" s="2" t="str">
        <f>HYPERLINK("https://www.nba.com/game/...-vs-...-0041300404/play-by-play?watchFullGame=true", "SAS vs MIA - Q3 03:04.00")</f>
        <v>SAS vs MIA - Q3 03:04.00</v>
      </c>
      <c r="L2961">
        <v>3</v>
      </c>
      <c r="M2961">
        <v>20</v>
      </c>
      <c r="N2961">
        <v>17</v>
      </c>
      <c r="O2961">
        <v>20</v>
      </c>
      <c r="P2961">
        <v>17</v>
      </c>
    </row>
    <row r="2962" spans="1:16" x14ac:dyDescent="0.25">
      <c r="A2962">
        <v>21600825</v>
      </c>
      <c r="B2962">
        <v>2016</v>
      </c>
      <c r="C2962" t="s">
        <v>32</v>
      </c>
      <c r="D2962" t="s">
        <v>49</v>
      </c>
      <c r="E2962">
        <v>63</v>
      </c>
      <c r="F2962">
        <v>63</v>
      </c>
      <c r="G2962">
        <v>3</v>
      </c>
      <c r="H2962" s="1">
        <v>3.9004629629629628E-3</v>
      </c>
      <c r="I2962" t="s">
        <v>18</v>
      </c>
      <c r="J2962" s="2" t="str">
        <f>HYPERLINK("https://www.nba.com/stats/events?CFID=&amp;CFPARAMS=&amp;GameEventID=300&amp;GameID=0021600825&amp;Season=2016-17&amp;flag=1&amp;title=Leonard%203'%20Driving%20Layup%20(19%20PTS)%20(Parker%203%20AST)", "Leonard 3' Driving Layup (19 PTS) (Parker 3 AST)")</f>
        <v>Leonard 3' Driving Layup (19 PTS) (Parker 3 AST)</v>
      </c>
      <c r="K2962" s="2" t="str">
        <f>HYPERLINK("https://www.nba.com/game/...-vs-...-0021600825/play-by-play?watchFullGame=true", "SAS vs IND - Q3 05:37.00")</f>
        <v>SAS vs IND - Q3 05:37.00</v>
      </c>
      <c r="L2962">
        <v>3</v>
      </c>
      <c r="M2962">
        <v>20</v>
      </c>
      <c r="N2962">
        <v>18</v>
      </c>
      <c r="O2962">
        <v>20</v>
      </c>
      <c r="P2962">
        <v>18</v>
      </c>
    </row>
    <row r="2963" spans="1:16" x14ac:dyDescent="0.25">
      <c r="A2963">
        <v>22000867</v>
      </c>
      <c r="B2963">
        <v>2020</v>
      </c>
      <c r="C2963" t="s">
        <v>32</v>
      </c>
      <c r="D2963" t="s">
        <v>47</v>
      </c>
      <c r="E2963">
        <v>85</v>
      </c>
      <c r="F2963">
        <v>59</v>
      </c>
      <c r="G2963">
        <v>3</v>
      </c>
      <c r="H2963" s="1">
        <v>5.4861111111111109E-3</v>
      </c>
      <c r="I2963" t="s">
        <v>23</v>
      </c>
      <c r="J2963" s="2" t="str">
        <f>HYPERLINK("https://www.nba.com/stats/events?CFID=&amp;CFPARAMS=&amp;GameEventID=398&amp;GameID=0022000867&amp;Season=2020-21&amp;flag=1&amp;title=Leonard%20driving%20Layup%20(14%20PTS)", "Driving Layup (14 PTS)")</f>
        <v>Driving Layup (14 PTS)</v>
      </c>
      <c r="K2963" s="2" t="str">
        <f>HYPERLINK("https://www.nba.com/game/...-vs-...-0022000867/play-by-play?watchFullGame=true", "LAC vs MIN - Q3 07:54.00")</f>
        <v>LAC vs MIN - Q3 07:54.00</v>
      </c>
      <c r="L2963">
        <v>2.77</v>
      </c>
      <c r="M2963">
        <v>7.57</v>
      </c>
      <c r="N2963">
        <v>45.9</v>
      </c>
      <c r="O2963">
        <v>20</v>
      </c>
      <c r="P2963">
        <v>19</v>
      </c>
    </row>
    <row r="2964" spans="1:16" x14ac:dyDescent="0.25">
      <c r="A2964">
        <v>41200407</v>
      </c>
      <c r="B2964" t="s">
        <v>27</v>
      </c>
      <c r="C2964" t="s">
        <v>32</v>
      </c>
      <c r="D2964" t="s">
        <v>38</v>
      </c>
      <c r="E2964">
        <v>75</v>
      </c>
      <c r="F2964">
        <v>73</v>
      </c>
      <c r="G2964">
        <v>4</v>
      </c>
      <c r="H2964" s="1">
        <v>7.4999999999999997E-3</v>
      </c>
      <c r="I2964" t="s">
        <v>18</v>
      </c>
      <c r="J2964" s="2" t="str">
        <f>HYPERLINK("https://www.nba.com/stats/events?CFID=&amp;CFPARAMS=&amp;GameEventID=405&amp;GameID=0041200407&amp;Season=2012-13&amp;flag=1&amp;title=Leonard%203'%20Jump%20Bank%20Shot%20(16%20PTS)", "Leonard 3' Jump Bank Shot (16 PTS)")</f>
        <v>Leonard 3' Jump Bank Shot (16 PTS)</v>
      </c>
      <c r="K2964" s="2" t="str">
        <f>HYPERLINK("https://www.nba.com/game/...-vs-...-0041200407/play-by-play?watchFullGame=true", "SAS vs MIA - Q4 10:48.00")</f>
        <v>SAS vs MIA - Q4 10:48.00</v>
      </c>
      <c r="L2964">
        <v>3</v>
      </c>
      <c r="M2964">
        <v>20</v>
      </c>
      <c r="N2964">
        <v>23</v>
      </c>
      <c r="O2964">
        <v>20</v>
      </c>
      <c r="P2964">
        <v>23</v>
      </c>
    </row>
    <row r="2965" spans="1:16" x14ac:dyDescent="0.25">
      <c r="A2965">
        <v>21600727</v>
      </c>
      <c r="B2965">
        <v>2016</v>
      </c>
      <c r="C2965" t="s">
        <v>32</v>
      </c>
      <c r="D2965" t="s">
        <v>19</v>
      </c>
      <c r="E2965">
        <v>50</v>
      </c>
      <c r="F2965">
        <v>40</v>
      </c>
      <c r="G2965">
        <v>2</v>
      </c>
      <c r="H2965" s="1">
        <v>6.3773148148148153E-4</v>
      </c>
      <c r="I2965" t="s">
        <v>18</v>
      </c>
      <c r="J2965" s="2" t="str">
        <f>HYPERLINK("https://www.nba.com/stats/events?CFID=&amp;CFPARAMS=&amp;GameEventID=331&amp;GameID=0021600727&amp;Season=2016-17&amp;flag=1&amp;title=Leonard%203'%20Jump%20Shot%20(15%20PTS)%20(Simmons%201%20AST)", "Leonard 3' Jump Shot (15 PTS) (Simmons 1 AST)")</f>
        <v>Leonard 3' Jump Shot (15 PTS) (Simmons 1 AST)</v>
      </c>
      <c r="K2965" s="2" t="str">
        <f>HYPERLINK("https://www.nba.com/game/...-vs-...-0021600727/play-by-play?watchFullGame=true", "SAS vs OKC - Q2 00:55.10")</f>
        <v>SAS vs OKC - Q2 00:55.10</v>
      </c>
      <c r="L2965">
        <v>3</v>
      </c>
      <c r="M2965">
        <v>20</v>
      </c>
      <c r="N2965">
        <v>26</v>
      </c>
      <c r="O2965">
        <v>20</v>
      </c>
      <c r="P2965">
        <v>26</v>
      </c>
    </row>
    <row r="2966" spans="1:16" x14ac:dyDescent="0.25">
      <c r="A2966">
        <v>22000501</v>
      </c>
      <c r="B2966">
        <v>2020</v>
      </c>
      <c r="C2966" t="s">
        <v>32</v>
      </c>
      <c r="D2966" t="s">
        <v>47</v>
      </c>
      <c r="E2966">
        <v>0</v>
      </c>
      <c r="F2966">
        <v>2</v>
      </c>
      <c r="G2966">
        <v>1</v>
      </c>
      <c r="H2966" s="1">
        <v>8.1250000000000003E-3</v>
      </c>
      <c r="I2966" t="s">
        <v>23</v>
      </c>
      <c r="J2966" s="2" t="str">
        <f>HYPERLINK("https://www.nba.com/stats/events?CFID=&amp;CFPARAMS=&amp;GameEventID=7&amp;GameID=0022000501&amp;Season=2020-21&amp;flag=1&amp;title=Leonard%20driving%20Layup%20(2%20PTS)", "Driving Layup (2 PTS)")</f>
        <v>Driving Layup (2 PTS)</v>
      </c>
      <c r="K2966" s="2" t="str">
        <f>HYPERLINK("https://www.nba.com/game/...-vs-...-0022000501/play-by-play?watchFullGame=true", "LAC vs MEM - Q1 11:42.00")</f>
        <v>LAC vs MEM - Q1 11:42.00</v>
      </c>
      <c r="L2966">
        <v>4.09</v>
      </c>
      <c r="M2966">
        <v>90.62</v>
      </c>
      <c r="N2966">
        <v>53.99</v>
      </c>
      <c r="O2966">
        <v>20</v>
      </c>
      <c r="P2966">
        <v>36</v>
      </c>
    </row>
    <row r="2967" spans="1:16" x14ac:dyDescent="0.25">
      <c r="A2967">
        <v>21500028</v>
      </c>
      <c r="B2967">
        <v>2015</v>
      </c>
      <c r="C2967" t="s">
        <v>32</v>
      </c>
      <c r="D2967" t="s">
        <v>19</v>
      </c>
      <c r="E2967">
        <v>37</v>
      </c>
      <c r="F2967">
        <v>43</v>
      </c>
      <c r="G2967">
        <v>2</v>
      </c>
      <c r="H2967" s="1">
        <v>1.4699074074074074E-3</v>
      </c>
      <c r="I2967" t="s">
        <v>18</v>
      </c>
      <c r="J2967" s="2" t="str">
        <f>HYPERLINK("https://www.nba.com/stats/events?CFID=&amp;CFPARAMS=&amp;GameEventID=214&amp;GameID=0021500028&amp;Season=2015-16&amp;flag=1&amp;title=Leonard%206'%20Jump%20Shot%20(4%20PTS)%20(Aldridge%202%20AST)", "Leonard 6' Jump Shot (4 PTS) (Aldridge 2 AST)")</f>
        <v>Leonard 6' Jump Shot (4 PTS) (Aldridge 2 AST)</v>
      </c>
      <c r="K2967" s="2" t="str">
        <f>HYPERLINK("https://www.nba.com/game/...-vs-...-0021500028/play-by-play?watchFullGame=true", "SAS vs BKN - Q2 02:07.00")</f>
        <v>SAS vs BKN - Q2 02:07.00</v>
      </c>
      <c r="L2967">
        <v>6</v>
      </c>
      <c r="M2967">
        <v>20</v>
      </c>
      <c r="N2967">
        <v>57</v>
      </c>
      <c r="O2967">
        <v>20</v>
      </c>
      <c r="P2967">
        <v>57</v>
      </c>
    </row>
    <row r="2968" spans="1:16" x14ac:dyDescent="0.25">
      <c r="A2968">
        <v>22200525</v>
      </c>
      <c r="B2968">
        <v>2022</v>
      </c>
      <c r="C2968" t="s">
        <v>32</v>
      </c>
      <c r="D2968" t="s">
        <v>19</v>
      </c>
      <c r="E2968">
        <v>72</v>
      </c>
      <c r="F2968">
        <v>71</v>
      </c>
      <c r="G2968">
        <v>3</v>
      </c>
      <c r="H2968" s="1">
        <v>4.3287037037037035E-3</v>
      </c>
      <c r="I2968" t="s">
        <v>23</v>
      </c>
      <c r="J2968" s="2" t="str">
        <f>HYPERLINK("https://www.nba.com/stats/events?CFID=&amp;CFPARAMS=&amp;GameEventID=374&amp;GameID=0022200525&amp;Season=2022-23&amp;flag=1&amp;title=Leonard%208'%20driving%20floating%20Jump%20Shot%20(19%20PTS)", "8' driving floating Jump Shot (19 PTS)")</f>
        <v>8' driving floating Jump Shot (19 PTS)</v>
      </c>
      <c r="K2968" s="2" t="str">
        <f>HYPERLINK("https://www.nba.com/game/...-vs-...-0022200525/play-by-play?watchFullGame=true", "LAC vs BOS - Q3 06:14.00")</f>
        <v>LAC vs BOS - Q3 06:14.00</v>
      </c>
      <c r="L2968">
        <v>8.76</v>
      </c>
      <c r="M2968">
        <v>14.67</v>
      </c>
      <c r="N2968">
        <v>46.08</v>
      </c>
      <c r="O2968">
        <v>20</v>
      </c>
      <c r="P2968">
        <v>85</v>
      </c>
    </row>
    <row r="2969" spans="1:16" x14ac:dyDescent="0.25">
      <c r="A2969">
        <v>22300024</v>
      </c>
      <c r="B2969">
        <v>2023</v>
      </c>
      <c r="C2969" t="s">
        <v>32</v>
      </c>
      <c r="D2969" t="s">
        <v>19</v>
      </c>
      <c r="E2969">
        <v>76</v>
      </c>
      <c r="F2969">
        <v>75</v>
      </c>
      <c r="G2969">
        <v>3</v>
      </c>
      <c r="H2969" s="1">
        <v>2.0138888888888888E-3</v>
      </c>
      <c r="I2969" t="s">
        <v>23</v>
      </c>
      <c r="J2969" s="2" t="str">
        <f>HYPERLINK("https://www.nba.com/stats/events?CFID=&amp;CFPARAMS=&amp;GameEventID=426&amp;GameID=0022300024&amp;Season=2023-24&amp;flag=1&amp;title=Leonard%209'%20pullup%20Jump%20Shot%20(11%20PTS)%20(J.%20Harden%203%20AST)", "9' pullup Jump Shot (11 PTS) (J. Harden 3 AST)")</f>
        <v>9' pullup Jump Shot (11 PTS) (J. Harden 3 AST)</v>
      </c>
      <c r="K2969" s="2" t="str">
        <f>HYPERLINK("https://www.nba.com/game/...-vs-...-0022300024/play-by-play?watchFullGame=true", "LAC vs DEN - Q3 02:54.00")</f>
        <v>LAC vs DEN - Q3 02:54.00</v>
      </c>
      <c r="L2969">
        <v>9.85</v>
      </c>
      <c r="M2969">
        <v>15.85</v>
      </c>
      <c r="N2969">
        <v>46.08</v>
      </c>
      <c r="O2969">
        <v>20</v>
      </c>
      <c r="P2969">
        <v>96</v>
      </c>
    </row>
    <row r="2970" spans="1:16" x14ac:dyDescent="0.25">
      <c r="A2970">
        <v>21500347</v>
      </c>
      <c r="B2970">
        <v>2015</v>
      </c>
      <c r="C2970" t="s">
        <v>32</v>
      </c>
      <c r="D2970" t="s">
        <v>29</v>
      </c>
      <c r="E2970">
        <v>18</v>
      </c>
      <c r="F2970">
        <v>29</v>
      </c>
      <c r="G2970">
        <v>2</v>
      </c>
      <c r="H2970" s="1">
        <v>5.1273148148148146E-3</v>
      </c>
      <c r="I2970" t="s">
        <v>18</v>
      </c>
      <c r="J2970" s="2" t="str">
        <f>HYPERLINK("https://www.nba.com/stats/events?CFID=&amp;CFPARAMS=&amp;GameEventID=173&amp;GameID=0021500347&amp;Season=2015-16&amp;flag=1&amp;title=Leonard%2010'%20Pullup%20Jump%20Shot%20(9%20PTS)%20(Simmons%201%20AST)", "Leonard 10' Pullup Jump Shot (9 PTS) (Simmons 1 AST)")</f>
        <v>Leonard 10' Pullup Jump Shot (9 PTS) (Simmons 1 AST)</v>
      </c>
      <c r="K2970" s="2" t="str">
        <f>HYPERLINK("https://www.nba.com/game/...-vs-...-0021500347/play-by-play?watchFullGame=true", "SAS vs ATL - Q2 07:23.00")</f>
        <v>SAS vs ATL - Q2 07:23.00</v>
      </c>
      <c r="L2970">
        <v>10</v>
      </c>
      <c r="M2970">
        <v>20</v>
      </c>
      <c r="N2970">
        <v>97</v>
      </c>
      <c r="O2970">
        <v>20</v>
      </c>
      <c r="P2970">
        <v>97</v>
      </c>
    </row>
    <row r="2971" spans="1:16" x14ac:dyDescent="0.25">
      <c r="A2971">
        <v>22000009</v>
      </c>
      <c r="B2971">
        <v>2020</v>
      </c>
      <c r="C2971" t="s">
        <v>32</v>
      </c>
      <c r="D2971" t="s">
        <v>19</v>
      </c>
      <c r="E2971">
        <v>55</v>
      </c>
      <c r="F2971">
        <v>74</v>
      </c>
      <c r="G2971">
        <v>3</v>
      </c>
      <c r="H2971" s="1">
        <v>8.1712962962962963E-3</v>
      </c>
      <c r="I2971" t="s">
        <v>23</v>
      </c>
      <c r="J2971" s="2" t="str">
        <f>HYPERLINK("https://www.nba.com/stats/events?CFID=&amp;CFPARAMS=&amp;GameEventID=406&amp;GameID=0022000009&amp;Season=2020-21&amp;flag=1&amp;title=Leonard%2012'%20pullup%20Jump%20Shot%20(14%20PTS)%20(P.%20George%203%20AST)", "12' pullup Jump Shot (14 PTS) (P. George 3 AST)")</f>
        <v>12' pullup Jump Shot (14 PTS) (P. George 3 AST)</v>
      </c>
      <c r="K2971" s="2" t="str">
        <f>HYPERLINK("https://www.nba.com/game/...-vs-...-0022000009/play-by-play?watchFullGame=true", "LAC vs DEN - Q3 11:46.00")</f>
        <v>LAC vs DEN - Q3 11:46.00</v>
      </c>
      <c r="L2971">
        <v>12.01</v>
      </c>
      <c r="M2971">
        <v>81.819999999999993</v>
      </c>
      <c r="N2971">
        <v>53.99</v>
      </c>
      <c r="O2971">
        <v>20</v>
      </c>
      <c r="P2971">
        <v>118</v>
      </c>
    </row>
    <row r="2972" spans="1:16" x14ac:dyDescent="0.25">
      <c r="A2972">
        <v>22301043</v>
      </c>
      <c r="B2972">
        <v>2023</v>
      </c>
      <c r="C2972" t="s">
        <v>32</v>
      </c>
      <c r="D2972" t="s">
        <v>19</v>
      </c>
      <c r="E2972">
        <v>89</v>
      </c>
      <c r="F2972">
        <v>97</v>
      </c>
      <c r="G2972">
        <v>3</v>
      </c>
      <c r="H2972" s="1">
        <v>3.0092592592592595E-4</v>
      </c>
      <c r="I2972" t="s">
        <v>23</v>
      </c>
      <c r="J2972" s="2" t="str">
        <f>HYPERLINK("https://www.nba.com/stats/events?CFID=&amp;CFPARAMS=&amp;GameEventID=469&amp;GameID=0022301043&amp;Season=2023-24&amp;flag=1&amp;title=Leonard%2013'%20pullup%20Jump%20Shot%20(24%20PTS)%20(R.%20Westbrook%207%20AST)", "13' pullup Jump Shot (24 PTS) (R. Westbrook 7 AST)")</f>
        <v>13' pullup Jump Shot (24 PTS) (R. Westbrook 7 AST)</v>
      </c>
      <c r="K2972" s="2" t="str">
        <f>HYPERLINK("https://www.nba.com/game/...-vs-...-0022301043/play-by-play?watchFullGame=true", "LAC vs IND - Q3 00:26.00")</f>
        <v>LAC vs IND - Q3 00:26.00</v>
      </c>
      <c r="L2972">
        <v>13.37</v>
      </c>
      <c r="M2972">
        <v>80.34</v>
      </c>
      <c r="N2972">
        <v>53.92</v>
      </c>
      <c r="O2972">
        <v>20</v>
      </c>
      <c r="P2972">
        <v>132</v>
      </c>
    </row>
    <row r="2973" spans="1:16" x14ac:dyDescent="0.25">
      <c r="A2973">
        <v>21600825</v>
      </c>
      <c r="B2973">
        <v>2016</v>
      </c>
      <c r="C2973" t="s">
        <v>32</v>
      </c>
      <c r="D2973" t="s">
        <v>29</v>
      </c>
      <c r="E2973">
        <v>5</v>
      </c>
      <c r="F2973">
        <v>7</v>
      </c>
      <c r="G2973">
        <v>1</v>
      </c>
      <c r="H2973" s="1">
        <v>6.030092592592593E-3</v>
      </c>
      <c r="I2973" t="s">
        <v>18</v>
      </c>
      <c r="J2973" s="2" t="str">
        <f>HYPERLINK("https://www.nba.com/stats/events?CFID=&amp;CFPARAMS=&amp;GameEventID=26&amp;GameID=0021600825&amp;Season=2016-17&amp;flag=1&amp;title=Leonard%2017'%20Pullup%20Jump%20Shot%20(5%20PTS)", "Leonard 17' Pullup Jump Shot (5 PTS)")</f>
        <v>Leonard 17' Pullup Jump Shot (5 PTS)</v>
      </c>
      <c r="K2973" s="2" t="str">
        <f>HYPERLINK("https://www.nba.com/game/...-vs-...-0021600825/play-by-play?watchFullGame=true", "SAS vs IND - Q1 08:41.00")</f>
        <v>SAS vs IND - Q1 08:41.00</v>
      </c>
      <c r="L2973">
        <v>17</v>
      </c>
      <c r="M2973">
        <v>20</v>
      </c>
      <c r="N2973">
        <v>169</v>
      </c>
      <c r="O2973">
        <v>20</v>
      </c>
      <c r="P2973">
        <v>169</v>
      </c>
    </row>
    <row r="2974" spans="1:16" x14ac:dyDescent="0.25">
      <c r="A2974">
        <v>21900239</v>
      </c>
      <c r="B2974">
        <v>2019</v>
      </c>
      <c r="C2974" t="s">
        <v>32</v>
      </c>
      <c r="D2974" t="s">
        <v>22</v>
      </c>
      <c r="E2974">
        <v>86</v>
      </c>
      <c r="F2974">
        <v>78</v>
      </c>
      <c r="G2974">
        <v>3</v>
      </c>
      <c r="H2974" s="1">
        <v>4.0393518518518521E-3</v>
      </c>
      <c r="I2974" t="s">
        <v>23</v>
      </c>
      <c r="J2974" s="2" t="str">
        <f>HYPERLINK("https://www.nba.com/stats/events?CFID=&amp;CFPARAMS=&amp;GameEventID=445&amp;GameID=0021900239&amp;Season=2019-20&amp;flag=1&amp;title=Leonard%2021'%20jumpshot%20(22%20PTS)", "21' jumpshot (22 PTS)")</f>
        <v>21' jumpshot (22 PTS)</v>
      </c>
      <c r="K2974" s="2" t="str">
        <f>HYPERLINK("https://www.nba.com/game/...-vs-...-0021900239/play-by-play?watchFullGame=true", "LAC vs NOP - Q3 05:49.00")</f>
        <v>LAC vs NOP - Q3 05:49.00</v>
      </c>
      <c r="L2974">
        <v>21.13</v>
      </c>
      <c r="M2974">
        <v>27.38</v>
      </c>
      <c r="N2974">
        <v>46.01</v>
      </c>
      <c r="O2974">
        <v>20</v>
      </c>
      <c r="P2974">
        <v>205</v>
      </c>
    </row>
    <row r="2975" spans="1:16" x14ac:dyDescent="0.25">
      <c r="A2975">
        <v>21600289</v>
      </c>
      <c r="B2975">
        <v>2016</v>
      </c>
      <c r="C2975" t="s">
        <v>16</v>
      </c>
      <c r="D2975" t="s">
        <v>19</v>
      </c>
      <c r="E2975">
        <v>5</v>
      </c>
      <c r="F2975">
        <v>3</v>
      </c>
      <c r="G2975">
        <v>1</v>
      </c>
      <c r="H2975" s="1">
        <v>7.7199074074074071E-3</v>
      </c>
      <c r="I2975" t="s">
        <v>18</v>
      </c>
      <c r="J2975" s="2" t="str">
        <f>HYPERLINK("https://www.nba.com/stats/events?CFID=&amp;CFPARAMS=&amp;GameEventID=5&amp;GameID=0021600289&amp;Season=2016-17&amp;flag=1&amp;title=Leonard%2025'%203PT%20Jump%20Shot%20(5%20PTS)%20(Green%201%20AST)", "Leonard 25' 3PT Jump Shot (5 PTS) (Green 1 AST)")</f>
        <v>Leonard 25' 3PT Jump Shot (5 PTS) (Green 1 AST)</v>
      </c>
      <c r="K2975" s="2" t="str">
        <f>HYPERLINK("https://www.nba.com/game/...-vs-...-0021600289/play-by-play?watchFullGame=true", "SAS vs WAS - Q1 11:07.00")</f>
        <v>SAS vs WAS - Q1 11:07.00</v>
      </c>
      <c r="L2975">
        <v>25</v>
      </c>
      <c r="M2975">
        <v>20</v>
      </c>
      <c r="N2975">
        <v>247</v>
      </c>
      <c r="O2975">
        <v>20</v>
      </c>
      <c r="P2975">
        <v>247</v>
      </c>
    </row>
    <row r="2976" spans="1:16" x14ac:dyDescent="0.25">
      <c r="A2976">
        <v>22300309</v>
      </c>
      <c r="B2976">
        <v>2023</v>
      </c>
      <c r="C2976" t="s">
        <v>16</v>
      </c>
      <c r="D2976" t="s">
        <v>19</v>
      </c>
      <c r="E2976">
        <v>30</v>
      </c>
      <c r="F2976">
        <v>21</v>
      </c>
      <c r="G2976">
        <v>1</v>
      </c>
      <c r="H2976" s="1">
        <v>1.2037037037037038E-3</v>
      </c>
      <c r="I2976" t="s">
        <v>23</v>
      </c>
      <c r="J2976" s="2" t="str">
        <f>HYPERLINK("https://www.nba.com/stats/events?CFID=&amp;CFPARAMS=&amp;GameEventID=131&amp;GameID=0022300309&amp;Season=2023-24&amp;flag=1&amp;title=Leonard%2029'%203PT%20pullup%20(7%20PTS)", "29' 3PT pullup (7 PTS)")</f>
        <v>29' 3PT pullup (7 PTS)</v>
      </c>
      <c r="K2976" s="2" t="str">
        <f>HYPERLINK("https://www.nba.com/game/...-vs-...-0022300309/play-by-play?watchFullGame=true", "LAC vs SAC - Q1 01:44.00")</f>
        <v>LAC vs SAC - Q1 01:44.00</v>
      </c>
      <c r="L2976">
        <v>29.11</v>
      </c>
      <c r="M2976">
        <v>63.52</v>
      </c>
      <c r="N2976">
        <v>53.92</v>
      </c>
      <c r="O2976">
        <v>20</v>
      </c>
      <c r="P2976">
        <v>290</v>
      </c>
    </row>
    <row r="2977" spans="1:16" x14ac:dyDescent="0.25">
      <c r="A2977">
        <v>21400191</v>
      </c>
      <c r="B2977">
        <v>2014</v>
      </c>
      <c r="C2977" t="s">
        <v>32</v>
      </c>
      <c r="D2977" t="s">
        <v>49</v>
      </c>
      <c r="E2977">
        <v>14</v>
      </c>
      <c r="F2977">
        <v>6</v>
      </c>
      <c r="G2977">
        <v>1</v>
      </c>
      <c r="H2977" s="1">
        <v>4.5138888888888885E-3</v>
      </c>
      <c r="I2977" t="s">
        <v>18</v>
      </c>
      <c r="J2977" s="2" t="str">
        <f>HYPERLINK("https://www.nba.com/stats/events?CFID=&amp;CFPARAMS=&amp;GameEventID=36&amp;GameID=0021400191&amp;Season=2014-15&amp;flag=1&amp;title=Leonard%202'%20Driving%20Layup%20(4%20PTS)%20(Parker%201%20AST)", "Leonard 2' Driving Layup (4 PTS) (Parker 1 AST)")</f>
        <v>Leonard 2' Driving Layup (4 PTS) (Parker 1 AST)</v>
      </c>
      <c r="K2977" s="2" t="str">
        <f>HYPERLINK("https://www.nba.com/game/...-vs-...-0021400191/play-by-play?watchFullGame=true", "SAS vs BKN - Q1 06:30.00")</f>
        <v>SAS vs BKN - Q1 06:30.00</v>
      </c>
      <c r="L2977">
        <v>2</v>
      </c>
      <c r="M2977">
        <v>21</v>
      </c>
      <c r="N2977">
        <v>-3</v>
      </c>
      <c r="O2977">
        <v>21</v>
      </c>
      <c r="P2977">
        <v>-3</v>
      </c>
    </row>
    <row r="2978" spans="1:16" x14ac:dyDescent="0.25">
      <c r="A2978">
        <v>41400161</v>
      </c>
      <c r="B2978" t="s">
        <v>28</v>
      </c>
      <c r="C2978" t="s">
        <v>32</v>
      </c>
      <c r="D2978" t="s">
        <v>57</v>
      </c>
      <c r="E2978">
        <v>75</v>
      </c>
      <c r="F2978">
        <v>61</v>
      </c>
      <c r="G2978">
        <v>3</v>
      </c>
      <c r="H2978" s="1">
        <v>9.1435185185185185E-4</v>
      </c>
      <c r="I2978" t="s">
        <v>18</v>
      </c>
      <c r="J2978" s="2" t="str">
        <f>HYPERLINK("https://www.nba.com/stats/events?CFID=&amp;CFPARAMS=&amp;GameEventID=449&amp;GameID=0041400161&amp;Season=2014-15&amp;flag=1&amp;title=Leonard%202'%20Layup%20(13%20PTS)%20(Ginobili%205%20AST)", "Leonard 2' Layup (13 PTS) (Ginobili 5 AST)")</f>
        <v>Leonard 2' Layup (13 PTS) (Ginobili 5 AST)</v>
      </c>
      <c r="K2978" s="2" t="str">
        <f>HYPERLINK("https://www.nba.com/game/...-vs-...-0041400161/play-by-play?watchFullGame=true", "SAS vs LAC - Q3 01:19.00")</f>
        <v>SAS vs LAC - Q3 01:19.00</v>
      </c>
      <c r="L2978">
        <v>2</v>
      </c>
      <c r="M2978">
        <v>21</v>
      </c>
      <c r="N2978">
        <v>-2</v>
      </c>
      <c r="O2978">
        <v>21</v>
      </c>
      <c r="P2978">
        <v>-2</v>
      </c>
    </row>
    <row r="2979" spans="1:16" x14ac:dyDescent="0.25">
      <c r="A2979">
        <v>21400361</v>
      </c>
      <c r="B2979">
        <v>2014</v>
      </c>
      <c r="C2979" t="s">
        <v>32</v>
      </c>
      <c r="D2979" t="s">
        <v>49</v>
      </c>
      <c r="E2979">
        <v>16</v>
      </c>
      <c r="F2979">
        <v>16</v>
      </c>
      <c r="G2979">
        <v>1</v>
      </c>
      <c r="H2979" s="1">
        <v>2.4074074074074076E-3</v>
      </c>
      <c r="I2979" t="s">
        <v>18</v>
      </c>
      <c r="J2979" s="2" t="str">
        <f>HYPERLINK("https://www.nba.com/stats/events?CFID=&amp;CFPARAMS=&amp;GameEventID=72&amp;GameID=0021400361&amp;Season=2014-15&amp;flag=1&amp;title=Leonard%202'%20Driving%20Layup%20(2%20PTS)", "Leonard 2' Driving Layup (2 PTS)")</f>
        <v>Leonard 2' Driving Layup (2 PTS)</v>
      </c>
      <c r="K2979" s="2" t="str">
        <f>HYPERLINK("https://www.nba.com/game/...-vs-...-0021400361/play-by-play?watchFullGame=true", "SAS vs POR - Q1 03:28.00")</f>
        <v>SAS vs POR - Q1 03:28.00</v>
      </c>
      <c r="L2979">
        <v>2</v>
      </c>
      <c r="M2979">
        <v>21</v>
      </c>
      <c r="N2979">
        <v>0</v>
      </c>
      <c r="O2979">
        <v>21</v>
      </c>
      <c r="P2979">
        <v>0</v>
      </c>
    </row>
    <row r="2980" spans="1:16" x14ac:dyDescent="0.25">
      <c r="A2980">
        <v>22301225</v>
      </c>
      <c r="B2980">
        <v>2023</v>
      </c>
      <c r="C2980" t="s">
        <v>32</v>
      </c>
      <c r="D2980" t="s">
        <v>48</v>
      </c>
      <c r="E2980">
        <v>38</v>
      </c>
      <c r="F2980">
        <v>44</v>
      </c>
      <c r="G2980">
        <v>2</v>
      </c>
      <c r="H2980" s="1">
        <v>3.0555555555555557E-3</v>
      </c>
      <c r="I2980" t="s">
        <v>23</v>
      </c>
      <c r="J2980" s="2" t="str">
        <f>HYPERLINK("https://www.nba.com/stats/events?CFID=&amp;CFPARAMS=&amp;GameEventID=269&amp;GameID=0022301225&amp;Season=2023-24&amp;flag=1&amp;title=Leonard%20driving%20DUNK%20(16%20PTS)", "Driving DUNK (16 PTS)")</f>
        <v>Driving DUNK (16 PTS)</v>
      </c>
      <c r="K2980" s="2" t="str">
        <f>HYPERLINK("https://www.nba.com/game/...-vs-...-0022301225/play-by-play?watchFullGame=true", "LAC vs UTA - Q2 04:24.00")</f>
        <v>LAC vs UTA - Q2 04:24.00</v>
      </c>
      <c r="L2980">
        <v>2.35</v>
      </c>
      <c r="M2980">
        <v>93.25</v>
      </c>
      <c r="N2980">
        <v>54.17</v>
      </c>
      <c r="O2980">
        <v>21</v>
      </c>
      <c r="P2980">
        <v>11</v>
      </c>
    </row>
    <row r="2981" spans="1:16" x14ac:dyDescent="0.25">
      <c r="A2981">
        <v>22301043</v>
      </c>
      <c r="B2981">
        <v>2023</v>
      </c>
      <c r="C2981" t="s">
        <v>32</v>
      </c>
      <c r="D2981" t="s">
        <v>47</v>
      </c>
      <c r="E2981">
        <v>105</v>
      </c>
      <c r="F2981">
        <v>122</v>
      </c>
      <c r="G2981">
        <v>4</v>
      </c>
      <c r="H2981" s="1">
        <v>3.1365740740740742E-3</v>
      </c>
      <c r="I2981" t="s">
        <v>23</v>
      </c>
      <c r="J2981" s="2" t="str">
        <f>HYPERLINK("https://www.nba.com/stats/events?CFID=&amp;CFPARAMS=&amp;GameEventID=574&amp;GameID=0022301043&amp;Season=2023-24&amp;flag=1&amp;title=Leonard%20driving%20Layup%20(26%20PTS)%20(J.%20Harden%206%20AST)", "Driving Layup (26 PTS) (J. Harden 6 AST)")</f>
        <v>Driving Layup (26 PTS) (J. Harden 6 AST)</v>
      </c>
      <c r="K2981" s="2" t="str">
        <f>HYPERLINK("https://www.nba.com/game/...-vs-...-0022301043/play-by-play?watchFullGame=true", "LAC vs IND - Q4 04:31.00")</f>
        <v>LAC vs IND - Q4 04:31.00</v>
      </c>
      <c r="L2981">
        <v>2.4300000000000002</v>
      </c>
      <c r="M2981">
        <v>93.08</v>
      </c>
      <c r="N2981">
        <v>54.17</v>
      </c>
      <c r="O2981">
        <v>21</v>
      </c>
      <c r="P2981">
        <v>13</v>
      </c>
    </row>
    <row r="2982" spans="1:16" x14ac:dyDescent="0.25">
      <c r="A2982">
        <v>21301017</v>
      </c>
      <c r="B2982">
        <v>2013</v>
      </c>
      <c r="C2982" t="s">
        <v>32</v>
      </c>
      <c r="D2982" t="s">
        <v>57</v>
      </c>
      <c r="E2982">
        <v>46</v>
      </c>
      <c r="F2982">
        <v>48</v>
      </c>
      <c r="G2982">
        <v>2</v>
      </c>
      <c r="H2982" s="1">
        <v>2.627314814814815E-3</v>
      </c>
      <c r="I2982" t="s">
        <v>18</v>
      </c>
      <c r="J2982" s="2" t="str">
        <f>HYPERLINK("https://www.nba.com/stats/events?CFID=&amp;CFPARAMS=&amp;GameEventID=203&amp;GameID=0021301017&amp;Season=2013-14&amp;flag=1&amp;title=Leonard%203'%20Layup%20(8%20PTS)%20(Ginobili%204%20AST)", "Leonard 3' Layup (8 PTS) (Ginobili 4 AST)")</f>
        <v>Leonard 3' Layup (8 PTS) (Ginobili 4 AST)</v>
      </c>
      <c r="K2982" s="2" t="str">
        <f>HYPERLINK("https://www.nba.com/game/...-vs-...-0021301017/play-by-play?watchFullGame=true", "SAS vs LAL - Q2 03:47.00")</f>
        <v>SAS vs LAL - Q2 03:47.00</v>
      </c>
      <c r="L2982">
        <v>3</v>
      </c>
      <c r="M2982">
        <v>21</v>
      </c>
      <c r="N2982">
        <v>17</v>
      </c>
      <c r="O2982">
        <v>21</v>
      </c>
      <c r="P2982">
        <v>17</v>
      </c>
    </row>
    <row r="2983" spans="1:16" x14ac:dyDescent="0.25">
      <c r="A2983">
        <v>21401223</v>
      </c>
      <c r="B2983">
        <v>2014</v>
      </c>
      <c r="C2983" t="s">
        <v>32</v>
      </c>
      <c r="D2983" t="s">
        <v>57</v>
      </c>
      <c r="E2983">
        <v>63</v>
      </c>
      <c r="F2983">
        <v>51</v>
      </c>
      <c r="G2983">
        <v>3</v>
      </c>
      <c r="H2983" s="1">
        <v>7.5694444444444446E-3</v>
      </c>
      <c r="I2983" t="s">
        <v>18</v>
      </c>
      <c r="J2983" s="2" t="str">
        <f>HYPERLINK("https://www.nba.com/stats/events?CFID=&amp;CFPARAMS=&amp;GameEventID=225&amp;GameID=0021401223&amp;Season=2014-15&amp;flag=1&amp;title=Leonard%203'%20Layup%20(10%20PTS)%20(Duncan%205%20AST)", "Leonard 3' Layup (10 PTS) (Duncan 5 AST)")</f>
        <v>Leonard 3' Layup (10 PTS) (Duncan 5 AST)</v>
      </c>
      <c r="K2983" s="2" t="str">
        <f>HYPERLINK("https://www.nba.com/game/...-vs-...-0021401223/play-by-play?watchFullGame=true", "SAS vs NOP - Q3 10:54.00")</f>
        <v>SAS vs NOP - Q3 10:54.00</v>
      </c>
      <c r="L2983">
        <v>3</v>
      </c>
      <c r="M2983">
        <v>21</v>
      </c>
      <c r="N2983">
        <v>19</v>
      </c>
      <c r="O2983">
        <v>21</v>
      </c>
      <c r="P2983">
        <v>19</v>
      </c>
    </row>
    <row r="2984" spans="1:16" x14ac:dyDescent="0.25">
      <c r="A2984">
        <v>21600182</v>
      </c>
      <c r="B2984">
        <v>2016</v>
      </c>
      <c r="C2984" t="s">
        <v>32</v>
      </c>
      <c r="D2984" t="s">
        <v>57</v>
      </c>
      <c r="E2984">
        <v>70</v>
      </c>
      <c r="F2984">
        <v>84</v>
      </c>
      <c r="G2984">
        <v>3</v>
      </c>
      <c r="H2984" s="1">
        <v>2.1990740740740742E-3</v>
      </c>
      <c r="I2984" t="s">
        <v>18</v>
      </c>
      <c r="J2984" s="2" t="str">
        <f>HYPERLINK("https://www.nba.com/stats/events?CFID=&amp;CFPARAMS=&amp;GameEventID=339&amp;GameID=0021600182&amp;Season=2016-17&amp;flag=1&amp;title=Leonard%203'%20Layup%20(14%20PTS)", "Leonard 3' Layup (14 PTS)")</f>
        <v>Leonard 3' Layup (14 PTS)</v>
      </c>
      <c r="K2984" s="2" t="str">
        <f>HYPERLINK("https://www.nba.com/game/...-vs-...-0021600182/play-by-play?watchFullGame=true", "SAS vs LAL - Q3 03:10.00")</f>
        <v>SAS vs LAL - Q3 03:10.00</v>
      </c>
      <c r="L2984">
        <v>3</v>
      </c>
      <c r="M2984">
        <v>21</v>
      </c>
      <c r="N2984">
        <v>21</v>
      </c>
      <c r="O2984">
        <v>21</v>
      </c>
      <c r="P2984">
        <v>21</v>
      </c>
    </row>
    <row r="2985" spans="1:16" x14ac:dyDescent="0.25">
      <c r="A2985">
        <v>22301017</v>
      </c>
      <c r="B2985">
        <v>2023</v>
      </c>
      <c r="C2985" t="s">
        <v>32</v>
      </c>
      <c r="D2985" t="s">
        <v>48</v>
      </c>
      <c r="E2985">
        <v>53</v>
      </c>
      <c r="F2985">
        <v>72</v>
      </c>
      <c r="G2985">
        <v>3</v>
      </c>
      <c r="H2985" s="1">
        <v>8.1365740740740738E-3</v>
      </c>
      <c r="I2985" t="s">
        <v>23</v>
      </c>
      <c r="J2985" s="2" t="str">
        <f>HYPERLINK("https://www.nba.com/stats/events?CFID=&amp;CFPARAMS=&amp;GameEventID=331&amp;GameID=0022301017&amp;Season=2023-24&amp;flag=1&amp;title=Leonard%20driving%20DUNK%20(15%20PTS)%20(J.%20Harden%205%20AST)", "Driving DUNK (15 PTS) (J. Harden 5 AST)")</f>
        <v>Driving DUNK (15 PTS) (J. Harden 5 AST)</v>
      </c>
      <c r="K2985" s="2" t="str">
        <f>HYPERLINK("https://www.nba.com/game/...-vs-...-0022301017/play-by-play?watchFullGame=true", "LAC vs POR - Q3 11:43.00")</f>
        <v>LAC vs POR - Q3 11:43.00</v>
      </c>
      <c r="L2985">
        <v>3.15</v>
      </c>
      <c r="M2985">
        <v>8.1</v>
      </c>
      <c r="N2985">
        <v>45.83</v>
      </c>
      <c r="O2985">
        <v>21</v>
      </c>
      <c r="P2985">
        <v>24</v>
      </c>
    </row>
    <row r="2986" spans="1:16" x14ac:dyDescent="0.25">
      <c r="A2986">
        <v>22300658</v>
      </c>
      <c r="B2986">
        <v>2023</v>
      </c>
      <c r="C2986" t="s">
        <v>32</v>
      </c>
      <c r="D2986" t="s">
        <v>44</v>
      </c>
      <c r="E2986">
        <v>109</v>
      </c>
      <c r="F2986">
        <v>101</v>
      </c>
      <c r="G2986">
        <v>4</v>
      </c>
      <c r="H2986" s="1">
        <v>3.0439814814814813E-3</v>
      </c>
      <c r="I2986" t="s">
        <v>23</v>
      </c>
      <c r="J2986" s="2" t="str">
        <f>HYPERLINK("https://www.nba.com/stats/events?CFID=&amp;CFPARAMS=&amp;GameEventID=594&amp;GameID=0022300658&amp;Season=2023-24&amp;flag=1&amp;title=Leonard%20driving%20Hook%20(30%20PTS)", "Driving Hook (30 PTS)")</f>
        <v>Driving Hook (30 PTS)</v>
      </c>
      <c r="K2986" s="2" t="str">
        <f>HYPERLINK("https://www.nba.com/game/...-vs-...-0022300658/play-by-play?watchFullGame=true", "LAC vs CLE - Q4 04:23.00")</f>
        <v>LAC vs CLE - Q4 04:23.00</v>
      </c>
      <c r="L2986">
        <v>5.49</v>
      </c>
      <c r="M2986">
        <v>10.99</v>
      </c>
      <c r="N2986">
        <v>45.83</v>
      </c>
      <c r="O2986">
        <v>21</v>
      </c>
      <c r="P2986">
        <v>51</v>
      </c>
    </row>
    <row r="2987" spans="1:16" x14ac:dyDescent="0.25">
      <c r="A2987">
        <v>42000224</v>
      </c>
      <c r="B2987" t="s">
        <v>85</v>
      </c>
      <c r="C2987" t="s">
        <v>32</v>
      </c>
      <c r="D2987" t="s">
        <v>19</v>
      </c>
      <c r="E2987">
        <v>53</v>
      </c>
      <c r="F2987">
        <v>26</v>
      </c>
      <c r="G2987">
        <v>2</v>
      </c>
      <c r="H2987" s="1">
        <v>3.1365740740740742E-3</v>
      </c>
      <c r="I2987" t="s">
        <v>23</v>
      </c>
      <c r="J2987" s="2" t="str">
        <f>HYPERLINK("https://www.nba.com/stats/events?CFID=&amp;CFPARAMS=&amp;GameEventID=261&amp;GameID=0042000224&amp;Season=2020-21&amp;flag=1&amp;title=Leonard%2015'%20pullup%20Jump%20Shot%20(14%20PTS)", "15' pullup Jump Shot (14 PTS)")</f>
        <v>15' pullup Jump Shot (14 PTS)</v>
      </c>
      <c r="K2987" s="2" t="str">
        <f>HYPERLINK("https://www.nba.com/game/...-vs-...-0042000224/play-by-play?watchFullGame=true", "LAC vs UTA - Q2 04:31.00")</f>
        <v>LAC vs UTA - Q2 04:31.00</v>
      </c>
      <c r="L2987">
        <v>15.26</v>
      </c>
      <c r="M2987">
        <v>21.6</v>
      </c>
      <c r="N2987">
        <v>55.08</v>
      </c>
      <c r="O2987">
        <v>21</v>
      </c>
      <c r="P2987">
        <v>55</v>
      </c>
    </row>
    <row r="2988" spans="1:16" x14ac:dyDescent="0.25">
      <c r="A2988">
        <v>22300273</v>
      </c>
      <c r="B2988">
        <v>2023</v>
      </c>
      <c r="C2988" t="s">
        <v>32</v>
      </c>
      <c r="D2988" t="s">
        <v>47</v>
      </c>
      <c r="E2988">
        <v>111</v>
      </c>
      <c r="F2988">
        <v>104</v>
      </c>
      <c r="G2988">
        <v>4</v>
      </c>
      <c r="H2988" s="1">
        <v>1.0300925925925926E-3</v>
      </c>
      <c r="I2988" t="s">
        <v>23</v>
      </c>
      <c r="J2988" s="2" t="str">
        <f>HYPERLINK("https://www.nba.com/stats/events?CFID=&amp;CFPARAMS=&amp;GameEventID=631&amp;GameID=0022300273&amp;Season=2023-24&amp;flag=1&amp;title=Leonard%20running%20finger%20roll%20Layup%20(23%20PTS)%20(P.%20George%2010%20AST)", "Running finger roll Layup (23 PTS) (P. George 10 AST)")</f>
        <v>Running finger roll Layup (23 PTS) (P. George 10 AST)</v>
      </c>
      <c r="K2988" s="2" t="str">
        <f>HYPERLINK("https://www.nba.com/game/...-vs-...-0022300273/play-by-play?watchFullGame=true", "LAC vs GSW - Q4 01:29.00")</f>
        <v>LAC vs GSW - Q4 01:29.00</v>
      </c>
      <c r="L2988">
        <v>5.83</v>
      </c>
      <c r="M2988">
        <v>11.38</v>
      </c>
      <c r="N2988">
        <v>45.83</v>
      </c>
      <c r="O2988">
        <v>21</v>
      </c>
      <c r="P2988">
        <v>55</v>
      </c>
    </row>
    <row r="2989" spans="1:16" x14ac:dyDescent="0.25">
      <c r="A2989">
        <v>22400783</v>
      </c>
      <c r="B2989">
        <v>2024</v>
      </c>
      <c r="C2989" t="s">
        <v>32</v>
      </c>
      <c r="D2989" t="s">
        <v>44</v>
      </c>
      <c r="E2989">
        <v>32</v>
      </c>
      <c r="F2989">
        <v>42</v>
      </c>
      <c r="G2989">
        <v>2</v>
      </c>
      <c r="H2989" s="1">
        <v>7.6041666666666671E-3</v>
      </c>
      <c r="I2989" t="s">
        <v>23</v>
      </c>
      <c r="J2989" s="2" t="str">
        <f>HYPERLINK("https://www.nba.com/stats/events?CFID=&amp;CFPARAMS=&amp;GameEventID=169&amp;GameID=0022400783&amp;Season=2024-25&amp;flag=1&amp;title=Leonard%207'%20driving%20Hook%20(11%20PTS)", "7' driving Hook (11 PTS)")</f>
        <v>7' driving Hook (11 PTS)</v>
      </c>
      <c r="K2989" s="2" t="str">
        <f>HYPERLINK("https://www.nba.com/game/...-vs-...-0022400783/play-by-play?watchFullGame=true", "LAC vs MEM - Q2 10:57.00")</f>
        <v>LAC vs MEM - Q2 10:57.00</v>
      </c>
      <c r="L2989">
        <v>7.4</v>
      </c>
      <c r="M2989">
        <v>13.14</v>
      </c>
      <c r="N2989">
        <v>45.81</v>
      </c>
      <c r="O2989">
        <v>21</v>
      </c>
      <c r="P2989">
        <v>71</v>
      </c>
    </row>
    <row r="2990" spans="1:16" x14ac:dyDescent="0.25">
      <c r="A2990">
        <v>22200352</v>
      </c>
      <c r="B2990">
        <v>2022</v>
      </c>
      <c r="C2990" t="s">
        <v>32</v>
      </c>
      <c r="D2990" t="s">
        <v>19</v>
      </c>
      <c r="E2990">
        <v>109</v>
      </c>
      <c r="F2990">
        <v>113</v>
      </c>
      <c r="G2990">
        <v>4</v>
      </c>
      <c r="H2990" s="1">
        <v>2.5000000000000001E-3</v>
      </c>
      <c r="I2990" t="s">
        <v>23</v>
      </c>
      <c r="J2990" s="2" t="str">
        <f>HYPERLINK("https://www.nba.com/stats/events?CFID=&amp;CFPARAMS=&amp;GameEventID=633&amp;GameID=0022200352&amp;Season=2022-23&amp;flag=1&amp;title=Leonard%208'%20pullup%20Jump%20Shot%20(12%20PTS)", "8' pullup Jump Shot (12 PTS)")</f>
        <v>8' pullup Jump Shot (12 PTS)</v>
      </c>
      <c r="K2990" s="2" t="str">
        <f>HYPERLINK("https://www.nba.com/game/...-vs-...-0022200352/play-by-play?watchFullGame=true", "LAC vs CHA - Q4 03:36.00")</f>
        <v>LAC vs CHA - Q4 03:36.00</v>
      </c>
      <c r="L2990">
        <v>8.7899999999999991</v>
      </c>
      <c r="M2990">
        <v>14.67</v>
      </c>
      <c r="N2990">
        <v>45.83</v>
      </c>
      <c r="O2990">
        <v>21</v>
      </c>
      <c r="P2990">
        <v>85</v>
      </c>
    </row>
    <row r="2991" spans="1:16" x14ac:dyDescent="0.25">
      <c r="A2991">
        <v>21300421</v>
      </c>
      <c r="B2991">
        <v>2013</v>
      </c>
      <c r="C2991" t="s">
        <v>32</v>
      </c>
      <c r="D2991" t="s">
        <v>19</v>
      </c>
      <c r="E2991">
        <v>69</v>
      </c>
      <c r="F2991">
        <v>73</v>
      </c>
      <c r="G2991">
        <v>3</v>
      </c>
      <c r="H2991" s="1">
        <v>2.9513888888888888E-3</v>
      </c>
      <c r="I2991" t="s">
        <v>18</v>
      </c>
      <c r="J2991" s="2" t="str">
        <f>HYPERLINK("https://www.nba.com/stats/events?CFID=&amp;CFPARAMS=&amp;GameEventID=325&amp;GameID=0021300421&amp;Season=2013-14&amp;flag=1&amp;title=Leonard%2010'%20Jump%20Shot%20(11%20PTS)", "Leonard 10' Jump Shot (11 PTS)")</f>
        <v>Leonard 10' Jump Shot (11 PTS)</v>
      </c>
      <c r="K2991" s="2" t="str">
        <f>HYPERLINK("https://www.nba.com/game/...-vs-...-0021300421/play-by-play?watchFullGame=true", "SAS vs HOU - Q3 04:15.00")</f>
        <v>SAS vs HOU - Q3 04:15.00</v>
      </c>
      <c r="L2991">
        <v>10</v>
      </c>
      <c r="M2991">
        <v>21</v>
      </c>
      <c r="N2991">
        <v>93</v>
      </c>
      <c r="O2991">
        <v>21</v>
      </c>
      <c r="P2991">
        <v>93</v>
      </c>
    </row>
    <row r="2992" spans="1:16" x14ac:dyDescent="0.25">
      <c r="A2992">
        <v>22300827</v>
      </c>
      <c r="B2992">
        <v>2023</v>
      </c>
      <c r="C2992" t="s">
        <v>32</v>
      </c>
      <c r="D2992" t="s">
        <v>19</v>
      </c>
      <c r="E2992">
        <v>55</v>
      </c>
      <c r="F2992">
        <v>70</v>
      </c>
      <c r="G2992">
        <v>3</v>
      </c>
      <c r="H2992" s="1">
        <v>5.8680555555555552E-3</v>
      </c>
      <c r="I2992" t="s">
        <v>23</v>
      </c>
      <c r="J2992" s="2" t="str">
        <f>HYPERLINK("https://www.nba.com/stats/events?CFID=&amp;CFPARAMS=&amp;GameEventID=368&amp;GameID=0022300827&amp;Season=2023-24&amp;flag=1&amp;title=Leonard%209'%20pullup%20Jump%20Shot%20(14%20PTS)", "9' pullup Jump Shot (14 PTS)")</f>
        <v>9' pullup Jump Shot (14 PTS)</v>
      </c>
      <c r="K2992" s="2" t="str">
        <f>HYPERLINK("https://www.nba.com/game/...-vs-...-0022300827/play-by-play?watchFullGame=true", "LAC vs SAC - Q3 08:27.00")</f>
        <v>LAC vs SAC - Q3 08:27.00</v>
      </c>
      <c r="L2992">
        <v>9.9600000000000009</v>
      </c>
      <c r="M2992">
        <v>15.95</v>
      </c>
      <c r="N2992">
        <v>45.83</v>
      </c>
      <c r="O2992">
        <v>21</v>
      </c>
      <c r="P2992">
        <v>97</v>
      </c>
    </row>
    <row r="2993" spans="1:16" x14ac:dyDescent="0.25">
      <c r="A2993">
        <v>22300716</v>
      </c>
      <c r="B2993">
        <v>2023</v>
      </c>
      <c r="C2993" t="s">
        <v>32</v>
      </c>
      <c r="D2993" t="s">
        <v>19</v>
      </c>
      <c r="E2993">
        <v>58</v>
      </c>
      <c r="F2993">
        <v>64</v>
      </c>
      <c r="G2993">
        <v>2</v>
      </c>
      <c r="H2993" s="1">
        <v>1.0532407407407407E-3</v>
      </c>
      <c r="I2993" t="s">
        <v>23</v>
      </c>
      <c r="J2993" s="2" t="str">
        <f>HYPERLINK("https://www.nba.com/stats/events?CFID=&amp;CFPARAMS=&amp;GameEventID=282&amp;GameID=0022300716&amp;Season=2023-24&amp;flag=1&amp;title=Leonard%2010'%20turnaround%20fadeaway%20Jump%20Shot%20(12%20PTS)", "10' turnaround fadeaway Jump Shot (12 PTS)")</f>
        <v>10' turnaround fadeaway Jump Shot (12 PTS)</v>
      </c>
      <c r="K2993" s="2" t="str">
        <f>HYPERLINK("https://www.nba.com/game/...-vs-...-0022300716/play-by-play?watchFullGame=true", "LAC vs ATL - Q2 01:31.00")</f>
        <v>LAC vs ATL - Q2 01:31.00</v>
      </c>
      <c r="L2993">
        <v>10.199999999999999</v>
      </c>
      <c r="M2993">
        <v>83.79</v>
      </c>
      <c r="N2993">
        <v>54.17</v>
      </c>
      <c r="O2993">
        <v>21</v>
      </c>
      <c r="P2993">
        <v>100</v>
      </c>
    </row>
    <row r="2994" spans="1:16" x14ac:dyDescent="0.25">
      <c r="A2994">
        <v>22300553</v>
      </c>
      <c r="B2994">
        <v>2023</v>
      </c>
      <c r="C2994" t="s">
        <v>32</v>
      </c>
      <c r="D2994" t="s">
        <v>19</v>
      </c>
      <c r="E2994">
        <v>10</v>
      </c>
      <c r="F2994">
        <v>7</v>
      </c>
      <c r="G2994">
        <v>1</v>
      </c>
      <c r="H2994" s="1">
        <v>5.1041666666666666E-3</v>
      </c>
      <c r="I2994" t="s">
        <v>23</v>
      </c>
      <c r="J2994" s="2" t="str">
        <f>HYPERLINK("https://www.nba.com/stats/events?CFID=&amp;CFPARAMS=&amp;GameEventID=46&amp;GameID=0022300553&amp;Season=2023-24&amp;flag=1&amp;title=Leonard%2010'%20pullup%20Jump%20Shot%20(4%20PTS)", "10' pullup Jump Shot (4 PTS)")</f>
        <v>10' pullup Jump Shot (4 PTS)</v>
      </c>
      <c r="K2994" s="2" t="str">
        <f>HYPERLINK("https://www.nba.com/game/...-vs-...-0022300553/play-by-play?watchFullGame=true", "LAC vs MIN - Q1 07:21.00")</f>
        <v>LAC vs MIN - Q1 07:21.00</v>
      </c>
      <c r="L2994">
        <v>10.35</v>
      </c>
      <c r="M2994">
        <v>16.38</v>
      </c>
      <c r="N2994">
        <v>45.83</v>
      </c>
      <c r="O2994">
        <v>21</v>
      </c>
      <c r="P2994">
        <v>101</v>
      </c>
    </row>
    <row r="2995" spans="1:16" x14ac:dyDescent="0.25">
      <c r="A2995">
        <v>21300382</v>
      </c>
      <c r="B2995">
        <v>2013</v>
      </c>
      <c r="C2995" t="s">
        <v>32</v>
      </c>
      <c r="D2995" t="s">
        <v>29</v>
      </c>
      <c r="E2995">
        <v>38</v>
      </c>
      <c r="F2995">
        <v>39</v>
      </c>
      <c r="G2995">
        <v>2</v>
      </c>
      <c r="H2995" s="1">
        <v>3.6921296296296298E-3</v>
      </c>
      <c r="I2995" t="s">
        <v>18</v>
      </c>
      <c r="J2995" s="2" t="str">
        <f>HYPERLINK("https://www.nba.com/stats/events?CFID=&amp;CFPARAMS=&amp;GameEventID=184&amp;GameID=0021300382&amp;Season=2013-14&amp;flag=1&amp;title=Leonard%2013'%20Pullup%20Jump%20Shot%20(11%20PTS)%20(Diaw%204%20AST)", "Leonard 13' Pullup Jump Shot (11 PTS) (Diaw 4 AST)")</f>
        <v>Leonard 13' Pullup Jump Shot (11 PTS) (Diaw 4 AST)</v>
      </c>
      <c r="K2995" s="2" t="str">
        <f>HYPERLINK("https://www.nba.com/game/...-vs-...-0021300382/play-by-play?watchFullGame=true", "SAS vs GSW - Q2 05:19.00")</f>
        <v>SAS vs GSW - Q2 05:19.00</v>
      </c>
      <c r="L2995">
        <v>13</v>
      </c>
      <c r="M2995">
        <v>21</v>
      </c>
      <c r="N2995">
        <v>131</v>
      </c>
      <c r="O2995">
        <v>21</v>
      </c>
      <c r="P2995">
        <v>131</v>
      </c>
    </row>
    <row r="2996" spans="1:16" x14ac:dyDescent="0.25">
      <c r="A2996">
        <v>21900523</v>
      </c>
      <c r="B2996">
        <v>2019</v>
      </c>
      <c r="C2996" t="s">
        <v>32</v>
      </c>
      <c r="D2996" t="s">
        <v>22</v>
      </c>
      <c r="E2996">
        <v>16</v>
      </c>
      <c r="F2996">
        <v>32</v>
      </c>
      <c r="G2996">
        <v>1</v>
      </c>
      <c r="H2996" s="1">
        <v>2.7430555555555554E-3</v>
      </c>
      <c r="I2996" t="s">
        <v>23</v>
      </c>
      <c r="J2996" s="2" t="str">
        <f>HYPERLINK("https://www.nba.com/stats/events?CFID=&amp;CFPARAMS=&amp;GameEventID=101&amp;GameID=0021900523&amp;Season=2019-20&amp;flag=1&amp;title=Leonard%2016'%20jumpshot%20(6%20PTS)%20(L.%20Williams%201%20AST)", "16' jumpshot (6 PTS) (L. Williams 1 AST)")</f>
        <v>16' jumpshot (6 PTS) (L. Williams 1 AST)</v>
      </c>
      <c r="K2996" s="2" t="str">
        <f>HYPERLINK("https://www.nba.com/game/...-vs-...-0021900523/play-by-play?watchFullGame=true", "LAC vs MEM - Q1 03:57.00")</f>
        <v>LAC vs MEM - Q1 03:57.00</v>
      </c>
      <c r="L2996">
        <v>16.239999999999998</v>
      </c>
      <c r="M2996">
        <v>22.13</v>
      </c>
      <c r="N2996">
        <v>45.76</v>
      </c>
      <c r="O2996">
        <v>21</v>
      </c>
      <c r="P2996">
        <v>155</v>
      </c>
    </row>
    <row r="2997" spans="1:16" x14ac:dyDescent="0.25">
      <c r="A2997">
        <v>22300264</v>
      </c>
      <c r="B2997">
        <v>2023</v>
      </c>
      <c r="C2997" t="s">
        <v>32</v>
      </c>
      <c r="D2997" t="s">
        <v>47</v>
      </c>
      <c r="E2997">
        <v>16</v>
      </c>
      <c r="F2997">
        <v>22</v>
      </c>
      <c r="G2997">
        <v>1</v>
      </c>
      <c r="H2997" s="1">
        <v>2.5578703703703705E-3</v>
      </c>
      <c r="I2997" t="s">
        <v>23</v>
      </c>
      <c r="J2997" s="2" t="str">
        <f>HYPERLINK("https://www.nba.com/stats/events?CFID=&amp;CFPARAMS=&amp;GameEventID=101&amp;GameID=0022300264&amp;Season=2023-24&amp;flag=1&amp;title=Leonard%20Layup%20(2%20PTS)", "Layup (2 PTS)")</f>
        <v>Layup (2 PTS)</v>
      </c>
      <c r="K2997" s="2" t="str">
        <f>HYPERLINK("https://www.nba.com/game/...-vs-...-0022300264/play-by-play?watchFullGame=true", "LAC vs SAC - Q1 03:41.00")</f>
        <v>LAC vs SAC - Q1 03:41.00</v>
      </c>
      <c r="L2997">
        <v>2.21</v>
      </c>
      <c r="M2997">
        <v>5.47</v>
      </c>
      <c r="N2997">
        <v>45.59</v>
      </c>
      <c r="O2997">
        <v>22</v>
      </c>
      <c r="P2997">
        <v>-1</v>
      </c>
    </row>
    <row r="2998" spans="1:16" x14ac:dyDescent="0.25">
      <c r="A2998">
        <v>21500905</v>
      </c>
      <c r="B2998">
        <v>2015</v>
      </c>
      <c r="C2998" t="s">
        <v>32</v>
      </c>
      <c r="D2998" t="s">
        <v>49</v>
      </c>
      <c r="E2998">
        <v>50</v>
      </c>
      <c r="F2998">
        <v>51</v>
      </c>
      <c r="G2998">
        <v>2</v>
      </c>
      <c r="H2998" s="1">
        <v>5.7986111111111118E-4</v>
      </c>
      <c r="I2998" t="s">
        <v>18</v>
      </c>
      <c r="J2998" s="2" t="str">
        <f>HYPERLINK("https://www.nba.com/stats/events?CFID=&amp;CFPARAMS=&amp;GameEventID=201&amp;GameID=0021500905&amp;Season=2015-16&amp;flag=1&amp;title=Leonard%202'%20Driving%20Layup%20(15%20PTS)", "Leonard 2' Driving Layup (15 PTS)")</f>
        <v>Leonard 2' Driving Layup (15 PTS)</v>
      </c>
      <c r="K2998" s="2" t="str">
        <f>HYPERLINK("https://www.nba.com/game/...-vs-...-0021500905/play-by-play?watchFullGame=true", "SAS vs DET - Q2 00:50.10")</f>
        <v>SAS vs DET - Q2 00:50.10</v>
      </c>
      <c r="L2998">
        <v>2</v>
      </c>
      <c r="M2998">
        <v>22</v>
      </c>
      <c r="N2998">
        <v>2</v>
      </c>
      <c r="O2998">
        <v>22</v>
      </c>
      <c r="P2998">
        <v>2</v>
      </c>
    </row>
    <row r="2999" spans="1:16" x14ac:dyDescent="0.25">
      <c r="A2999">
        <v>21600225</v>
      </c>
      <c r="B2999">
        <v>2016</v>
      </c>
      <c r="C2999" t="s">
        <v>32</v>
      </c>
      <c r="D2999" t="s">
        <v>52</v>
      </c>
      <c r="E2999">
        <v>48</v>
      </c>
      <c r="F2999">
        <v>53</v>
      </c>
      <c r="G2999">
        <v>3</v>
      </c>
      <c r="H2999" s="1">
        <v>6.6898148148148151E-3</v>
      </c>
      <c r="I2999" t="s">
        <v>18</v>
      </c>
      <c r="J2999" s="2" t="str">
        <f>HYPERLINK("https://www.nba.com/stats/events?CFID=&amp;CFPARAMS=&amp;GameEventID=266&amp;GameID=0021600225&amp;Season=2016-17&amp;flag=1&amp;title=Leonard%202'%20Alley%20Oop%20Layup%20(12%20PTS)%20(Gasol%202%20AST)", "Leonard 2' Alley Oop Layup (12 PTS) (Gasol 2 AST)")</f>
        <v>Leonard 2' Alley Oop Layup (12 PTS) (Gasol 2 AST)</v>
      </c>
      <c r="K2999" s="2" t="str">
        <f>HYPERLINK("https://www.nba.com/game/...-vs-...-0021600225/play-by-play?watchFullGame=true", "SAS vs BOS - Q3 09:38.00")</f>
        <v>SAS vs BOS - Q3 09:38.00</v>
      </c>
      <c r="L2999">
        <v>2</v>
      </c>
      <c r="M2999">
        <v>22</v>
      </c>
      <c r="N2999">
        <v>2</v>
      </c>
      <c r="O2999">
        <v>22</v>
      </c>
      <c r="P2999">
        <v>2</v>
      </c>
    </row>
    <row r="3000" spans="1:16" x14ac:dyDescent="0.25">
      <c r="A3000">
        <v>21900251</v>
      </c>
      <c r="B3000">
        <v>2019</v>
      </c>
      <c r="C3000" t="s">
        <v>32</v>
      </c>
      <c r="D3000" t="s">
        <v>50</v>
      </c>
      <c r="E3000">
        <v>42</v>
      </c>
      <c r="F3000">
        <v>59</v>
      </c>
      <c r="G3000">
        <v>2</v>
      </c>
      <c r="H3000" s="1">
        <v>1.3541666666666667E-3</v>
      </c>
      <c r="I3000" t="s">
        <v>23</v>
      </c>
      <c r="J3000" s="2" t="str">
        <f>HYPERLINK("https://www.nba.com/stats/events?CFID=&amp;CFPARAMS=&amp;GameEventID=324&amp;GameID=0021900251&amp;Season=2019-20&amp;flag=1&amp;title=Leonard%20layup%20(10%20PTS)%20(M.%20Harkless%202%20AST)", "Layup (10 PTS) (M. Harkless 2 AST)")</f>
        <v>Layup (10 PTS) (M. Harkless 2 AST)</v>
      </c>
      <c r="K3000" s="2" t="str">
        <f>HYPERLINK("https://www.nba.com/game/...-vs-...-0021900251/play-by-play?watchFullGame=true", "LAC vs DAL - Q2 01:57.00")</f>
        <v>LAC vs DAL - Q2 01:57.00</v>
      </c>
      <c r="L3000">
        <v>2.36</v>
      </c>
      <c r="M3000">
        <v>6</v>
      </c>
      <c r="N3000">
        <v>45.66</v>
      </c>
      <c r="O3000">
        <v>22</v>
      </c>
      <c r="P3000">
        <v>4</v>
      </c>
    </row>
    <row r="3001" spans="1:16" x14ac:dyDescent="0.25">
      <c r="A3001">
        <v>21900115</v>
      </c>
      <c r="B3001">
        <v>2019</v>
      </c>
      <c r="C3001" t="s">
        <v>32</v>
      </c>
      <c r="D3001" t="s">
        <v>50</v>
      </c>
      <c r="E3001">
        <v>86</v>
      </c>
      <c r="F3001">
        <v>90</v>
      </c>
      <c r="G3001">
        <v>4</v>
      </c>
      <c r="H3001" s="1">
        <v>4.3518518518518515E-3</v>
      </c>
      <c r="I3001" t="s">
        <v>23</v>
      </c>
      <c r="J3001" s="2" t="str">
        <f>HYPERLINK("https://www.nba.com/stats/events?CFID=&amp;CFPARAMS=&amp;GameEventID=598&amp;GameID=0021900115&amp;Season=2019-20&amp;flag=1&amp;title=[LAC]%20Leonard%20layup:%20Made%20(17%20PTS)", "[LAC] Leonard layup: Made (17 PTS)")</f>
        <v>[LAC] Leonard layup: Made (17 PTS)</v>
      </c>
      <c r="K3001" s="2" t="str">
        <f>HYPERLINK("https://www.nba.com/game/...-vs-...-0021900115/play-by-play?watchFullGame=true", "LAC vs POR - Q4 06:16.00")</f>
        <v>LAC vs POR - Q4 06:16.00</v>
      </c>
      <c r="L3001">
        <v>2.36</v>
      </c>
      <c r="M3001">
        <v>94</v>
      </c>
      <c r="N3001">
        <v>54.34</v>
      </c>
      <c r="O3001">
        <v>22</v>
      </c>
      <c r="P3001">
        <v>4</v>
      </c>
    </row>
    <row r="3002" spans="1:16" x14ac:dyDescent="0.25">
      <c r="A3002">
        <v>22200423</v>
      </c>
      <c r="B3002">
        <v>2022</v>
      </c>
      <c r="C3002" t="s">
        <v>32</v>
      </c>
      <c r="D3002" t="s">
        <v>47</v>
      </c>
      <c r="E3002">
        <v>33</v>
      </c>
      <c r="F3002">
        <v>37</v>
      </c>
      <c r="G3002">
        <v>2</v>
      </c>
      <c r="H3002" s="1">
        <v>1.6666666666666668E-3</v>
      </c>
      <c r="I3002" t="s">
        <v>23</v>
      </c>
      <c r="J3002" s="2" t="str">
        <f>HYPERLINK("https://www.nba.com/stats/events?CFID=&amp;CFPARAMS=&amp;GameEventID=290&amp;GameID=0022200423&amp;Season=2022-23&amp;flag=1&amp;title=Leonard%20driving%20Layup%20(6%20PTS)", "Driving Layup (6 PTS)")</f>
        <v>Driving Layup (6 PTS)</v>
      </c>
      <c r="K3002" s="2" t="str">
        <f>HYPERLINK("https://www.nba.com/game/...-vs-...-0022200423/play-by-play?watchFullGame=true", "LAC vs MIN - Q2 02:24.00")</f>
        <v>LAC vs MIN - Q2 02:24.00</v>
      </c>
      <c r="L3002">
        <v>2.2999999999999998</v>
      </c>
      <c r="M3002">
        <v>93.74</v>
      </c>
      <c r="N3002">
        <v>54.41</v>
      </c>
      <c r="O3002">
        <v>22</v>
      </c>
      <c r="P3002">
        <v>6</v>
      </c>
    </row>
    <row r="3003" spans="1:16" x14ac:dyDescent="0.25">
      <c r="A3003">
        <v>21501063</v>
      </c>
      <c r="B3003">
        <v>2015</v>
      </c>
      <c r="C3003" t="s">
        <v>32</v>
      </c>
      <c r="D3003" t="s">
        <v>49</v>
      </c>
      <c r="E3003">
        <v>49</v>
      </c>
      <c r="F3003">
        <v>43</v>
      </c>
      <c r="G3003">
        <v>2</v>
      </c>
      <c r="H3003" s="1">
        <v>2.1759259259259258E-3</v>
      </c>
      <c r="I3003" t="s">
        <v>18</v>
      </c>
      <c r="J3003" s="2" t="str">
        <f>HYPERLINK("https://www.nba.com/stats/events?CFID=&amp;CFPARAMS=&amp;GameEventID=203&amp;GameID=0021501063&amp;Season=2015-16&amp;flag=1&amp;title=Leonard%202'%20Driving%20Layup%20(17%20PTS)%20(Duncan%203%20AST)", "Leonard 2' Driving Layup (17 PTS) (Duncan 3 AST)")</f>
        <v>Leonard 2' Driving Layup (17 PTS) (Duncan 3 AST)</v>
      </c>
      <c r="K3003" s="2" t="str">
        <f>HYPERLINK("https://www.nba.com/game/...-vs-...-0021501063/play-by-play?watchFullGame=true", "SAS vs MIA - Q2 03:08.00")</f>
        <v>SAS vs MIA - Q2 03:08.00</v>
      </c>
      <c r="L3003">
        <v>2</v>
      </c>
      <c r="M3003">
        <v>22</v>
      </c>
      <c r="N3003">
        <v>8</v>
      </c>
      <c r="O3003">
        <v>22</v>
      </c>
      <c r="P3003">
        <v>8</v>
      </c>
    </row>
    <row r="3004" spans="1:16" x14ac:dyDescent="0.25">
      <c r="A3004">
        <v>22200579</v>
      </c>
      <c r="B3004">
        <v>2022</v>
      </c>
      <c r="C3004" t="s">
        <v>32</v>
      </c>
      <c r="D3004" t="s">
        <v>47</v>
      </c>
      <c r="E3004">
        <v>63</v>
      </c>
      <c r="F3004">
        <v>27</v>
      </c>
      <c r="G3004">
        <v>2</v>
      </c>
      <c r="H3004" s="1">
        <v>1.3310185185185185E-3</v>
      </c>
      <c r="I3004" t="s">
        <v>23</v>
      </c>
      <c r="J3004" s="2" t="str">
        <f>HYPERLINK("https://www.nba.com/stats/events?CFID=&amp;CFPARAMS=&amp;GameEventID=267&amp;GameID=0022200579&amp;Season=2022-23&amp;flag=1&amp;title=Leonard%20driving%20Layup%20(6%20PTS)", "Driving Layup (6 PTS)")</f>
        <v>Driving Layup (6 PTS)</v>
      </c>
      <c r="K3004" s="2" t="str">
        <f>HYPERLINK("https://www.nba.com/game/...-vs-...-0022200579/play-by-play?watchFullGame=true", "LAC vs DEN - Q2 01:55.00")</f>
        <v>LAC vs DEN - Q2 01:55.00</v>
      </c>
      <c r="L3004">
        <v>2.52</v>
      </c>
      <c r="M3004">
        <v>93.12</v>
      </c>
      <c r="N3004">
        <v>54.41</v>
      </c>
      <c r="O3004">
        <v>22</v>
      </c>
      <c r="P3004">
        <v>12</v>
      </c>
    </row>
    <row r="3005" spans="1:16" x14ac:dyDescent="0.25">
      <c r="A3005">
        <v>22200701</v>
      </c>
      <c r="B3005">
        <v>2022</v>
      </c>
      <c r="C3005" t="s">
        <v>32</v>
      </c>
      <c r="D3005" t="s">
        <v>47</v>
      </c>
      <c r="E3005">
        <v>98</v>
      </c>
      <c r="F3005">
        <v>112</v>
      </c>
      <c r="G3005">
        <v>4</v>
      </c>
      <c r="H3005" s="1">
        <v>5.4166666666666664E-4</v>
      </c>
      <c r="I3005" t="s">
        <v>23</v>
      </c>
      <c r="J3005" s="2" t="str">
        <f>HYPERLINK("https://www.nba.com/stats/events?CFID=&amp;CFPARAMS=&amp;GameEventID=604&amp;GameID=0022200701&amp;Season=2022-23&amp;flag=1&amp;title=Leonard%20Layup%20(30%20PTS)", "Layup (30 PTS)")</f>
        <v>Layup (30 PTS)</v>
      </c>
      <c r="K3005" s="2" t="str">
        <f>HYPERLINK("https://www.nba.com/game/...-vs-...-0022200701/play-by-play?watchFullGame=true", "LAC vs DAL - Q4 00:46.80")</f>
        <v>LAC vs DAL - Q4 00:46.80</v>
      </c>
      <c r="L3005">
        <v>2.6</v>
      </c>
      <c r="M3005">
        <v>7.05</v>
      </c>
      <c r="N3005">
        <v>45.59</v>
      </c>
      <c r="O3005">
        <v>22</v>
      </c>
      <c r="P3005">
        <v>14</v>
      </c>
    </row>
    <row r="3006" spans="1:16" x14ac:dyDescent="0.25">
      <c r="A3006">
        <v>41800212</v>
      </c>
      <c r="B3006" t="s">
        <v>20</v>
      </c>
      <c r="C3006" t="s">
        <v>32</v>
      </c>
      <c r="D3006" t="s">
        <v>75</v>
      </c>
      <c r="E3006">
        <v>35</v>
      </c>
      <c r="F3006">
        <v>51</v>
      </c>
      <c r="G3006">
        <v>2</v>
      </c>
      <c r="H3006" s="1">
        <v>6.5393518518518513E-4</v>
      </c>
      <c r="I3006" t="s">
        <v>21</v>
      </c>
      <c r="J3006" s="2" t="str">
        <f>HYPERLINK("https://www.nba.com/stats/events?CFID=&amp;CFPARAMS=&amp;GameEventID=316&amp;GameID=0041800212&amp;Season=2018-19&amp;flag=1&amp;title=Leonard%203'%20Cutting%20Layup%20Shot%20(15%20PTS)%20(Lowry%203%20AST)", "Leonard 3' Cutting Layup Shot (15 PTS) (Lowry 3 AST)")</f>
        <v>Leonard 3' Cutting Layup Shot (15 PTS) (Lowry 3 AST)</v>
      </c>
      <c r="K3006" s="2" t="str">
        <f>HYPERLINK("https://www.nba.com/game/...-vs-...-0041800212/play-by-play?watchFullGame=true", "TOR vs PHI - Q2 00:56.50")</f>
        <v>TOR vs PHI - Q2 00:56.50</v>
      </c>
      <c r="L3006">
        <v>3</v>
      </c>
      <c r="M3006">
        <v>22</v>
      </c>
      <c r="N3006">
        <v>15</v>
      </c>
      <c r="O3006">
        <v>22</v>
      </c>
      <c r="P3006">
        <v>15</v>
      </c>
    </row>
    <row r="3007" spans="1:16" x14ac:dyDescent="0.25">
      <c r="A3007">
        <v>21900626</v>
      </c>
      <c r="B3007">
        <v>2019</v>
      </c>
      <c r="C3007" t="s">
        <v>32</v>
      </c>
      <c r="D3007" t="s">
        <v>50</v>
      </c>
      <c r="E3007">
        <v>117</v>
      </c>
      <c r="F3007">
        <v>120</v>
      </c>
      <c r="G3007">
        <v>4</v>
      </c>
      <c r="H3007" s="1">
        <v>4.4560185185185189E-3</v>
      </c>
      <c r="I3007" t="s">
        <v>23</v>
      </c>
      <c r="J3007" s="2" t="str">
        <f>HYPERLINK("https://www.nba.com/stats/events?CFID=&amp;CFPARAMS=&amp;GameEventID=645&amp;GameID=0021900626&amp;Season=2019-20&amp;flag=1&amp;title=Leonard%20layup%20(35%20PTS)", "Layup (35 PTS)")</f>
        <v>Layup (35 PTS)</v>
      </c>
      <c r="K3007" s="2" t="str">
        <f>HYPERLINK("https://www.nba.com/game/...-vs-...-0021900626/play-by-play?watchFullGame=true", "LAC vs NOP - Q4 06:25.00")</f>
        <v>LAC vs NOP - Q4 06:25.00</v>
      </c>
      <c r="L3007">
        <v>3.1</v>
      </c>
      <c r="M3007">
        <v>92.72</v>
      </c>
      <c r="N3007">
        <v>54.48</v>
      </c>
      <c r="O3007">
        <v>22</v>
      </c>
      <c r="P3007">
        <v>16</v>
      </c>
    </row>
    <row r="3008" spans="1:16" x14ac:dyDescent="0.25">
      <c r="A3008">
        <v>21500235</v>
      </c>
      <c r="B3008">
        <v>2015</v>
      </c>
      <c r="C3008" t="s">
        <v>32</v>
      </c>
      <c r="D3008" t="s">
        <v>49</v>
      </c>
      <c r="E3008">
        <v>36</v>
      </c>
      <c r="F3008">
        <v>33</v>
      </c>
      <c r="G3008">
        <v>2</v>
      </c>
      <c r="H3008" s="1">
        <v>3.0324074074074073E-3</v>
      </c>
      <c r="I3008" t="s">
        <v>18</v>
      </c>
      <c r="J3008" s="2" t="str">
        <f>HYPERLINK("https://www.nba.com/stats/events?CFID=&amp;CFPARAMS=&amp;GameEventID=195&amp;GameID=0021500235&amp;Season=2015-16&amp;flag=1&amp;title=Leonard%203'%20Driving%20Layup%20(8%20PTS)", "Leonard 3' Driving Layup (8 PTS)")</f>
        <v>Leonard 3' Driving Layup (8 PTS)</v>
      </c>
      <c r="K3008" s="2" t="str">
        <f>HYPERLINK("https://www.nba.com/game/...-vs-...-0021500235/play-by-play?watchFullGame=true", "SAS vs DEN - Q2 04:22.00")</f>
        <v>SAS vs DEN - Q2 04:22.00</v>
      </c>
      <c r="L3008">
        <v>3</v>
      </c>
      <c r="M3008">
        <v>22</v>
      </c>
      <c r="N3008">
        <v>16</v>
      </c>
      <c r="O3008">
        <v>22</v>
      </c>
      <c r="P3008">
        <v>16</v>
      </c>
    </row>
    <row r="3009" spans="1:16" x14ac:dyDescent="0.25">
      <c r="A3009">
        <v>22000324</v>
      </c>
      <c r="B3009">
        <v>2020</v>
      </c>
      <c r="C3009" t="s">
        <v>32</v>
      </c>
      <c r="D3009" t="s">
        <v>47</v>
      </c>
      <c r="E3009">
        <v>82</v>
      </c>
      <c r="F3009">
        <v>81</v>
      </c>
      <c r="G3009">
        <v>3</v>
      </c>
      <c r="H3009" s="1">
        <v>1.6087962962962963E-3</v>
      </c>
      <c r="I3009" t="s">
        <v>23</v>
      </c>
      <c r="J3009" s="2" t="str">
        <f>HYPERLINK("https://www.nba.com/stats/events?CFID=&amp;CFPARAMS=&amp;GameEventID=408&amp;GameID=0022000324&amp;Season=2020-21&amp;flag=1&amp;title=Leonard%20driving%20Layup%20(20%20PTS)", "Driving Layup (20 PTS)")</f>
        <v>Driving Layup (20 PTS)</v>
      </c>
      <c r="K3009" s="2" t="str">
        <f>HYPERLINK("https://www.nba.com/game/...-vs-...-0022000324/play-by-play?watchFullGame=true", "LAC vs BKN - Q3 02:19.00")</f>
        <v>LAC vs BKN - Q3 02:19.00</v>
      </c>
      <c r="L3009">
        <v>3.15</v>
      </c>
      <c r="M3009">
        <v>92.07</v>
      </c>
      <c r="N3009">
        <v>54.48</v>
      </c>
      <c r="O3009">
        <v>22</v>
      </c>
      <c r="P3009">
        <v>22</v>
      </c>
    </row>
    <row r="3010" spans="1:16" x14ac:dyDescent="0.25">
      <c r="A3010">
        <v>41500236</v>
      </c>
      <c r="B3010" t="s">
        <v>25</v>
      </c>
      <c r="C3010" t="s">
        <v>32</v>
      </c>
      <c r="D3010" t="s">
        <v>54</v>
      </c>
      <c r="E3010">
        <v>6</v>
      </c>
      <c r="F3010">
        <v>8</v>
      </c>
      <c r="G3010">
        <v>1</v>
      </c>
      <c r="H3010" s="1">
        <v>5.6481481481481478E-3</v>
      </c>
      <c r="I3010" t="s">
        <v>18</v>
      </c>
      <c r="J3010" s="2" t="str">
        <f>HYPERLINK("https://www.nba.com/stats/events?CFID=&amp;CFPARAMS=&amp;GameEventID=27&amp;GameID=0041500236&amp;Season=2015-16&amp;flag=1&amp;title=Leonard%204'%20Driving%20Bank%20Shot%20(2%20PTS)", "Leonard 4' Driving Bank Shot (2 PTS)")</f>
        <v>Leonard 4' Driving Bank Shot (2 PTS)</v>
      </c>
      <c r="K3010" s="2" t="str">
        <f>HYPERLINK("https://www.nba.com/game/...-vs-...-0041500236/play-by-play?watchFullGame=true", "SAS vs OKC - Q1 08:08.00")</f>
        <v>SAS vs OKC - Q1 08:08.00</v>
      </c>
      <c r="L3010">
        <v>4</v>
      </c>
      <c r="M3010">
        <v>22</v>
      </c>
      <c r="N3010">
        <v>31</v>
      </c>
      <c r="O3010">
        <v>22</v>
      </c>
      <c r="P3010">
        <v>31</v>
      </c>
    </row>
    <row r="3011" spans="1:16" x14ac:dyDescent="0.25">
      <c r="A3011">
        <v>21500546</v>
      </c>
      <c r="B3011">
        <v>2015</v>
      </c>
      <c r="C3011" t="s">
        <v>32</v>
      </c>
      <c r="D3011" t="s">
        <v>19</v>
      </c>
      <c r="E3011">
        <v>61</v>
      </c>
      <c r="F3011">
        <v>59</v>
      </c>
      <c r="G3011">
        <v>3</v>
      </c>
      <c r="H3011" s="1">
        <v>5.4629629629629629E-3</v>
      </c>
      <c r="I3011" t="s">
        <v>18</v>
      </c>
      <c r="J3011" s="2" t="str">
        <f>HYPERLINK("https://www.nba.com/stats/events?CFID=&amp;CFPARAMS=&amp;GameEventID=304&amp;GameID=0021500546&amp;Season=2015-16&amp;flag=1&amp;title=Leonard%204'%20Jump%20Shot%20(15%20PTS)", "Leonard 4' Jump Shot (15 PTS)")</f>
        <v>Leonard 4' Jump Shot (15 PTS)</v>
      </c>
      <c r="K3011" s="2" t="str">
        <f>HYPERLINK("https://www.nba.com/game/...-vs-...-0021500546/play-by-play?watchFullGame=true", "SAS vs NYK - Q3 07:52.00")</f>
        <v>SAS vs NYK - Q3 07:52.00</v>
      </c>
      <c r="L3011">
        <v>4</v>
      </c>
      <c r="M3011">
        <v>22</v>
      </c>
      <c r="N3011">
        <v>36</v>
      </c>
      <c r="O3011">
        <v>22</v>
      </c>
      <c r="P3011">
        <v>36</v>
      </c>
    </row>
    <row r="3012" spans="1:16" x14ac:dyDescent="0.25">
      <c r="A3012">
        <v>22201162</v>
      </c>
      <c r="B3012">
        <v>2022</v>
      </c>
      <c r="C3012" t="s">
        <v>32</v>
      </c>
      <c r="D3012" t="s">
        <v>19</v>
      </c>
      <c r="E3012">
        <v>101</v>
      </c>
      <c r="F3012">
        <v>99</v>
      </c>
      <c r="G3012">
        <v>4</v>
      </c>
      <c r="H3012" s="1">
        <v>5.5092592592592589E-3</v>
      </c>
      <c r="I3012" t="s">
        <v>23</v>
      </c>
      <c r="J3012" s="2" t="str">
        <f>HYPERLINK("https://www.nba.com/stats/events?CFID=&amp;CFPARAMS=&amp;GameEventID=535&amp;GameID=0022201162&amp;Season=2022-23&amp;flag=1&amp;title=Leonard%20turnaround%20fadeaway%20Jump%20Shot%20(31%20PTS)", "Turnaround fadeaway Jump Shot (31 PTS)")</f>
        <v>Turnaround fadeaway Jump Shot (31 PTS)</v>
      </c>
      <c r="K3012" s="2" t="str">
        <f>HYPERLINK("https://www.nba.com/game/...-vs-...-0022201162/play-by-play?watchFullGame=true", "LAC vs NOP - Q4 07:56.00")</f>
        <v>LAC vs NOP - Q4 07:56.00</v>
      </c>
      <c r="L3012">
        <v>4.9800000000000004</v>
      </c>
      <c r="M3012">
        <v>10.33</v>
      </c>
      <c r="N3012">
        <v>45.59</v>
      </c>
      <c r="O3012">
        <v>22</v>
      </c>
      <c r="P3012">
        <v>45</v>
      </c>
    </row>
    <row r="3013" spans="1:16" x14ac:dyDescent="0.25">
      <c r="A3013">
        <v>22300956</v>
      </c>
      <c r="B3013">
        <v>2023</v>
      </c>
      <c r="C3013" t="s">
        <v>32</v>
      </c>
      <c r="D3013" t="s">
        <v>44</v>
      </c>
      <c r="E3013">
        <v>61</v>
      </c>
      <c r="F3013">
        <v>78</v>
      </c>
      <c r="G3013">
        <v>3</v>
      </c>
      <c r="H3013" s="1">
        <v>5.5208333333333333E-3</v>
      </c>
      <c r="I3013" t="s">
        <v>23</v>
      </c>
      <c r="J3013" s="2" t="str">
        <f>HYPERLINK("https://www.nba.com/stats/events?CFID=&amp;CFPARAMS=&amp;GameEventID=331&amp;GameID=0022300956&amp;Season=2023-24&amp;flag=1&amp;title=Leonard%20driving%20Hook%20(22%20PTS)%20(P.%20George%205%20AST)", "Driving Hook (22 PTS) (P. George 5 AST)")</f>
        <v>Driving Hook (22 PTS) (P. George 5 AST)</v>
      </c>
      <c r="K3013" s="2" t="str">
        <f>HYPERLINK("https://www.nba.com/game/...-vs-...-0022300956/play-by-play?watchFullGame=true", "LAC vs CHI - Q3 07:57.00")</f>
        <v>LAC vs CHI - Q3 07:57.00</v>
      </c>
      <c r="L3013">
        <v>5.0599999999999996</v>
      </c>
      <c r="M3013">
        <v>89.57</v>
      </c>
      <c r="N3013">
        <v>54.41</v>
      </c>
      <c r="O3013">
        <v>22</v>
      </c>
      <c r="P3013">
        <v>46</v>
      </c>
    </row>
    <row r="3014" spans="1:16" x14ac:dyDescent="0.25">
      <c r="A3014">
        <v>21901271</v>
      </c>
      <c r="B3014">
        <v>2019</v>
      </c>
      <c r="C3014" t="s">
        <v>32</v>
      </c>
      <c r="D3014" t="s">
        <v>53</v>
      </c>
      <c r="E3014">
        <v>9</v>
      </c>
      <c r="F3014">
        <v>11</v>
      </c>
      <c r="G3014">
        <v>1</v>
      </c>
      <c r="H3014" s="1">
        <v>4.43287037037037E-3</v>
      </c>
      <c r="I3014" t="s">
        <v>23</v>
      </c>
      <c r="J3014" s="2" t="str">
        <f>HYPERLINK("https://www.nba.com/stats/events?CFID=&amp;CFPARAMS=&amp;GameEventID=73&amp;GameID=0021901271&amp;Season=2019-20&amp;flag=1&amp;title=Leonard%206'%20hook%20(2%20PTS)", "6' hook (2 PTS)")</f>
        <v>6' hook (2 PTS)</v>
      </c>
      <c r="K3014" s="2" t="str">
        <f>HYPERLINK("https://www.nba.com/game/...-vs-...-0021901271/play-by-play?watchFullGame=true", "LAC vs DAL - Q1 06:23.00")</f>
        <v>LAC vs DAL - Q1 06:23.00</v>
      </c>
      <c r="L3014">
        <v>5.69</v>
      </c>
      <c r="M3014">
        <v>10.59</v>
      </c>
      <c r="N3014">
        <v>45.66</v>
      </c>
      <c r="O3014">
        <v>22</v>
      </c>
      <c r="P3014">
        <v>47</v>
      </c>
    </row>
    <row r="3015" spans="1:16" x14ac:dyDescent="0.25">
      <c r="A3015">
        <v>42000176</v>
      </c>
      <c r="B3015" t="s">
        <v>83</v>
      </c>
      <c r="C3015" t="s">
        <v>32</v>
      </c>
      <c r="D3015" t="s">
        <v>19</v>
      </c>
      <c r="E3015">
        <v>67</v>
      </c>
      <c r="F3015">
        <v>62</v>
      </c>
      <c r="G3015">
        <v>3</v>
      </c>
      <c r="H3015" s="1">
        <v>4.0162037037037041E-3</v>
      </c>
      <c r="I3015" t="s">
        <v>23</v>
      </c>
      <c r="J3015" s="2" t="str">
        <f>HYPERLINK("https://www.nba.com/stats/events?CFID=&amp;CFPARAMS=&amp;GameEventID=390&amp;GameID=0042000176&amp;Season=2020-21&amp;flag=1&amp;title=Leonard%2015'%20Jump%20Shot%20(22%20PTS)", "15' Jump Shot (22 PTS)")</f>
        <v>15' Jump Shot (22 PTS)</v>
      </c>
      <c r="K3015" s="2" t="str">
        <f>HYPERLINK("https://www.nba.com/game/...-vs-...-0042000176/play-by-play?watchFullGame=true", "LAC vs DAL - Q3 05:47.00")</f>
        <v>LAC vs DAL - Q3 05:47.00</v>
      </c>
      <c r="L3015">
        <v>15.76</v>
      </c>
      <c r="M3015">
        <v>22.29</v>
      </c>
      <c r="N3015">
        <v>52.77</v>
      </c>
      <c r="O3015">
        <v>22</v>
      </c>
      <c r="P3015">
        <v>52</v>
      </c>
    </row>
    <row r="3016" spans="1:16" x14ac:dyDescent="0.25">
      <c r="A3016">
        <v>22300956</v>
      </c>
      <c r="B3016">
        <v>2023</v>
      </c>
      <c r="C3016" t="s">
        <v>32</v>
      </c>
      <c r="D3016" t="s">
        <v>19</v>
      </c>
      <c r="E3016">
        <v>49</v>
      </c>
      <c r="F3016">
        <v>58</v>
      </c>
      <c r="G3016">
        <v>2</v>
      </c>
      <c r="H3016" s="1">
        <v>2.638888888888889E-3</v>
      </c>
      <c r="I3016" t="s">
        <v>23</v>
      </c>
      <c r="J3016" s="2" t="str">
        <f>HYPERLINK("https://www.nba.com/stats/events?CFID=&amp;CFPARAMS=&amp;GameEventID=245&amp;GameID=0022300956&amp;Season=2023-24&amp;flag=1&amp;title=Leonard%206'%20pullup%20Jump%20Shot%20(14%20PTS)%20(B.%20Hyland%203%20AST)", "6' pullup Jump Shot (14 PTS) (B. Hyland 3 AST)")</f>
        <v>6' pullup Jump Shot (14 PTS) (B. Hyland 3 AST)</v>
      </c>
      <c r="K3016" s="2" t="str">
        <f>HYPERLINK("https://www.nba.com/game/...-vs-...-0022300956/play-by-play?watchFullGame=true", "LAC vs CHI - Q2 03:48.00")</f>
        <v>LAC vs CHI - Q2 03:48.00</v>
      </c>
      <c r="L3016">
        <v>6.92</v>
      </c>
      <c r="M3016">
        <v>12.57</v>
      </c>
      <c r="N3016">
        <v>45.59</v>
      </c>
      <c r="O3016">
        <v>22</v>
      </c>
      <c r="P3016">
        <v>66</v>
      </c>
    </row>
    <row r="3017" spans="1:16" x14ac:dyDescent="0.25">
      <c r="A3017">
        <v>42000223</v>
      </c>
      <c r="B3017" t="s">
        <v>85</v>
      </c>
      <c r="C3017" t="s">
        <v>32</v>
      </c>
      <c r="D3017" t="s">
        <v>19</v>
      </c>
      <c r="E3017">
        <v>51</v>
      </c>
      <c r="F3017">
        <v>41</v>
      </c>
      <c r="G3017">
        <v>2</v>
      </c>
      <c r="H3017" s="1">
        <v>2.8703703703703703E-3</v>
      </c>
      <c r="I3017" t="s">
        <v>23</v>
      </c>
      <c r="J3017" s="2" t="str">
        <f>HYPERLINK("https://www.nba.com/stats/events?CFID=&amp;CFPARAMS=&amp;GameEventID=238&amp;GameID=0042000223&amp;Season=2020-21&amp;flag=1&amp;title=Leonard%2018'%20pullup%20Jump%20Shot%20(10%20PTS)", "18' pullup Jump Shot (10 PTS)")</f>
        <v>18' pullup Jump Shot (10 PTS)</v>
      </c>
      <c r="K3017" s="2" t="str">
        <f>HYPERLINK("https://www.nba.com/game/...-vs-...-0042000223/play-by-play?watchFullGame=true", "LAC vs UTA - Q2 04:08.00")</f>
        <v>LAC vs UTA - Q2 04:08.00</v>
      </c>
      <c r="L3017">
        <v>18.63</v>
      </c>
      <c r="M3017">
        <v>22.91</v>
      </c>
      <c r="N3017">
        <v>68.069999999999993</v>
      </c>
      <c r="O3017">
        <v>22</v>
      </c>
      <c r="P3017">
        <v>68</v>
      </c>
    </row>
    <row r="3018" spans="1:16" x14ac:dyDescent="0.25">
      <c r="A3018">
        <v>22300343</v>
      </c>
      <c r="B3018">
        <v>2023</v>
      </c>
      <c r="C3018" t="s">
        <v>32</v>
      </c>
      <c r="D3018" t="s">
        <v>19</v>
      </c>
      <c r="E3018">
        <v>54</v>
      </c>
      <c r="F3018">
        <v>54</v>
      </c>
      <c r="G3018">
        <v>2</v>
      </c>
      <c r="H3018" s="1">
        <v>3.8425925925925928E-3</v>
      </c>
      <c r="I3018" t="s">
        <v>23</v>
      </c>
      <c r="J3018" s="2" t="str">
        <f>HYPERLINK("https://www.nba.com/stats/events?CFID=&amp;CFPARAMS=&amp;GameEventID=286&amp;GameID=0022300343&amp;Season=2023-24&amp;flag=1&amp;title=Leonard%207'%20turnaround%20fadeaway%20Jump%20Shot%20(14%20PTS)%20(J.%20Harden%205%20AST)", "7' turnaround fadeaway Jump Shot (14 PTS) (J. Harden 5 AST)")</f>
        <v>7' turnaround fadeaway Jump Shot (14 PTS) (J. Harden 5 AST)</v>
      </c>
      <c r="K3018" s="2" t="str">
        <f>HYPERLINK("https://www.nba.com/game/...-vs-...-0022300343/play-by-play?watchFullGame=true", "LAC vs NYK - Q2 05:32.00")</f>
        <v>LAC vs NYK - Q2 05:32.00</v>
      </c>
      <c r="L3018">
        <v>7.51</v>
      </c>
      <c r="M3018">
        <v>86.78</v>
      </c>
      <c r="N3018">
        <v>54.41</v>
      </c>
      <c r="O3018">
        <v>22</v>
      </c>
      <c r="P3018">
        <v>72</v>
      </c>
    </row>
    <row r="3019" spans="1:16" x14ac:dyDescent="0.25">
      <c r="A3019">
        <v>21900002</v>
      </c>
      <c r="B3019">
        <v>2019</v>
      </c>
      <c r="C3019" t="s">
        <v>32</v>
      </c>
      <c r="D3019" t="s">
        <v>19</v>
      </c>
      <c r="E3019">
        <v>19</v>
      </c>
      <c r="F3019">
        <v>25</v>
      </c>
      <c r="G3019">
        <v>1</v>
      </c>
      <c r="H3019" s="1">
        <v>6.8981481481481487E-4</v>
      </c>
      <c r="I3019" t="s">
        <v>23</v>
      </c>
      <c r="J3019" s="2" t="str">
        <f>HYPERLINK("https://www.nba.com/stats/events?CFID=&amp;CFPARAMS=&amp;GameEventID=168&amp;GameID=0021900002&amp;Season=2019-20&amp;flag=1&amp;title=Leonard%209'%20turnaround%20fadeaway%20Jump%20Shot%20(4%20PTS)", "9' turnaround fadeaway Jump Shot (4 PTS)")</f>
        <v>9' turnaround fadeaway Jump Shot (4 PTS)</v>
      </c>
      <c r="K3019" s="2" t="str">
        <f>HYPERLINK("https://www.nba.com/game/...-vs-...-0021900002/play-by-play?watchFullGame=true", "LAC vs LAL - Q1 00:59.60")</f>
        <v>LAC vs LAL - Q1 00:59.60</v>
      </c>
      <c r="L3019">
        <v>9.1</v>
      </c>
      <c r="M3019">
        <v>85.59</v>
      </c>
      <c r="N3019">
        <v>54.34</v>
      </c>
      <c r="O3019">
        <v>22</v>
      </c>
      <c r="P3019">
        <v>83</v>
      </c>
    </row>
    <row r="3020" spans="1:16" x14ac:dyDescent="0.25">
      <c r="A3020">
        <v>41800303</v>
      </c>
      <c r="B3020" t="s">
        <v>20</v>
      </c>
      <c r="C3020" t="s">
        <v>32</v>
      </c>
      <c r="D3020" t="s">
        <v>35</v>
      </c>
      <c r="E3020">
        <v>35</v>
      </c>
      <c r="F3020">
        <v>29</v>
      </c>
      <c r="G3020">
        <v>2</v>
      </c>
      <c r="H3020" s="1">
        <v>5.4976851851851853E-3</v>
      </c>
      <c r="I3020" t="s">
        <v>21</v>
      </c>
      <c r="J3020" s="2" t="str">
        <f>HYPERLINK("https://www.nba.com/stats/events?CFID=&amp;CFPARAMS=&amp;GameEventID=238&amp;GameID=0041800303&amp;Season=2018-19&amp;flag=1&amp;title=Leonard%2010'%20Driving%20Floating%20Jump%20Shot%20(7%20PTS)%20(VanVleet%203%20AST)", "Leonard 10' Driving Floating Jump Shot (7 PTS) (VanVleet 3 AST)")</f>
        <v>Leonard 10' Driving Floating Jump Shot (7 PTS) (VanVleet 3 AST)</v>
      </c>
      <c r="K3020" s="2" t="str">
        <f>HYPERLINK("https://www.nba.com/game/...-vs-...-0041800303/play-by-play?watchFullGame=true", "TOR vs MIL - Q2 07:55.00")</f>
        <v>TOR vs MIL - Q2 07:55.00</v>
      </c>
      <c r="L3020">
        <v>10</v>
      </c>
      <c r="M3020">
        <v>22</v>
      </c>
      <c r="N3020">
        <v>95</v>
      </c>
      <c r="O3020">
        <v>22</v>
      </c>
      <c r="P3020">
        <v>95</v>
      </c>
    </row>
    <row r="3021" spans="1:16" x14ac:dyDescent="0.25">
      <c r="A3021">
        <v>22000105</v>
      </c>
      <c r="B3021">
        <v>2020</v>
      </c>
      <c r="C3021" t="s">
        <v>32</v>
      </c>
      <c r="D3021" t="s">
        <v>19</v>
      </c>
      <c r="E3021">
        <v>40</v>
      </c>
      <c r="F3021">
        <v>60</v>
      </c>
      <c r="G3021">
        <v>2</v>
      </c>
      <c r="H3021" s="1">
        <v>2.0949074074074073E-3</v>
      </c>
      <c r="I3021" t="s">
        <v>23</v>
      </c>
      <c r="J3021" s="2" t="str">
        <f>HYPERLINK("https://www.nba.com/stats/events?CFID=&amp;CFPARAMS=&amp;GameEventID=275&amp;GameID=0022000105&amp;Season=2020-21&amp;flag=1&amp;title=Leonard%2010'%20turnaround%20fadeaway%20Jump%20Shot%20(13%20PTS)", "10' turnaround fadeaway Jump Shot (13 PTS)")</f>
        <v>10' turnaround fadeaway Jump Shot (13 PTS)</v>
      </c>
      <c r="K3021" s="2" t="str">
        <f>HYPERLINK("https://www.nba.com/game/...-vs-...-0022000105/play-by-play?watchFullGame=true", "LAC vs SAS - Q2 03:01.00")</f>
        <v>LAC vs SAS - Q2 03:01.00</v>
      </c>
      <c r="L3021">
        <v>10.37</v>
      </c>
      <c r="M3021">
        <v>16.38</v>
      </c>
      <c r="N3021">
        <v>45.66</v>
      </c>
      <c r="O3021">
        <v>22</v>
      </c>
      <c r="P3021">
        <v>101</v>
      </c>
    </row>
    <row r="3022" spans="1:16" x14ac:dyDescent="0.25">
      <c r="A3022">
        <v>21901291</v>
      </c>
      <c r="B3022">
        <v>2019</v>
      </c>
      <c r="C3022" t="s">
        <v>32</v>
      </c>
      <c r="D3022" t="s">
        <v>22</v>
      </c>
      <c r="E3022">
        <v>2</v>
      </c>
      <c r="F3022">
        <v>3</v>
      </c>
      <c r="G3022">
        <v>1</v>
      </c>
      <c r="H3022" s="1">
        <v>7.3495370370370372E-3</v>
      </c>
      <c r="I3022" t="s">
        <v>23</v>
      </c>
      <c r="J3022" s="2" t="str">
        <f>HYPERLINK("https://www.nba.com/stats/events?CFID=&amp;CFPARAMS=&amp;GameEventID=17&amp;GameID=0021901291&amp;Season=2019-20&amp;flag=1&amp;title=Leonard%2013'%20jumpshot%20(2%20PTS)", "13' jumpshot (2 PTS)")</f>
        <v>13' jumpshot (2 PTS)</v>
      </c>
      <c r="K3022" s="2" t="str">
        <f>HYPERLINK("https://www.nba.com/game/...-vs-...-0021901291/play-by-play?watchFullGame=true", "LAC vs BKN - Q1 10:35.00")</f>
        <v>LAC vs BKN - Q1 10:35.00</v>
      </c>
      <c r="L3022">
        <v>12.59</v>
      </c>
      <c r="M3022">
        <v>81.819999999999993</v>
      </c>
      <c r="N3022">
        <v>54.48</v>
      </c>
      <c r="O3022">
        <v>22</v>
      </c>
      <c r="P3022">
        <v>118</v>
      </c>
    </row>
    <row r="3023" spans="1:16" x14ac:dyDescent="0.25">
      <c r="A3023">
        <v>22200239</v>
      </c>
      <c r="B3023">
        <v>2022</v>
      </c>
      <c r="C3023" t="s">
        <v>32</v>
      </c>
      <c r="D3023" t="s">
        <v>19</v>
      </c>
      <c r="E3023">
        <v>49</v>
      </c>
      <c r="F3023">
        <v>35</v>
      </c>
      <c r="G3023">
        <v>2</v>
      </c>
      <c r="H3023" s="1">
        <v>5.185185185185185E-3</v>
      </c>
      <c r="I3023" t="s">
        <v>23</v>
      </c>
      <c r="J3023" s="2" t="str">
        <f>HYPERLINK("https://www.nba.com/stats/events?CFID=&amp;CFPARAMS=&amp;GameEventID=206&amp;GameID=0022200239&amp;Season=2022-23&amp;flag=1&amp;title=Leonard%2020'%20pullup%20Jump%20Shot%20(4%20PTS)%20(R.%20Jackson%203%20AST)", "20' pullup Jump Shot (4 PTS) (R. Jackson 3 AST)")</f>
        <v>20' pullup Jump Shot (4 PTS) (R. Jackson 3 AST)</v>
      </c>
      <c r="K3023" s="2" t="str">
        <f>HYPERLINK("https://www.nba.com/game/...-vs-...-0022200239/play-by-play?watchFullGame=true", "LAC vs SAS - Q2 07:28.00")</f>
        <v>LAC vs SAS - Q2 07:28.00</v>
      </c>
      <c r="L3023">
        <v>20.39</v>
      </c>
      <c r="M3023">
        <v>72.849999999999994</v>
      </c>
      <c r="N3023">
        <v>54.41</v>
      </c>
      <c r="O3023">
        <v>22</v>
      </c>
      <c r="P3023">
        <v>203</v>
      </c>
    </row>
    <row r="3024" spans="1:16" x14ac:dyDescent="0.25">
      <c r="A3024">
        <v>21900626</v>
      </c>
      <c r="B3024">
        <v>2019</v>
      </c>
      <c r="C3024" t="s">
        <v>16</v>
      </c>
      <c r="D3024" t="s">
        <v>22</v>
      </c>
      <c r="E3024">
        <v>12</v>
      </c>
      <c r="F3024">
        <v>17</v>
      </c>
      <c r="G3024">
        <v>1</v>
      </c>
      <c r="H3024" s="1">
        <v>4.8842592592592592E-3</v>
      </c>
      <c r="I3024" t="s">
        <v>23</v>
      </c>
      <c r="J3024" s="2" t="str">
        <f>HYPERLINK("https://www.nba.com/stats/events?CFID=&amp;CFPARAMS=&amp;GameEventID=65&amp;GameID=0021900626&amp;Season=2019-20&amp;flag=1&amp;title=Leonard%2026'%203PT%20%20(10%20PTS)%20(P.%20Beverley%203%20AST)", "26' 3PT  (10 PTS) (P. Beverley 3 AST)")</f>
        <v>26' 3PT  (10 PTS) (P. Beverley 3 AST)</v>
      </c>
      <c r="K3024" s="2" t="str">
        <f>HYPERLINK("https://www.nba.com/game/...-vs-...-0021900626/play-by-play?watchFullGame=true", "LAC vs NOP - Q1 07:02.00")</f>
        <v>LAC vs NOP - Q1 07:02.00</v>
      </c>
      <c r="L3024">
        <v>25.73</v>
      </c>
      <c r="M3024">
        <v>32.28</v>
      </c>
      <c r="N3024">
        <v>45.66</v>
      </c>
      <c r="O3024">
        <v>22</v>
      </c>
      <c r="P3024">
        <v>251</v>
      </c>
    </row>
    <row r="3025" spans="1:16" x14ac:dyDescent="0.25">
      <c r="A3025">
        <v>41300225</v>
      </c>
      <c r="B3025" t="s">
        <v>26</v>
      </c>
      <c r="C3025" t="s">
        <v>32</v>
      </c>
      <c r="D3025" t="s">
        <v>51</v>
      </c>
      <c r="E3025">
        <v>12</v>
      </c>
      <c r="F3025">
        <v>8</v>
      </c>
      <c r="G3025">
        <v>1</v>
      </c>
      <c r="H3025" s="1">
        <v>3.5069444444444445E-3</v>
      </c>
      <c r="I3025" t="s">
        <v>18</v>
      </c>
      <c r="J3025" s="2" t="str">
        <f>HYPERLINK("https://www.nba.com/stats/events?CFID=&amp;CFPARAMS=&amp;GameEventID=64&amp;GameID=0041300225&amp;Season=2013-14&amp;flag=1&amp;title=Leonard%202'%20Reverse%20Layup%20(4%20PTS)%20(Duncan%201%20AST)", "Leonard 2' Reverse Layup (4 PTS) (Duncan 1 AST)")</f>
        <v>Leonard 2' Reverse Layup (4 PTS) (Duncan 1 AST)</v>
      </c>
      <c r="K3025" s="2" t="str">
        <f>HYPERLINK("https://www.nba.com/game/...-vs-...-0041300225/play-by-play?watchFullGame=true", "SAS vs POR - Q1 05:03.00")</f>
        <v>SAS vs POR - Q1 05:03.00</v>
      </c>
      <c r="L3025">
        <v>2</v>
      </c>
      <c r="M3025">
        <v>23</v>
      </c>
      <c r="N3025">
        <v>-8</v>
      </c>
      <c r="O3025">
        <v>23</v>
      </c>
      <c r="P3025">
        <v>-8</v>
      </c>
    </row>
    <row r="3026" spans="1:16" x14ac:dyDescent="0.25">
      <c r="A3026">
        <v>22300473</v>
      </c>
      <c r="B3026">
        <v>2023</v>
      </c>
      <c r="C3026" t="s">
        <v>32</v>
      </c>
      <c r="D3026" t="s">
        <v>47</v>
      </c>
      <c r="E3026">
        <v>114</v>
      </c>
      <c r="F3026">
        <v>125</v>
      </c>
      <c r="G3026">
        <v>4</v>
      </c>
      <c r="H3026" s="1">
        <v>1.6319444444444445E-3</v>
      </c>
      <c r="I3026" t="s">
        <v>23</v>
      </c>
      <c r="J3026" s="2" t="str">
        <f>HYPERLINK("https://www.nba.com/stats/events?CFID=&amp;CFPARAMS=&amp;GameEventID=640&amp;GameID=0022300473&amp;Season=2023-24&amp;flag=1&amp;title=Leonard%20driving%20Layup%20(30%20PTS)", "Driving Layup (30 PTS)")</f>
        <v>Driving Layup (30 PTS)</v>
      </c>
      <c r="K3026" s="2" t="str">
        <f>HYPERLINK("https://www.nba.com/game/...-vs-...-0022300473/play-by-play?watchFullGame=true", "LAC vs PHX - Q4 02:21.00")</f>
        <v>LAC vs PHX - Q4 02:21.00</v>
      </c>
      <c r="L3026">
        <v>2.34</v>
      </c>
      <c r="M3026">
        <v>5.34</v>
      </c>
      <c r="N3026">
        <v>45.34</v>
      </c>
      <c r="O3026">
        <v>23</v>
      </c>
      <c r="P3026">
        <v>-2</v>
      </c>
    </row>
    <row r="3027" spans="1:16" x14ac:dyDescent="0.25">
      <c r="A3027">
        <v>21400772</v>
      </c>
      <c r="B3027">
        <v>2014</v>
      </c>
      <c r="C3027" t="s">
        <v>32</v>
      </c>
      <c r="D3027" t="s">
        <v>49</v>
      </c>
      <c r="E3027">
        <v>23</v>
      </c>
      <c r="F3027">
        <v>15</v>
      </c>
      <c r="G3027">
        <v>1</v>
      </c>
      <c r="H3027" s="1">
        <v>1.9791666666666668E-3</v>
      </c>
      <c r="I3027" t="s">
        <v>18</v>
      </c>
      <c r="J3027" s="2" t="str">
        <f>HYPERLINK("https://www.nba.com/stats/events?CFID=&amp;CFPARAMS=&amp;GameEventID=99&amp;GameID=0021400772&amp;Season=2014-15&amp;flag=1&amp;title=Leonard%202'%20Driving%20Layup%20(4%20PTS)%20(Splitter%201%20AST)", "Leonard 2' Driving Layup (4 PTS) (Splitter 1 AST)")</f>
        <v>Leonard 2' Driving Layup (4 PTS) (Splitter 1 AST)</v>
      </c>
      <c r="K3027" s="2" t="str">
        <f>HYPERLINK("https://www.nba.com/game/...-vs-...-0021400772/play-by-play?watchFullGame=true", "SAS vs TOR - Q1 02:51.00")</f>
        <v>SAS vs TOR - Q1 02:51.00</v>
      </c>
      <c r="L3027">
        <v>2</v>
      </c>
      <c r="M3027">
        <v>23</v>
      </c>
      <c r="N3027">
        <v>1</v>
      </c>
      <c r="O3027">
        <v>23</v>
      </c>
      <c r="P3027">
        <v>1</v>
      </c>
    </row>
    <row r="3028" spans="1:16" x14ac:dyDescent="0.25">
      <c r="A3028">
        <v>22301225</v>
      </c>
      <c r="B3028">
        <v>2023</v>
      </c>
      <c r="C3028" t="s">
        <v>32</v>
      </c>
      <c r="D3028" t="s">
        <v>47</v>
      </c>
      <c r="E3028">
        <v>93</v>
      </c>
      <c r="F3028">
        <v>105</v>
      </c>
      <c r="G3028">
        <v>4</v>
      </c>
      <c r="H3028" s="1">
        <v>4.1550925925925922E-3</v>
      </c>
      <c r="I3028" t="s">
        <v>23</v>
      </c>
      <c r="J3028" s="2" t="str">
        <f>HYPERLINK("https://www.nba.com/stats/events?CFID=&amp;CFPARAMS=&amp;GameEventID=594&amp;GameID=0022301225&amp;Season=2023-24&amp;flag=1&amp;title=Leonard%20driving%20Layup%20(36%20PTS)", "Driving Layup (36 PTS)")</f>
        <v>Driving Layup (36 PTS)</v>
      </c>
      <c r="K3028" s="2" t="str">
        <f>HYPERLINK("https://www.nba.com/game/...-vs-...-0022301225/play-by-play?watchFullGame=true", "LAC vs UTA - Q4 05:59.00")</f>
        <v>LAC vs UTA - Q4 05:59.00</v>
      </c>
      <c r="L3028">
        <v>2.41</v>
      </c>
      <c r="M3028">
        <v>6.26</v>
      </c>
      <c r="N3028">
        <v>45.34</v>
      </c>
      <c r="O3028">
        <v>23</v>
      </c>
      <c r="P3028">
        <v>6</v>
      </c>
    </row>
    <row r="3029" spans="1:16" x14ac:dyDescent="0.25">
      <c r="A3029">
        <v>22400715</v>
      </c>
      <c r="B3029">
        <v>2024</v>
      </c>
      <c r="C3029" t="s">
        <v>32</v>
      </c>
      <c r="D3029" t="s">
        <v>47</v>
      </c>
      <c r="E3029">
        <v>70</v>
      </c>
      <c r="F3029">
        <v>88</v>
      </c>
      <c r="G3029">
        <v>3</v>
      </c>
      <c r="H3029" s="1">
        <v>3.0787037037037037E-3</v>
      </c>
      <c r="I3029" t="s">
        <v>23</v>
      </c>
      <c r="J3029" s="2" t="str">
        <f>HYPERLINK("https://www.nba.com/stats/events?CFID=&amp;CFPARAMS=&amp;GameEventID=411&amp;GameID=0022400715&amp;Season=2024-25&amp;flag=1&amp;title=Leonard%20driving%20Layup%20(11%20PTS)%20(D.%20Jones%20Jr.%202%20AST)", "Driving Layup (11 PTS) (D. Jones Jr. 2 AST)")</f>
        <v>Driving Layup (11 PTS) (D. Jones Jr. 2 AST)</v>
      </c>
      <c r="K3029" s="2" t="str">
        <f>HYPERLINK("https://www.nba.com/game/...-vs-...-0022400715/play-by-play?watchFullGame=true", "LAC vs LAL - Q3 04:26.00")</f>
        <v>LAC vs LAL - Q3 04:26.00</v>
      </c>
      <c r="L3029">
        <v>3.23</v>
      </c>
      <c r="M3029">
        <v>7.97</v>
      </c>
      <c r="N3029">
        <v>45.34</v>
      </c>
      <c r="O3029">
        <v>23</v>
      </c>
      <c r="P3029">
        <v>22</v>
      </c>
    </row>
    <row r="3030" spans="1:16" x14ac:dyDescent="0.25">
      <c r="A3030">
        <v>22001034</v>
      </c>
      <c r="B3030">
        <v>2020</v>
      </c>
      <c r="C3030" t="s">
        <v>32</v>
      </c>
      <c r="D3030" t="s">
        <v>48</v>
      </c>
      <c r="E3030">
        <v>19</v>
      </c>
      <c r="F3030">
        <v>27</v>
      </c>
      <c r="G3030">
        <v>1</v>
      </c>
      <c r="H3030" s="1">
        <v>3.8194444444444444E-5</v>
      </c>
      <c r="I3030" t="s">
        <v>23</v>
      </c>
      <c r="J3030" s="2" t="str">
        <f>HYPERLINK("https://www.nba.com/stats/events?CFID=&amp;CFPARAMS=&amp;GameEventID=146&amp;GameID=0022001034&amp;Season=2020-21&amp;flag=1&amp;title=Leonard%20driving%20DUNK%20(9%20PTS)", "Driving DUNK (9 PTS)")</f>
        <v>Driving DUNK (9 PTS)</v>
      </c>
      <c r="K3030" s="2" t="str">
        <f>HYPERLINK("https://www.nba.com/game/...-vs-...-0022001034/play-by-play?watchFullGame=true", "LAC vs TOR - Q1 00:03.30")</f>
        <v>LAC vs TOR - Q1 00:03.30</v>
      </c>
      <c r="L3030">
        <v>4.0599999999999996</v>
      </c>
      <c r="M3030">
        <v>9.15</v>
      </c>
      <c r="N3030">
        <v>45.41</v>
      </c>
      <c r="O3030">
        <v>23</v>
      </c>
      <c r="P3030">
        <v>34</v>
      </c>
    </row>
    <row r="3031" spans="1:16" x14ac:dyDescent="0.25">
      <c r="A3031">
        <v>21400648</v>
      </c>
      <c r="B3031">
        <v>2014</v>
      </c>
      <c r="C3031" t="s">
        <v>32</v>
      </c>
      <c r="D3031" t="s">
        <v>19</v>
      </c>
      <c r="E3031">
        <v>17</v>
      </c>
      <c r="F3031">
        <v>8</v>
      </c>
      <c r="G3031">
        <v>1</v>
      </c>
      <c r="H3031" s="1">
        <v>3.0324074074074073E-3</v>
      </c>
      <c r="I3031" t="s">
        <v>18</v>
      </c>
      <c r="J3031" s="2" t="str">
        <f>HYPERLINK("https://www.nba.com/stats/events?CFID=&amp;CFPARAMS=&amp;GameEventID=54&amp;GameID=0021400648&amp;Season=2014-15&amp;flag=1&amp;title=Leonard%205'%20Jump%20Shot%20(4%20PTS)", "Leonard 5' Jump Shot (4 PTS)")</f>
        <v>Leonard 5' Jump Shot (4 PTS)</v>
      </c>
      <c r="K3031" s="2" t="str">
        <f>HYPERLINK("https://www.nba.com/game/...-vs-...-0021400648/play-by-play?watchFullGame=true", "SAS vs LAL - Q1 04:22.00")</f>
        <v>SAS vs LAL - Q1 04:22.00</v>
      </c>
      <c r="L3031">
        <v>5</v>
      </c>
      <c r="M3031">
        <v>23</v>
      </c>
      <c r="N3031">
        <v>45</v>
      </c>
      <c r="O3031">
        <v>23</v>
      </c>
      <c r="P3031">
        <v>45</v>
      </c>
    </row>
    <row r="3032" spans="1:16" x14ac:dyDescent="0.25">
      <c r="A3032">
        <v>22001047</v>
      </c>
      <c r="B3032">
        <v>2020</v>
      </c>
      <c r="C3032" t="s">
        <v>32</v>
      </c>
      <c r="D3032" t="s">
        <v>19</v>
      </c>
      <c r="E3032">
        <v>23</v>
      </c>
      <c r="F3032">
        <v>28</v>
      </c>
      <c r="G3032">
        <v>1</v>
      </c>
      <c r="H3032" s="1">
        <v>5.6250000000000007E-4</v>
      </c>
      <c r="I3032" t="s">
        <v>23</v>
      </c>
      <c r="J3032" s="2" t="str">
        <f>HYPERLINK("https://www.nba.com/stats/events?CFID=&amp;CFPARAMS=&amp;GameEventID=129&amp;GameID=0022001047&amp;Season=2020-21&amp;flag=1&amp;title=Leonard%206'%20driving%20floating%20Jump%20Shot%20(2%20PTS)", "6' driving floating Jump Shot (2 PTS)")</f>
        <v>6' driving floating Jump Shot (2 PTS)</v>
      </c>
      <c r="K3032" s="2" t="str">
        <f>HYPERLINK("https://www.nba.com/game/...-vs-...-0022001047/play-by-play?watchFullGame=true", "LAC vs CHA - Q1 00:48.60")</f>
        <v>LAC vs CHA - Q1 00:48.60</v>
      </c>
      <c r="L3032">
        <v>6.02</v>
      </c>
      <c r="M3032">
        <v>11.51</v>
      </c>
      <c r="N3032">
        <v>45.41</v>
      </c>
      <c r="O3032">
        <v>23</v>
      </c>
      <c r="P3032">
        <v>56</v>
      </c>
    </row>
    <row r="3033" spans="1:16" x14ac:dyDescent="0.25">
      <c r="A3033">
        <v>22300511</v>
      </c>
      <c r="B3033">
        <v>2023</v>
      </c>
      <c r="C3033" t="s">
        <v>32</v>
      </c>
      <c r="D3033" t="s">
        <v>19</v>
      </c>
      <c r="E3033">
        <v>46</v>
      </c>
      <c r="F3033">
        <v>48</v>
      </c>
      <c r="G3033">
        <v>2</v>
      </c>
      <c r="H3033" s="1">
        <v>4.6064814814814814E-3</v>
      </c>
      <c r="I3033" t="s">
        <v>23</v>
      </c>
      <c r="J3033" s="2" t="str">
        <f>HYPERLINK("https://www.nba.com/stats/events?CFID=&amp;CFPARAMS=&amp;GameEventID=220&amp;GameID=0022300511&amp;Season=2023-24&amp;flag=1&amp;title=Leonard%207'%20fadeaway%20Jump%20Shot%20(9%20PTS)%20(J.%20Harden%206%20AST)", "7' fadeaway Jump Shot (9 PTS) (J. Harden 6 AST)")</f>
        <v>7' fadeaway Jump Shot (9 PTS) (J. Harden 6 AST)</v>
      </c>
      <c r="K3033" s="2" t="str">
        <f>HYPERLINK("https://www.nba.com/game/...-vs-...-0022300511/play-by-play?watchFullGame=true", "LAC vs PHX - Q2 06:38.00")</f>
        <v>LAC vs PHX - Q2 06:38.00</v>
      </c>
      <c r="L3033">
        <v>7.66</v>
      </c>
      <c r="M3033">
        <v>86.65</v>
      </c>
      <c r="N3033">
        <v>54.66</v>
      </c>
      <c r="O3033">
        <v>23</v>
      </c>
      <c r="P3033">
        <v>73</v>
      </c>
    </row>
    <row r="3034" spans="1:16" x14ac:dyDescent="0.25">
      <c r="A3034">
        <v>22000488</v>
      </c>
      <c r="B3034">
        <v>2020</v>
      </c>
      <c r="C3034" t="s">
        <v>32</v>
      </c>
      <c r="D3034" t="s">
        <v>44</v>
      </c>
      <c r="E3034">
        <v>89</v>
      </c>
      <c r="F3034">
        <v>72</v>
      </c>
      <c r="G3034">
        <v>3</v>
      </c>
      <c r="H3034" s="1">
        <v>4.5833333333333334E-3</v>
      </c>
      <c r="I3034" t="s">
        <v>23</v>
      </c>
      <c r="J3034" s="2" t="str">
        <f>HYPERLINK("https://www.nba.com/stats/events?CFID=&amp;CFPARAMS=&amp;GameEventID=388&amp;GameID=0022000488&amp;Season=2020-21&amp;flag=1&amp;title=Leonard%208'%20driving%20Hook%20(23%20PTS)", "8' driving Hook (23 PTS)")</f>
        <v>8' driving Hook (23 PTS)</v>
      </c>
      <c r="K3034" s="2" t="str">
        <f>HYPERLINK("https://www.nba.com/game/...-vs-...-0022000488/play-by-play?watchFullGame=true", "LAC vs WAS - Q3 06:36.00")</f>
        <v>LAC vs WAS - Q3 06:36.00</v>
      </c>
      <c r="L3034">
        <v>8</v>
      </c>
      <c r="M3034">
        <v>13.75</v>
      </c>
      <c r="N3034">
        <v>45.41</v>
      </c>
      <c r="O3034">
        <v>23</v>
      </c>
      <c r="P3034">
        <v>77</v>
      </c>
    </row>
    <row r="3035" spans="1:16" x14ac:dyDescent="0.25">
      <c r="A3035">
        <v>41800301</v>
      </c>
      <c r="B3035" t="s">
        <v>20</v>
      </c>
      <c r="C3035" t="s">
        <v>32</v>
      </c>
      <c r="D3035" t="s">
        <v>35</v>
      </c>
      <c r="E3035">
        <v>13</v>
      </c>
      <c r="F3035">
        <v>24</v>
      </c>
      <c r="G3035">
        <v>1</v>
      </c>
      <c r="H3035" s="1">
        <v>3.2291666666666666E-3</v>
      </c>
      <c r="I3035" t="s">
        <v>21</v>
      </c>
      <c r="J3035" s="2" t="str">
        <f>HYPERLINK("https://www.nba.com/stats/events?CFID=&amp;CFPARAMS=&amp;GameEventID=94&amp;GameID=0041800301&amp;Season=2018-19&amp;flag=1&amp;title=Leonard%2010'%20Driving%20Floating%20Jump%20Shot%20(7%20PTS)", "Leonard 10' Driving Floating Jump Shot (7 PTS)")</f>
        <v>Leonard 10' Driving Floating Jump Shot (7 PTS)</v>
      </c>
      <c r="K3035" s="2" t="str">
        <f>HYPERLINK("https://www.nba.com/game/...-vs-...-0041800301/play-by-play?watchFullGame=true", "TOR vs MIL - Q1 04:39.00")</f>
        <v>TOR vs MIL - Q1 04:39.00</v>
      </c>
      <c r="L3035">
        <v>10</v>
      </c>
      <c r="M3035">
        <v>23</v>
      </c>
      <c r="N3035">
        <v>94</v>
      </c>
      <c r="O3035">
        <v>23</v>
      </c>
      <c r="P3035">
        <v>94</v>
      </c>
    </row>
    <row r="3036" spans="1:16" x14ac:dyDescent="0.25">
      <c r="A3036">
        <v>21401057</v>
      </c>
      <c r="B3036">
        <v>2014</v>
      </c>
      <c r="C3036" t="s">
        <v>32</v>
      </c>
      <c r="D3036" t="s">
        <v>29</v>
      </c>
      <c r="E3036">
        <v>0</v>
      </c>
      <c r="F3036">
        <v>2</v>
      </c>
      <c r="G3036">
        <v>1</v>
      </c>
      <c r="H3036" s="1">
        <v>7.6967592592592591E-3</v>
      </c>
      <c r="I3036" t="s">
        <v>18</v>
      </c>
      <c r="J3036" s="2" t="str">
        <f>HYPERLINK("https://www.nba.com/stats/events?CFID=&amp;CFPARAMS=&amp;GameEventID=9&amp;GameID=0021401057&amp;Season=2014-15&amp;flag=1&amp;title=Leonard%2014'%20Pullup%20Jump%20Shot%20(2%20PTS)", "Leonard 14' Pullup Jump Shot (2 PTS)")</f>
        <v>Leonard 14' Pullup Jump Shot (2 PTS)</v>
      </c>
      <c r="K3036" s="2" t="str">
        <f>HYPERLINK("https://www.nba.com/game/...-vs-...-0021401057/play-by-play?watchFullGame=true", "SAS vs DAL - Q1 11:05.00")</f>
        <v>SAS vs DAL - Q1 11:05.00</v>
      </c>
      <c r="L3036">
        <v>14</v>
      </c>
      <c r="M3036">
        <v>23</v>
      </c>
      <c r="N3036">
        <v>143</v>
      </c>
      <c r="O3036">
        <v>23</v>
      </c>
      <c r="P3036">
        <v>143</v>
      </c>
    </row>
    <row r="3037" spans="1:16" x14ac:dyDescent="0.25">
      <c r="A3037">
        <v>41300145</v>
      </c>
      <c r="B3037" t="s">
        <v>26</v>
      </c>
      <c r="C3037" t="s">
        <v>32</v>
      </c>
      <c r="D3037" t="s">
        <v>29</v>
      </c>
      <c r="E3037">
        <v>71</v>
      </c>
      <c r="F3037">
        <v>59</v>
      </c>
      <c r="G3037">
        <v>3</v>
      </c>
      <c r="H3037" s="1">
        <v>3.3680555555555556E-3</v>
      </c>
      <c r="I3037" t="s">
        <v>18</v>
      </c>
      <c r="J3037" s="2" t="str">
        <f>HYPERLINK("https://www.nba.com/stats/events?CFID=&amp;CFPARAMS=&amp;GameEventID=325&amp;GameID=0041300145&amp;Season=2013-14&amp;flag=1&amp;title=Leonard%2015'%20Pullup%20Jump%20Shot%20(15%20PTS)%20(Duncan%201%20AST)", "Leonard 15' Pullup Jump Shot (15 PTS) (Duncan 1 AST)")</f>
        <v>Leonard 15' Pullup Jump Shot (15 PTS) (Duncan 1 AST)</v>
      </c>
      <c r="K3037" s="2" t="str">
        <f>HYPERLINK("https://www.nba.com/game/...-vs-...-0041300145/play-by-play?watchFullGame=true", "SAS vs DAL - Q3 04:51.00")</f>
        <v>SAS vs DAL - Q3 04:51.00</v>
      </c>
      <c r="L3037">
        <v>15</v>
      </c>
      <c r="M3037">
        <v>23</v>
      </c>
      <c r="N3037">
        <v>153</v>
      </c>
      <c r="O3037">
        <v>23</v>
      </c>
      <c r="P3037">
        <v>153</v>
      </c>
    </row>
    <row r="3038" spans="1:16" x14ac:dyDescent="0.25">
      <c r="A3038">
        <v>41200153</v>
      </c>
      <c r="B3038" t="s">
        <v>27</v>
      </c>
      <c r="C3038" t="s">
        <v>32</v>
      </c>
      <c r="D3038" t="s">
        <v>49</v>
      </c>
      <c r="E3038">
        <v>55</v>
      </c>
      <c r="F3038">
        <v>73</v>
      </c>
      <c r="G3038">
        <v>3</v>
      </c>
      <c r="H3038" s="1">
        <v>4.43287037037037E-3</v>
      </c>
      <c r="I3038" t="s">
        <v>18</v>
      </c>
      <c r="J3038" s="2" t="str">
        <f>HYPERLINK("https://www.nba.com/stats/events?CFID=&amp;CFPARAMS=&amp;GameEventID=301&amp;GameID=0041200153&amp;Season=2012-13&amp;flag=1&amp;title=Leonard%202'%20Driving%20Layup%20(10%20PTS)%20(Parker%207%20AST)", "Leonard 2' Driving Layup (10 PTS) (Parker 7 AST)")</f>
        <v>Leonard 2' Driving Layup (10 PTS) (Parker 7 AST)</v>
      </c>
      <c r="K3038" s="2" t="str">
        <f>HYPERLINK("https://www.nba.com/game/...-vs-...-0041200153/play-by-play?watchFullGame=true", "SAS vs LAL - Q3 06:23.00")</f>
        <v>SAS vs LAL - Q3 06:23.00</v>
      </c>
      <c r="L3038">
        <v>2</v>
      </c>
      <c r="M3038">
        <v>24</v>
      </c>
      <c r="N3038">
        <v>1</v>
      </c>
      <c r="O3038">
        <v>24</v>
      </c>
      <c r="P3038">
        <v>1</v>
      </c>
    </row>
    <row r="3039" spans="1:16" x14ac:dyDescent="0.25">
      <c r="A3039">
        <v>21600605</v>
      </c>
      <c r="B3039">
        <v>2016</v>
      </c>
      <c r="C3039" t="s">
        <v>32</v>
      </c>
      <c r="D3039" t="s">
        <v>49</v>
      </c>
      <c r="E3039">
        <v>56</v>
      </c>
      <c r="F3039">
        <v>60</v>
      </c>
      <c r="G3039">
        <v>3</v>
      </c>
      <c r="H3039" s="1">
        <v>7.2337962962962963E-3</v>
      </c>
      <c r="I3039" t="s">
        <v>18</v>
      </c>
      <c r="J3039" s="2" t="str">
        <f>HYPERLINK("https://www.nba.com/stats/events?CFID=&amp;CFPARAMS=&amp;GameEventID=298&amp;GameID=0021600605&amp;Season=2016-17&amp;flag=1&amp;title=Leonard%202'%20Driving%20Layup%20(18%20PTS)", "Leonard 2' Driving Layup (18 PTS)")</f>
        <v>Leonard 2' Driving Layup (18 PTS)</v>
      </c>
      <c r="K3039" s="2" t="str">
        <f>HYPERLINK("https://www.nba.com/game/...-vs-...-0021600605/play-by-play?watchFullGame=true", "SAS vs PHX - Q3 10:25.00")</f>
        <v>SAS vs PHX - Q3 10:25.00</v>
      </c>
      <c r="L3039">
        <v>2</v>
      </c>
      <c r="M3039">
        <v>24</v>
      </c>
      <c r="N3039">
        <v>3</v>
      </c>
      <c r="O3039">
        <v>24</v>
      </c>
      <c r="P3039">
        <v>3</v>
      </c>
    </row>
    <row r="3040" spans="1:16" x14ac:dyDescent="0.25">
      <c r="A3040">
        <v>21400354</v>
      </c>
      <c r="B3040">
        <v>2014</v>
      </c>
      <c r="C3040" t="s">
        <v>32</v>
      </c>
      <c r="D3040" t="s">
        <v>49</v>
      </c>
      <c r="E3040">
        <v>36</v>
      </c>
      <c r="F3040">
        <v>49</v>
      </c>
      <c r="G3040">
        <v>3</v>
      </c>
      <c r="H3040" s="1">
        <v>7.858796296296296E-3</v>
      </c>
      <c r="I3040" t="s">
        <v>18</v>
      </c>
      <c r="J3040" s="2" t="str">
        <f>HYPERLINK("https://www.nba.com/stats/events?CFID=&amp;CFPARAMS=&amp;GameEventID=273&amp;GameID=0021400354&amp;Season=2014-15&amp;flag=1&amp;title=Leonard%202'%20Driving%20Layup%20(8%20PTS)%20(Splitter%202%20AST)", "Leonard 2' Driving Layup (8 PTS) (Splitter 2 AST)")</f>
        <v>Leonard 2' Driving Layup (8 PTS) (Splitter 2 AST)</v>
      </c>
      <c r="K3040" s="2" t="str">
        <f>HYPERLINK("https://www.nba.com/game/...-vs-...-0021400354/play-by-play?watchFullGame=true", "SAS vs DEN - Q3 11:19.00")</f>
        <v>SAS vs DEN - Q3 11:19.00</v>
      </c>
      <c r="L3040">
        <v>2</v>
      </c>
      <c r="M3040">
        <v>24</v>
      </c>
      <c r="N3040">
        <v>6</v>
      </c>
      <c r="O3040">
        <v>24</v>
      </c>
      <c r="P3040">
        <v>6</v>
      </c>
    </row>
    <row r="3041" spans="1:16" x14ac:dyDescent="0.25">
      <c r="A3041">
        <v>21500013</v>
      </c>
      <c r="B3041">
        <v>2015</v>
      </c>
      <c r="C3041" t="s">
        <v>32</v>
      </c>
      <c r="D3041" t="s">
        <v>57</v>
      </c>
      <c r="E3041">
        <v>6</v>
      </c>
      <c r="F3041">
        <v>13</v>
      </c>
      <c r="G3041">
        <v>1</v>
      </c>
      <c r="H3041" s="1">
        <v>5.6828703703703702E-3</v>
      </c>
      <c r="I3041" t="s">
        <v>18</v>
      </c>
      <c r="J3041" s="2" t="str">
        <f>HYPERLINK("https://www.nba.com/stats/events?CFID=&amp;CFPARAMS=&amp;GameEventID=37&amp;GameID=0021500013&amp;Season=2015-16&amp;flag=1&amp;title=Leonard%203'%20Layup%20(5%20PTS)", "Leonard 3' Layup (5 PTS)")</f>
        <v>Leonard 3' Layup (5 PTS)</v>
      </c>
      <c r="K3041" s="2" t="str">
        <f>HYPERLINK("https://www.nba.com/game/...-vs-...-0021500013/play-by-play?watchFullGame=true", "SAS vs OKC - Q1 08:11.00")</f>
        <v>SAS vs OKC - Q1 08:11.00</v>
      </c>
      <c r="L3041">
        <v>3</v>
      </c>
      <c r="M3041">
        <v>24</v>
      </c>
      <c r="N3041">
        <v>7</v>
      </c>
      <c r="O3041">
        <v>24</v>
      </c>
      <c r="P3041">
        <v>7</v>
      </c>
    </row>
    <row r="3042" spans="1:16" x14ac:dyDescent="0.25">
      <c r="A3042">
        <v>21901271</v>
      </c>
      <c r="B3042">
        <v>2019</v>
      </c>
      <c r="C3042" t="s">
        <v>32</v>
      </c>
      <c r="D3042" t="s">
        <v>50</v>
      </c>
      <c r="E3042">
        <v>58</v>
      </c>
      <c r="F3042">
        <v>61</v>
      </c>
      <c r="G3042">
        <v>3</v>
      </c>
      <c r="H3042" s="1">
        <v>7.6736111111111111E-3</v>
      </c>
      <c r="I3042" t="s">
        <v>23</v>
      </c>
      <c r="J3042" s="2" t="str">
        <f>HYPERLINK("https://www.nba.com/stats/events?CFID=&amp;CFPARAMS=&amp;GameEventID=352&amp;GameID=0021901271&amp;Season=2019-20&amp;flag=1&amp;title=Leonard%20layup%20(19%20PTS)", "Layup (19 PTS)")</f>
        <v>Layup (19 PTS)</v>
      </c>
      <c r="K3042" s="2" t="str">
        <f>HYPERLINK("https://www.nba.com/game/...-vs-...-0021901271/play-by-play?watchFullGame=true", "LAC vs DAL - Q3 11:03.00")</f>
        <v>LAC vs DAL - Q3 11:03.00</v>
      </c>
      <c r="L3042">
        <v>2.74</v>
      </c>
      <c r="M3042">
        <v>93.51</v>
      </c>
      <c r="N3042">
        <v>54.73</v>
      </c>
      <c r="O3042">
        <v>24</v>
      </c>
      <c r="P3042">
        <v>8</v>
      </c>
    </row>
    <row r="3043" spans="1:16" x14ac:dyDescent="0.25">
      <c r="A3043">
        <v>21900626</v>
      </c>
      <c r="B3043">
        <v>2019</v>
      </c>
      <c r="C3043" t="s">
        <v>32</v>
      </c>
      <c r="D3043" t="s">
        <v>50</v>
      </c>
      <c r="E3043">
        <v>86</v>
      </c>
      <c r="F3043">
        <v>74</v>
      </c>
      <c r="G3043">
        <v>3</v>
      </c>
      <c r="H3043" s="1">
        <v>6.828703703703704E-3</v>
      </c>
      <c r="I3043" t="s">
        <v>23</v>
      </c>
      <c r="J3043" s="2" t="str">
        <f>HYPERLINK("https://www.nba.com/stats/events?CFID=&amp;CFPARAMS=&amp;GameEventID=417&amp;GameID=0021900626&amp;Season=2019-20&amp;flag=1&amp;title=Leonard%20layup%20(23%20PTS)", "Layup (23 PTS)")</f>
        <v>Layup (23 PTS)</v>
      </c>
      <c r="K3043" s="2" t="str">
        <f>HYPERLINK("https://www.nba.com/game/...-vs-...-0021900626/play-by-play?watchFullGame=true", "LAC vs NOP - Q3 09:50.00")</f>
        <v>LAC vs NOP - Q3 09:50.00</v>
      </c>
      <c r="L3043">
        <v>2.81</v>
      </c>
      <c r="M3043">
        <v>93.38</v>
      </c>
      <c r="N3043">
        <v>54.73</v>
      </c>
      <c r="O3043">
        <v>24</v>
      </c>
      <c r="P3043">
        <v>10</v>
      </c>
    </row>
    <row r="3044" spans="1:16" x14ac:dyDescent="0.25">
      <c r="A3044">
        <v>21400949</v>
      </c>
      <c r="B3044">
        <v>2014</v>
      </c>
      <c r="C3044" t="s">
        <v>32</v>
      </c>
      <c r="D3044" t="s">
        <v>77</v>
      </c>
      <c r="E3044">
        <v>112</v>
      </c>
      <c r="F3044">
        <v>96</v>
      </c>
      <c r="G3044">
        <v>4</v>
      </c>
      <c r="H3044" s="1">
        <v>3.3217592592592592E-4</v>
      </c>
      <c r="I3044" t="s">
        <v>18</v>
      </c>
      <c r="J3044" s="2" t="str">
        <f>HYPERLINK("https://www.nba.com/stats/events?CFID=&amp;CFPARAMS=&amp;GameEventID=518&amp;GameID=0021400949&amp;Season=2014-15&amp;flag=1&amp;title=Leonard%203'%20Finger%20Roll%20Layup%20(24%20PTS)", "Leonard 3' Finger Roll Layup (24 PTS)")</f>
        <v>Leonard 3' Finger Roll Layup (24 PTS)</v>
      </c>
      <c r="K3044" s="2" t="str">
        <f>HYPERLINK("https://www.nba.com/game/...-vs-...-0021400949/play-by-play?watchFullGame=true", "SAS vs TOR - Q4 00:28.70")</f>
        <v>SAS vs TOR - Q4 00:28.70</v>
      </c>
      <c r="L3044">
        <v>3</v>
      </c>
      <c r="M3044">
        <v>24</v>
      </c>
      <c r="N3044">
        <v>11</v>
      </c>
      <c r="O3044">
        <v>24</v>
      </c>
      <c r="P3044">
        <v>11</v>
      </c>
    </row>
    <row r="3045" spans="1:16" x14ac:dyDescent="0.25">
      <c r="A3045">
        <v>21600037</v>
      </c>
      <c r="B3045">
        <v>2016</v>
      </c>
      <c r="C3045" t="s">
        <v>32</v>
      </c>
      <c r="D3045" t="s">
        <v>57</v>
      </c>
      <c r="E3045">
        <v>74</v>
      </c>
      <c r="F3045">
        <v>79</v>
      </c>
      <c r="G3045">
        <v>4</v>
      </c>
      <c r="H3045" s="1">
        <v>7.9861111111111105E-3</v>
      </c>
      <c r="I3045" t="s">
        <v>18</v>
      </c>
      <c r="J3045" s="2" t="str">
        <f>HYPERLINK("https://www.nba.com/stats/events?CFID=&amp;CFPARAMS=&amp;GameEventID=403&amp;GameID=0021600037&amp;Season=2016-17&amp;flag=1&amp;title=Leonard%203'%20Layup%20(13%20PTS)", "Leonard 3' Layup (13 PTS)")</f>
        <v>Leonard 3' Layup (13 PTS)</v>
      </c>
      <c r="K3045" s="2" t="str">
        <f>HYPERLINK("https://www.nba.com/game/...-vs-...-0021600037/play-by-play?watchFullGame=true", "SAS vs MIA - Q4 11:30.00")</f>
        <v>SAS vs MIA - Q4 11:30.00</v>
      </c>
      <c r="L3045">
        <v>3</v>
      </c>
      <c r="M3045">
        <v>24</v>
      </c>
      <c r="N3045">
        <v>16</v>
      </c>
      <c r="O3045">
        <v>24</v>
      </c>
      <c r="P3045">
        <v>16</v>
      </c>
    </row>
    <row r="3046" spans="1:16" x14ac:dyDescent="0.25">
      <c r="A3046">
        <v>22000324</v>
      </c>
      <c r="B3046">
        <v>2020</v>
      </c>
      <c r="C3046" t="s">
        <v>32</v>
      </c>
      <c r="D3046" t="s">
        <v>47</v>
      </c>
      <c r="E3046">
        <v>110</v>
      </c>
      <c r="F3046">
        <v>106</v>
      </c>
      <c r="G3046">
        <v>4</v>
      </c>
      <c r="H3046" s="1">
        <v>2.2800925925925927E-3</v>
      </c>
      <c r="I3046" t="s">
        <v>23</v>
      </c>
      <c r="J3046" s="2" t="str">
        <f>HYPERLINK("https://www.nba.com/stats/events?CFID=&amp;CFPARAMS=&amp;GameEventID=549&amp;GameID=0022000324&amp;Season=2020-21&amp;flag=1&amp;title=Leonard%20driving%20Layup%20(29%20PTS)", "Driving Layup (29 PTS)")</f>
        <v>Driving Layup (29 PTS)</v>
      </c>
      <c r="K3046" s="2" t="str">
        <f>HYPERLINK("https://www.nba.com/game/...-vs-...-0022000324/play-by-play?watchFullGame=true", "LAC vs BKN - Q4 03:17.00")</f>
        <v>LAC vs BKN - Q4 03:17.00</v>
      </c>
      <c r="L3046">
        <v>2.99</v>
      </c>
      <c r="M3046">
        <v>92.46</v>
      </c>
      <c r="N3046">
        <v>54.73</v>
      </c>
      <c r="O3046">
        <v>24</v>
      </c>
      <c r="P3046">
        <v>18</v>
      </c>
    </row>
    <row r="3047" spans="1:16" x14ac:dyDescent="0.25">
      <c r="A3047">
        <v>21600962</v>
      </c>
      <c r="B3047">
        <v>2016</v>
      </c>
      <c r="C3047" t="s">
        <v>32</v>
      </c>
      <c r="D3047" t="s">
        <v>70</v>
      </c>
      <c r="E3047">
        <v>54</v>
      </c>
      <c r="F3047">
        <v>47</v>
      </c>
      <c r="G3047">
        <v>2</v>
      </c>
      <c r="H3047" s="1">
        <v>4.814814814814815E-4</v>
      </c>
      <c r="I3047" t="s">
        <v>18</v>
      </c>
      <c r="J3047" s="2" t="str">
        <f>HYPERLINK("https://www.nba.com/stats/events?CFID=&amp;CFPARAMS=&amp;GameEventID=239&amp;GameID=0021600962&amp;Season=2016-17&amp;flag=1&amp;title=Leonard%203'%20Driving%20Hook%20Shot%20(14%20PTS)", "Leonard 3' Driving Hook Shot (14 PTS)")</f>
        <v>Leonard 3' Driving Hook Shot (14 PTS)</v>
      </c>
      <c r="K3047" s="2" t="str">
        <f>HYPERLINK("https://www.nba.com/game/...-vs-...-0021600962/play-by-play?watchFullGame=true", "SAS vs OKC - Q2 00:41.60")</f>
        <v>SAS vs OKC - Q2 00:41.60</v>
      </c>
      <c r="L3047">
        <v>3</v>
      </c>
      <c r="M3047">
        <v>24</v>
      </c>
      <c r="N3047">
        <v>23</v>
      </c>
      <c r="O3047">
        <v>24</v>
      </c>
      <c r="P3047">
        <v>23</v>
      </c>
    </row>
    <row r="3048" spans="1:16" x14ac:dyDescent="0.25">
      <c r="A3048">
        <v>21300414</v>
      </c>
      <c r="B3048">
        <v>2013</v>
      </c>
      <c r="C3048" t="s">
        <v>32</v>
      </c>
      <c r="D3048" t="s">
        <v>19</v>
      </c>
      <c r="E3048">
        <v>17</v>
      </c>
      <c r="F3048">
        <v>12</v>
      </c>
      <c r="G3048">
        <v>1</v>
      </c>
      <c r="H3048" s="1">
        <v>3.1597222222222222E-3</v>
      </c>
      <c r="I3048" t="s">
        <v>18</v>
      </c>
      <c r="J3048" s="2" t="str">
        <f>HYPERLINK("https://www.nba.com/stats/events?CFID=&amp;CFPARAMS=&amp;GameEventID=69&amp;GameID=0021300414&amp;Season=2013-14&amp;flag=1&amp;title=Leonard%204'%20Jump%20Shot%20(6%20PTS)%20(Parker%203%20AST)", "Leonard 4' Jump Shot (6 PTS) (Parker 3 AST)")</f>
        <v>Leonard 4' Jump Shot (6 PTS) (Parker 3 AST)</v>
      </c>
      <c r="K3048" s="2" t="str">
        <f>HYPERLINK("https://www.nba.com/game/...-vs-...-0021300414/play-by-play?watchFullGame=true", "SAS vs TOR - Q1 04:33.00")</f>
        <v>SAS vs TOR - Q1 04:33.00</v>
      </c>
      <c r="L3048">
        <v>4</v>
      </c>
      <c r="M3048">
        <v>24</v>
      </c>
      <c r="N3048">
        <v>31</v>
      </c>
      <c r="O3048">
        <v>24</v>
      </c>
      <c r="P3048">
        <v>31</v>
      </c>
    </row>
    <row r="3049" spans="1:16" x14ac:dyDescent="0.25">
      <c r="A3049">
        <v>41200231</v>
      </c>
      <c r="B3049" t="s">
        <v>27</v>
      </c>
      <c r="C3049" t="s">
        <v>32</v>
      </c>
      <c r="D3049" t="s">
        <v>29</v>
      </c>
      <c r="E3049">
        <v>115</v>
      </c>
      <c r="F3049">
        <v>113</v>
      </c>
      <c r="G3049">
        <v>5</v>
      </c>
      <c r="H3049" s="1">
        <v>7.1759259259259259E-4</v>
      </c>
      <c r="I3049" t="s">
        <v>18</v>
      </c>
      <c r="J3049" s="2" t="str">
        <f>HYPERLINK("https://www.nba.com/stats/events?CFID=&amp;CFPARAMS=&amp;GameEventID=553&amp;GameID=0041200231&amp;Season=2012-13&amp;flag=1&amp;title=Leonard%206'%20Pullup%20Jump%20Shot%20(18%20PTS)", "Leonard 6' Pullup Jump Shot (18 PTS)")</f>
        <v>Leonard 6' Pullup Jump Shot (18 PTS)</v>
      </c>
      <c r="K3049" s="2" t="str">
        <f>HYPERLINK("https://www.nba.com/game/...-vs-...-0041200231/play-by-play?watchFullGame=true", "SAS vs GSW - Q5 01:02.00")</f>
        <v>SAS vs GSW - Q5 01:02.00</v>
      </c>
      <c r="L3049">
        <v>6</v>
      </c>
      <c r="M3049">
        <v>24</v>
      </c>
      <c r="N3049">
        <v>58</v>
      </c>
      <c r="O3049">
        <v>24</v>
      </c>
      <c r="P3049">
        <v>58</v>
      </c>
    </row>
    <row r="3050" spans="1:16" x14ac:dyDescent="0.25">
      <c r="A3050">
        <v>22000605</v>
      </c>
      <c r="B3050">
        <v>2020</v>
      </c>
      <c r="C3050" t="s">
        <v>32</v>
      </c>
      <c r="D3050" t="s">
        <v>19</v>
      </c>
      <c r="E3050">
        <v>96</v>
      </c>
      <c r="F3050">
        <v>103</v>
      </c>
      <c r="G3050">
        <v>4</v>
      </c>
      <c r="H3050" s="1">
        <v>2.8009259259259259E-3</v>
      </c>
      <c r="I3050" t="s">
        <v>23</v>
      </c>
      <c r="J3050" s="2" t="str">
        <f>HYPERLINK("https://www.nba.com/stats/events?CFID=&amp;CFPARAMS=&amp;GameEventID=503&amp;GameID=0022000605&amp;Season=2020-21&amp;flag=1&amp;title=Leonard%209'%20turnaround%20fadeaway%20Jump%20Shot%20(19%20PTS)", "9' turnaround fadeaway Jump Shot (19 PTS)")</f>
        <v>9' turnaround fadeaway Jump Shot (19 PTS)</v>
      </c>
      <c r="K3050" s="2" t="str">
        <f>HYPERLINK("https://www.nba.com/game/...-vs-...-0022000605/play-by-play?watchFullGame=true", "LAC vs DAL - Q4 04:02.00")</f>
        <v>LAC vs DAL - Q4 04:02.00</v>
      </c>
      <c r="L3050">
        <v>9.1199999999999992</v>
      </c>
      <c r="M3050">
        <v>14.93</v>
      </c>
      <c r="N3050">
        <v>45.17</v>
      </c>
      <c r="O3050">
        <v>24</v>
      </c>
      <c r="P3050">
        <v>88</v>
      </c>
    </row>
    <row r="3051" spans="1:16" x14ac:dyDescent="0.25">
      <c r="A3051">
        <v>41600235</v>
      </c>
      <c r="B3051" t="s">
        <v>30</v>
      </c>
      <c r="C3051" t="s">
        <v>32</v>
      </c>
      <c r="D3051" t="s">
        <v>37</v>
      </c>
      <c r="E3051">
        <v>40</v>
      </c>
      <c r="F3051">
        <v>39</v>
      </c>
      <c r="G3051">
        <v>2</v>
      </c>
      <c r="H3051" s="1">
        <v>5.5787037037037038E-3</v>
      </c>
      <c r="I3051" t="s">
        <v>18</v>
      </c>
      <c r="J3051" s="2" t="str">
        <f>HYPERLINK("https://www.nba.com/stats/events?CFID=&amp;CFPARAMS=&amp;GameEventID=166&amp;GameID=0041600235&amp;Season=2016-17&amp;flag=1&amp;title=Leonard%2010'%20Floating%20Jump%20Shot%20(7%20PTS)", "Leonard 10' Floating Jump Shot (7 PTS)")</f>
        <v>Leonard 10' Floating Jump Shot (7 PTS)</v>
      </c>
      <c r="K3051" s="2" t="str">
        <f>HYPERLINK("https://www.nba.com/game/...-vs-...-0041600235/play-by-play?watchFullGame=true", "SAS vs HOU - Q2 08:02.00")</f>
        <v>SAS vs HOU - Q2 08:02.00</v>
      </c>
      <c r="L3051">
        <v>10</v>
      </c>
      <c r="M3051">
        <v>24</v>
      </c>
      <c r="N3051">
        <v>95</v>
      </c>
      <c r="O3051">
        <v>24</v>
      </c>
      <c r="P3051">
        <v>95</v>
      </c>
    </row>
    <row r="3052" spans="1:16" x14ac:dyDescent="0.25">
      <c r="A3052">
        <v>21400931</v>
      </c>
      <c r="B3052">
        <v>2014</v>
      </c>
      <c r="C3052" t="s">
        <v>32</v>
      </c>
      <c r="D3052" t="s">
        <v>29</v>
      </c>
      <c r="E3052">
        <v>89</v>
      </c>
      <c r="F3052">
        <v>77</v>
      </c>
      <c r="G3052">
        <v>4</v>
      </c>
      <c r="H3052" s="1">
        <v>8.0208333333333329E-3</v>
      </c>
      <c r="I3052" t="s">
        <v>18</v>
      </c>
      <c r="J3052" s="2" t="str">
        <f>HYPERLINK("https://www.nba.com/stats/events?CFID=&amp;CFPARAMS=&amp;GameEventID=399&amp;GameID=0021400931&amp;Season=2014-15&amp;flag=1&amp;title=Leonard%2013'%20Pullup%20Jump%20Shot%20(16%20PTS)", "Leonard 13' Pullup Jump Shot (16 PTS)")</f>
        <v>Leonard 13' Pullup Jump Shot (16 PTS)</v>
      </c>
      <c r="K3052" s="2" t="str">
        <f>HYPERLINK("https://www.nba.com/game/...-vs-...-0021400931/play-by-play?watchFullGame=true", "SAS vs CHI - Q4 11:33.00")</f>
        <v>SAS vs CHI - Q4 11:33.00</v>
      </c>
      <c r="L3052">
        <v>13</v>
      </c>
      <c r="M3052">
        <v>24</v>
      </c>
      <c r="N3052">
        <v>132</v>
      </c>
      <c r="O3052">
        <v>24</v>
      </c>
      <c r="P3052">
        <v>132</v>
      </c>
    </row>
    <row r="3053" spans="1:16" x14ac:dyDescent="0.25">
      <c r="A3053">
        <v>21600744</v>
      </c>
      <c r="B3053">
        <v>2016</v>
      </c>
      <c r="C3053" t="s">
        <v>32</v>
      </c>
      <c r="D3053" t="s">
        <v>19</v>
      </c>
      <c r="E3053">
        <v>72</v>
      </c>
      <c r="F3053">
        <v>66</v>
      </c>
      <c r="G3053">
        <v>3</v>
      </c>
      <c r="H3053" s="1">
        <v>1.9212962962962964E-3</v>
      </c>
      <c r="I3053" t="s">
        <v>18</v>
      </c>
      <c r="J3053" s="2" t="str">
        <f>HYPERLINK("https://www.nba.com/stats/events?CFID=&amp;CFPARAMS=&amp;GameEventID=433&amp;GameID=0021600744&amp;Season=2016-17&amp;flag=1&amp;title=Leonard%2016'%20Jump%20Shot%20(14%20PTS)%20(Mills%203%20AST)", "Leonard 16' Jump Shot (14 PTS) (Mills 3 AST)")</f>
        <v>Leonard 16' Jump Shot (14 PTS) (Mills 3 AST)</v>
      </c>
      <c r="K3053" s="2" t="str">
        <f>HYPERLINK("https://www.nba.com/game/...-vs-...-0021600744/play-by-play?watchFullGame=true", "SAS vs PHI - Q3 02:46.00")</f>
        <v>SAS vs PHI - Q3 02:46.00</v>
      </c>
      <c r="L3053">
        <v>16</v>
      </c>
      <c r="M3053">
        <v>24</v>
      </c>
      <c r="N3053">
        <v>159</v>
      </c>
      <c r="O3053">
        <v>24</v>
      </c>
      <c r="P3053">
        <v>159</v>
      </c>
    </row>
    <row r="3054" spans="1:16" x14ac:dyDescent="0.25">
      <c r="A3054">
        <v>41300145</v>
      </c>
      <c r="B3054" t="s">
        <v>26</v>
      </c>
      <c r="C3054" t="s">
        <v>32</v>
      </c>
      <c r="D3054" t="s">
        <v>29</v>
      </c>
      <c r="E3054">
        <v>6</v>
      </c>
      <c r="F3054">
        <v>4</v>
      </c>
      <c r="G3054">
        <v>1</v>
      </c>
      <c r="H3054" s="1">
        <v>6.8865740740740745E-3</v>
      </c>
      <c r="I3054" t="s">
        <v>18</v>
      </c>
      <c r="J3054" s="2" t="str">
        <f>HYPERLINK("https://www.nba.com/stats/events?CFID=&amp;CFPARAMS=&amp;GameEventID=10&amp;GameID=0041300145&amp;Season=2013-14&amp;flag=1&amp;title=Leonard%2016'%20Pullup%20Jump%20Shot%20(4%20PTS)", "Leonard 16' Pullup Jump Shot (4 PTS)")</f>
        <v>Leonard 16' Pullup Jump Shot (4 PTS)</v>
      </c>
      <c r="K3054" s="2" t="str">
        <f>HYPERLINK("https://www.nba.com/game/...-vs-...-0041300145/play-by-play?watchFullGame=true", "SAS vs DAL - Q1 09:55.00")</f>
        <v>SAS vs DAL - Q1 09:55.00</v>
      </c>
      <c r="L3054">
        <v>16</v>
      </c>
      <c r="M3054">
        <v>24</v>
      </c>
      <c r="N3054">
        <v>162</v>
      </c>
      <c r="O3054">
        <v>24</v>
      </c>
      <c r="P3054">
        <v>162</v>
      </c>
    </row>
    <row r="3055" spans="1:16" x14ac:dyDescent="0.25">
      <c r="A3055">
        <v>21500790</v>
      </c>
      <c r="B3055">
        <v>2015</v>
      </c>
      <c r="C3055" t="s">
        <v>32</v>
      </c>
      <c r="D3055" t="s">
        <v>29</v>
      </c>
      <c r="E3055">
        <v>96</v>
      </c>
      <c r="F3055">
        <v>98</v>
      </c>
      <c r="G3055">
        <v>4</v>
      </c>
      <c r="H3055" s="1">
        <v>1.0416666666666666E-5</v>
      </c>
      <c r="I3055" t="s">
        <v>18</v>
      </c>
      <c r="J3055" s="2" t="str">
        <f>HYPERLINK("https://www.nba.com/stats/events?CFID=&amp;CFPARAMS=&amp;GameEventID=510&amp;GameID=0021500790&amp;Season=2015-16&amp;flag=1&amp;title=Leonard%2019'%20Pullup%20Jump%20Shot%20(29%20PTS)", "Leonard 19' Pullup Jump Shot (29 PTS)")</f>
        <v>Leonard 19' Pullup Jump Shot (29 PTS)</v>
      </c>
      <c r="K3055" s="2" t="str">
        <f>HYPERLINK("https://www.nba.com/game/...-vs-...-0021500790/play-by-play?watchFullGame=true", "SAS vs ORL - Q4 00:00.90")</f>
        <v>SAS vs ORL - Q4 00:00.90</v>
      </c>
      <c r="L3055">
        <v>19</v>
      </c>
      <c r="M3055">
        <v>24</v>
      </c>
      <c r="N3055">
        <v>190</v>
      </c>
      <c r="O3055">
        <v>24</v>
      </c>
      <c r="P3055">
        <v>190</v>
      </c>
    </row>
    <row r="3056" spans="1:16" x14ac:dyDescent="0.25">
      <c r="A3056">
        <v>21301017</v>
      </c>
      <c r="B3056">
        <v>2013</v>
      </c>
      <c r="C3056" t="s">
        <v>16</v>
      </c>
      <c r="D3056" t="s">
        <v>19</v>
      </c>
      <c r="E3056">
        <v>94</v>
      </c>
      <c r="F3056">
        <v>104</v>
      </c>
      <c r="G3056">
        <v>4</v>
      </c>
      <c r="H3056" s="1">
        <v>5.208333333333333E-3</v>
      </c>
      <c r="I3056" t="s">
        <v>18</v>
      </c>
      <c r="J3056" s="2" t="str">
        <f>HYPERLINK("https://www.nba.com/stats/events?CFID=&amp;CFPARAMS=&amp;GameEventID=444&amp;GameID=0021301017&amp;Season=2013-14&amp;flag=1&amp;title=Leonard%2027'%203PT%20Jump%20Shot%20(20%20PTS)%20(Parker%204%20AST)", "Leonard 27' 3PT Jump Shot (20 PTS) (Parker 4 AST)")</f>
        <v>Leonard 27' 3PT Jump Shot (20 PTS) (Parker 4 AST)</v>
      </c>
      <c r="K3056" s="2" t="str">
        <f>HYPERLINK("https://www.nba.com/game/...-vs-...-0021301017/play-by-play?watchFullGame=true", "SAS vs LAL - Q4 07:30.00")</f>
        <v>SAS vs LAL - Q4 07:30.00</v>
      </c>
      <c r="L3056">
        <v>27</v>
      </c>
      <c r="M3056">
        <v>24</v>
      </c>
      <c r="N3056">
        <v>269</v>
      </c>
      <c r="O3056">
        <v>24</v>
      </c>
      <c r="P3056">
        <v>269</v>
      </c>
    </row>
    <row r="3057" spans="1:16" x14ac:dyDescent="0.25">
      <c r="A3057">
        <v>21600917</v>
      </c>
      <c r="B3057">
        <v>2016</v>
      </c>
      <c r="C3057" t="s">
        <v>32</v>
      </c>
      <c r="D3057" t="s">
        <v>56</v>
      </c>
      <c r="E3057">
        <v>44</v>
      </c>
      <c r="F3057">
        <v>45</v>
      </c>
      <c r="G3057">
        <v>2</v>
      </c>
      <c r="H3057" s="1">
        <v>1.7476851851851852E-3</v>
      </c>
      <c r="I3057" t="s">
        <v>18</v>
      </c>
      <c r="J3057" s="2" t="str">
        <f>HYPERLINK("https://www.nba.com/stats/events?CFID=&amp;CFPARAMS=&amp;GameEventID=219&amp;GameID=0021600917&amp;Season=2016-17&amp;flag=1&amp;title=Leonard%203'%20Running%20Layup%20(18%20PTS)", "Leonard 3' Running Layup (18 PTS)")</f>
        <v>Leonard 3' Running Layup (18 PTS)</v>
      </c>
      <c r="K3057" s="2" t="str">
        <f>HYPERLINK("https://www.nba.com/game/...-vs-...-0021600917/play-by-play?watchFullGame=true", "SAS vs NOP - Q2 02:31.00")</f>
        <v>SAS vs NOP - Q2 02:31.00</v>
      </c>
      <c r="L3057">
        <v>3</v>
      </c>
      <c r="M3057">
        <v>25</v>
      </c>
      <c r="N3057">
        <v>-1</v>
      </c>
      <c r="O3057">
        <v>25</v>
      </c>
      <c r="P3057">
        <v>-1</v>
      </c>
    </row>
    <row r="3058" spans="1:16" x14ac:dyDescent="0.25">
      <c r="A3058">
        <v>22400889</v>
      </c>
      <c r="B3058">
        <v>2024</v>
      </c>
      <c r="C3058" t="s">
        <v>32</v>
      </c>
      <c r="D3058" t="s">
        <v>47</v>
      </c>
      <c r="E3058">
        <v>61</v>
      </c>
      <c r="F3058">
        <v>80</v>
      </c>
      <c r="G3058">
        <v>3</v>
      </c>
      <c r="H3058" s="1">
        <v>4.5717592592592589E-3</v>
      </c>
      <c r="I3058" t="s">
        <v>23</v>
      </c>
      <c r="J3058" s="2" t="str">
        <f>HYPERLINK("https://www.nba.com/stats/events?CFID=&amp;CFPARAMS=&amp;GameEventID=354&amp;GameID=0022400889&amp;Season=2024-25&amp;flag=1&amp;title=Leonard%20cutting%20Layup%20(17%20PTS)%20(J.%20Harden%2010%20AST)", "Cutting Layup (17 PTS) (J. Harden 10 AST)")</f>
        <v>Cutting Layup (17 PTS) (J. Harden 10 AST)</v>
      </c>
      <c r="K3058" s="2" t="str">
        <f>HYPERLINK("https://www.nba.com/game/...-vs-...-0022400889/play-by-play?watchFullGame=true", "LAC vs PHX - Q3 06:35.00")</f>
        <v>LAC vs PHX - Q3 06:35.00</v>
      </c>
      <c r="L3058">
        <v>2.63</v>
      </c>
      <c r="M3058">
        <v>6.57</v>
      </c>
      <c r="N3058">
        <v>45.08</v>
      </c>
      <c r="O3058">
        <v>25</v>
      </c>
      <c r="P3058">
        <v>9</v>
      </c>
    </row>
    <row r="3059" spans="1:16" x14ac:dyDescent="0.25">
      <c r="A3059">
        <v>21600032</v>
      </c>
      <c r="B3059">
        <v>2016</v>
      </c>
      <c r="C3059" t="s">
        <v>32</v>
      </c>
      <c r="D3059" t="s">
        <v>49</v>
      </c>
      <c r="E3059">
        <v>71</v>
      </c>
      <c r="F3059">
        <v>56</v>
      </c>
      <c r="G3059">
        <v>3</v>
      </c>
      <c r="H3059" s="1">
        <v>4.0162037037037041E-3</v>
      </c>
      <c r="I3059" t="s">
        <v>18</v>
      </c>
      <c r="J3059" s="2" t="str">
        <f>HYPERLINK("https://www.nba.com/stats/events?CFID=&amp;CFPARAMS=&amp;GameEventID=320&amp;GameID=0021600032&amp;Season=2016-17&amp;flag=1&amp;title=Leonard%203'%20Driving%20Layup%20(13%20PTS)", "Leonard 3' Driving Layup (13 PTS)")</f>
        <v>Leonard 3' Driving Layup (13 PTS)</v>
      </c>
      <c r="K3059" s="2" t="str">
        <f>HYPERLINK("https://www.nba.com/game/...-vs-...-0021600032/play-by-play?watchFullGame=true", "SAS vs NOP - Q3 05:47.00")</f>
        <v>SAS vs NOP - Q3 05:47.00</v>
      </c>
      <c r="L3059">
        <v>3</v>
      </c>
      <c r="M3059">
        <v>25</v>
      </c>
      <c r="N3059">
        <v>11</v>
      </c>
      <c r="O3059">
        <v>25</v>
      </c>
      <c r="P3059">
        <v>11</v>
      </c>
    </row>
    <row r="3060" spans="1:16" x14ac:dyDescent="0.25">
      <c r="A3060">
        <v>21500257</v>
      </c>
      <c r="B3060">
        <v>2015</v>
      </c>
      <c r="C3060" t="s">
        <v>32</v>
      </c>
      <c r="D3060" t="s">
        <v>49</v>
      </c>
      <c r="E3060">
        <v>64</v>
      </c>
      <c r="F3060">
        <v>69</v>
      </c>
      <c r="G3060">
        <v>3</v>
      </c>
      <c r="H3060" s="1">
        <v>1.1574074074074073E-3</v>
      </c>
      <c r="I3060" t="s">
        <v>18</v>
      </c>
      <c r="J3060" s="2" t="str">
        <f>HYPERLINK("https://www.nba.com/stats/events?CFID=&amp;CFPARAMS=&amp;GameEventID=353&amp;GameID=0021500257&amp;Season=2015-16&amp;flag=1&amp;title=Leonard%203'%20Driving%20Layup%20(19%20PTS)", "Leonard 3' Driving Layup (19 PTS)")</f>
        <v>Leonard 3' Driving Layup (19 PTS)</v>
      </c>
      <c r="K3060" s="2" t="str">
        <f>HYPERLINK("https://www.nba.com/game/...-vs-...-0021500257/play-by-play?watchFullGame=true", "SAS vs CHI - Q3 01:40.00")</f>
        <v>SAS vs CHI - Q3 01:40.00</v>
      </c>
      <c r="L3060">
        <v>3</v>
      </c>
      <c r="M3060">
        <v>25</v>
      </c>
      <c r="N3060">
        <v>11</v>
      </c>
      <c r="O3060">
        <v>25</v>
      </c>
      <c r="P3060">
        <v>11</v>
      </c>
    </row>
    <row r="3061" spans="1:16" x14ac:dyDescent="0.25">
      <c r="A3061">
        <v>22300343</v>
      </c>
      <c r="B3061">
        <v>2023</v>
      </c>
      <c r="C3061" t="s">
        <v>32</v>
      </c>
      <c r="D3061" t="s">
        <v>47</v>
      </c>
      <c r="E3061">
        <v>86</v>
      </c>
      <c r="F3061">
        <v>71</v>
      </c>
      <c r="G3061">
        <v>3</v>
      </c>
      <c r="H3061" s="1">
        <v>6.3888888888888893E-3</v>
      </c>
      <c r="I3061" t="s">
        <v>23</v>
      </c>
      <c r="J3061" s="2" t="str">
        <f>HYPERLINK("https://www.nba.com/stats/events?CFID=&amp;CFPARAMS=&amp;GameEventID=398&amp;GameID=0022300343&amp;Season=2023-24&amp;flag=1&amp;title=Leonard%20cutting%20Layup%20(25%20PTS)%20(P.%20George%205%20AST)", "Cutting Layup (25 PTS) (P. George 5 AST)")</f>
        <v>Cutting Layup (25 PTS) (P. George 5 AST)</v>
      </c>
      <c r="K3061" s="2" t="str">
        <f>HYPERLINK("https://www.nba.com/game/...-vs-...-0022300343/play-by-play?watchFullGame=true", "LAC vs NYK - Q3 09:12.00")</f>
        <v>LAC vs NYK - Q3 09:12.00</v>
      </c>
      <c r="L3061">
        <v>2.92</v>
      </c>
      <c r="M3061">
        <v>7.28</v>
      </c>
      <c r="N3061">
        <v>45.1</v>
      </c>
      <c r="O3061">
        <v>25</v>
      </c>
      <c r="P3061">
        <v>16</v>
      </c>
    </row>
    <row r="3062" spans="1:16" x14ac:dyDescent="0.25">
      <c r="A3062">
        <v>22200945</v>
      </c>
      <c r="B3062">
        <v>2022</v>
      </c>
      <c r="C3062" t="s">
        <v>32</v>
      </c>
      <c r="D3062" t="s">
        <v>47</v>
      </c>
      <c r="E3062">
        <v>17</v>
      </c>
      <c r="F3062">
        <v>17</v>
      </c>
      <c r="G3062">
        <v>1</v>
      </c>
      <c r="H3062" s="1">
        <v>2.9282407407407408E-3</v>
      </c>
      <c r="I3062" t="s">
        <v>23</v>
      </c>
      <c r="J3062" s="2" t="str">
        <f>HYPERLINK("https://www.nba.com/stats/events?CFID=&amp;CFPARAMS=&amp;GameEventID=94&amp;GameID=0022200945&amp;Season=2022-23&amp;flag=1&amp;title=Leonard%20alley-oop%20Layup%20(5%20PTS)%20(P.%20George%202%20AST)", "Alley-oop Layup (5 PTS) (P. George 2 AST)")</f>
        <v>Alley-oop Layup (5 PTS) (P. George 2 AST)</v>
      </c>
      <c r="K3062" s="2" t="str">
        <f>HYPERLINK("https://www.nba.com/game/...-vs-...-0022200945/play-by-play?watchFullGame=true", "LAC vs GSW - Q1 04:13.00")</f>
        <v>LAC vs GSW - Q1 04:13.00</v>
      </c>
      <c r="L3062">
        <v>3.06</v>
      </c>
      <c r="M3062">
        <v>92.46</v>
      </c>
      <c r="N3062">
        <v>54.9</v>
      </c>
      <c r="O3062">
        <v>25</v>
      </c>
      <c r="P3062">
        <v>18</v>
      </c>
    </row>
    <row r="3063" spans="1:16" x14ac:dyDescent="0.25">
      <c r="A3063">
        <v>21501177</v>
      </c>
      <c r="B3063">
        <v>2015</v>
      </c>
      <c r="C3063" t="s">
        <v>32</v>
      </c>
      <c r="D3063" t="s">
        <v>70</v>
      </c>
      <c r="E3063">
        <v>5</v>
      </c>
      <c r="F3063">
        <v>6</v>
      </c>
      <c r="G3063">
        <v>1</v>
      </c>
      <c r="H3063" s="1">
        <v>5.8217592592592592E-3</v>
      </c>
      <c r="I3063" t="s">
        <v>18</v>
      </c>
      <c r="J3063" s="2" t="str">
        <f>HYPERLINK("https://www.nba.com/stats/events?CFID=&amp;CFPARAMS=&amp;GameEventID=24&amp;GameID=0021501177&amp;Season=2015-16&amp;flag=1&amp;title=Leonard%203'%20Driving%20Hook%20Shot%20(2%20PTS)", "Leonard 3' Driving Hook Shot (2 PTS)")</f>
        <v>Leonard 3' Driving Hook Shot (2 PTS)</v>
      </c>
      <c r="K3063" s="2" t="str">
        <f>HYPERLINK("https://www.nba.com/game/...-vs-...-0021501177/play-by-play?watchFullGame=true", "SAS vs GSW - Q1 08:23.00")</f>
        <v>SAS vs GSW - Q1 08:23.00</v>
      </c>
      <c r="L3063">
        <v>3</v>
      </c>
      <c r="M3063">
        <v>25</v>
      </c>
      <c r="N3063">
        <v>23</v>
      </c>
      <c r="O3063">
        <v>25</v>
      </c>
      <c r="P3063">
        <v>23</v>
      </c>
    </row>
    <row r="3064" spans="1:16" x14ac:dyDescent="0.25">
      <c r="A3064">
        <v>22300537</v>
      </c>
      <c r="B3064">
        <v>2023</v>
      </c>
      <c r="C3064" t="s">
        <v>32</v>
      </c>
      <c r="D3064" t="s">
        <v>47</v>
      </c>
      <c r="E3064">
        <v>16</v>
      </c>
      <c r="F3064">
        <v>12</v>
      </c>
      <c r="G3064">
        <v>1</v>
      </c>
      <c r="H3064" s="1">
        <v>3.2407407407407406E-3</v>
      </c>
      <c r="I3064" t="s">
        <v>23</v>
      </c>
      <c r="J3064" s="2" t="str">
        <f>HYPERLINK("https://www.nba.com/stats/events?CFID=&amp;CFPARAMS=&amp;GameEventID=87&amp;GameID=0022300537&amp;Season=2023-24&amp;flag=1&amp;title=Leonard%20driving%20Layup%20(4%20PTS)", "Driving Layup (4 PTS)")</f>
        <v>Driving Layup (4 PTS)</v>
      </c>
      <c r="K3064" s="2" t="str">
        <f>HYPERLINK("https://www.nba.com/game/...-vs-...-0022300537/play-by-play?watchFullGame=true", "LAC vs MEM - Q1 04:40.00")</f>
        <v>LAC vs MEM - Q1 04:40.00</v>
      </c>
      <c r="L3064">
        <v>3.4</v>
      </c>
      <c r="M3064">
        <v>8.1</v>
      </c>
      <c r="N3064">
        <v>45.1</v>
      </c>
      <c r="O3064">
        <v>25</v>
      </c>
      <c r="P3064">
        <v>24</v>
      </c>
    </row>
    <row r="3065" spans="1:16" x14ac:dyDescent="0.25">
      <c r="A3065">
        <v>21500048</v>
      </c>
      <c r="B3065">
        <v>2015</v>
      </c>
      <c r="C3065" t="s">
        <v>32</v>
      </c>
      <c r="D3065" t="s">
        <v>38</v>
      </c>
      <c r="E3065">
        <v>79</v>
      </c>
      <c r="F3065">
        <v>93</v>
      </c>
      <c r="G3065">
        <v>4</v>
      </c>
      <c r="H3065" s="1">
        <v>1.5393518518518519E-3</v>
      </c>
      <c r="I3065" t="s">
        <v>18</v>
      </c>
      <c r="J3065" s="2" t="str">
        <f>HYPERLINK("https://www.nba.com/stats/events?CFID=&amp;CFPARAMS=&amp;GameEventID=469&amp;GameID=0021500048&amp;Season=2015-16&amp;flag=1&amp;title=Leonard%205'%20Jump%20Bank%20Shot%20(18%20PTS)", "Leonard 5' Jump Bank Shot (18 PTS)")</f>
        <v>Leonard 5' Jump Bank Shot (18 PTS)</v>
      </c>
      <c r="K3065" s="2" t="str">
        <f>HYPERLINK("https://www.nba.com/game/...-vs-...-0021500048/play-by-play?watchFullGame=true", "SAS vs NYK - Q4 02:13.00")</f>
        <v>SAS vs NYK - Q4 02:13.00</v>
      </c>
      <c r="L3065">
        <v>5</v>
      </c>
      <c r="M3065">
        <v>25</v>
      </c>
      <c r="N3065">
        <v>41</v>
      </c>
      <c r="O3065">
        <v>25</v>
      </c>
      <c r="P3065">
        <v>41</v>
      </c>
    </row>
    <row r="3066" spans="1:16" x14ac:dyDescent="0.25">
      <c r="A3066">
        <v>22000324</v>
      </c>
      <c r="B3066">
        <v>2020</v>
      </c>
      <c r="C3066" t="s">
        <v>32</v>
      </c>
      <c r="D3066" t="s">
        <v>19</v>
      </c>
      <c r="E3066">
        <v>2</v>
      </c>
      <c r="F3066">
        <v>5</v>
      </c>
      <c r="G3066">
        <v>1</v>
      </c>
      <c r="H3066" s="1">
        <v>7.5231481481481477E-3</v>
      </c>
      <c r="I3066" t="s">
        <v>23</v>
      </c>
      <c r="J3066" s="2" t="str">
        <f>HYPERLINK("https://www.nba.com/stats/events?CFID=&amp;CFPARAMS=&amp;GameEventID=14&amp;GameID=0022000324&amp;Season=2020-21&amp;flag=1&amp;title=Leonard%20driving%20floating%20Jump%20Shot%20(2%20PTS)", "Driving floating Jump Shot (2 PTS)")</f>
        <v>Driving floating Jump Shot (2 PTS)</v>
      </c>
      <c r="K3066" s="2" t="str">
        <f>HYPERLINK("https://www.nba.com/game/...-vs-...-0022000324/play-by-play?watchFullGame=true", "LAC vs BKN - Q1 10:50.00")</f>
        <v>LAC vs BKN - Q1 10:50.00</v>
      </c>
      <c r="L3066">
        <v>4.92</v>
      </c>
      <c r="M3066">
        <v>10.07</v>
      </c>
      <c r="N3066">
        <v>44.92</v>
      </c>
      <c r="O3066">
        <v>25</v>
      </c>
      <c r="P3066">
        <v>42</v>
      </c>
    </row>
    <row r="3067" spans="1:16" x14ac:dyDescent="0.25">
      <c r="A3067">
        <v>21901271</v>
      </c>
      <c r="B3067">
        <v>2019</v>
      </c>
      <c r="C3067" t="s">
        <v>32</v>
      </c>
      <c r="D3067" t="s">
        <v>22</v>
      </c>
      <c r="E3067">
        <v>42</v>
      </c>
      <c r="F3067">
        <v>44</v>
      </c>
      <c r="G3067">
        <v>2</v>
      </c>
      <c r="H3067" s="1">
        <v>3.4375E-3</v>
      </c>
      <c r="I3067" t="s">
        <v>23</v>
      </c>
      <c r="J3067" s="2" t="str">
        <f>HYPERLINK("https://www.nba.com/stats/events?CFID=&amp;CFPARAMS=&amp;GameEventID=266&amp;GameID=0021901271&amp;Season=2019-20&amp;flag=1&amp;title=Leonard%206'%20jumpshot%20(7%20PTS)%20(L.%20Shamet%202%20AST)", "6' jumpshot (7 PTS) (L. Shamet 2 AST)")</f>
        <v>6' jumpshot (7 PTS) (L. Shamet 2 AST)</v>
      </c>
      <c r="K3067" s="2" t="str">
        <f>HYPERLINK("https://www.nba.com/game/...-vs-...-0021901271/play-by-play?watchFullGame=true", "LAC vs DAL - Q2 04:57.00")</f>
        <v>LAC vs DAL - Q2 04:57.00</v>
      </c>
      <c r="L3067">
        <v>6.41</v>
      </c>
      <c r="M3067">
        <v>11.25</v>
      </c>
      <c r="N3067">
        <v>44.92</v>
      </c>
      <c r="O3067">
        <v>25</v>
      </c>
      <c r="P3067">
        <v>53</v>
      </c>
    </row>
    <row r="3068" spans="1:16" x14ac:dyDescent="0.25">
      <c r="A3068">
        <v>22400733</v>
      </c>
      <c r="B3068">
        <v>2024</v>
      </c>
      <c r="C3068" t="s">
        <v>32</v>
      </c>
      <c r="D3068" t="s">
        <v>19</v>
      </c>
      <c r="E3068">
        <v>94</v>
      </c>
      <c r="F3068">
        <v>92</v>
      </c>
      <c r="G3068">
        <v>4</v>
      </c>
      <c r="H3068" s="1">
        <v>6.0069444444444441E-3</v>
      </c>
      <c r="I3068" t="s">
        <v>23</v>
      </c>
      <c r="J3068" s="2" t="str">
        <f>HYPERLINK("https://www.nba.com/stats/events?CFID=&amp;CFPARAMS=&amp;GameEventID=524&amp;GameID=0022400733&amp;Season=2024-25&amp;flag=1&amp;title=Leonard%206'%20driving%20floating%20Jump%20Shot%20(12%20PTS)", "6' driving floating Jump Shot (12 PTS)")</f>
        <v>6' driving floating Jump Shot (12 PTS)</v>
      </c>
      <c r="K3068" s="2" t="str">
        <f>HYPERLINK("https://www.nba.com/game/...-vs-...-0022400733/play-by-play?watchFullGame=true", "LAC vs IND - Q4 08:39.00")</f>
        <v>LAC vs IND - Q4 08:39.00</v>
      </c>
      <c r="L3068">
        <v>6.09</v>
      </c>
      <c r="M3068">
        <v>11.51</v>
      </c>
      <c r="N3068">
        <v>45.1</v>
      </c>
      <c r="O3068">
        <v>25</v>
      </c>
      <c r="P3068">
        <v>56</v>
      </c>
    </row>
    <row r="3069" spans="1:16" x14ac:dyDescent="0.25">
      <c r="A3069">
        <v>42200172</v>
      </c>
      <c r="B3069" t="s">
        <v>86</v>
      </c>
      <c r="C3069" t="s">
        <v>32</v>
      </c>
      <c r="D3069" t="s">
        <v>19</v>
      </c>
      <c r="E3069">
        <v>104</v>
      </c>
      <c r="F3069">
        <v>94</v>
      </c>
      <c r="G3069">
        <v>4</v>
      </c>
      <c r="H3069" s="1">
        <v>5.8217592592592592E-3</v>
      </c>
      <c r="I3069" t="s">
        <v>23</v>
      </c>
      <c r="J3069" s="2" t="str">
        <f>HYPERLINK("https://www.nba.com/stats/events?CFID=&amp;CFPARAMS=&amp;GameEventID=522&amp;GameID=0042200172&amp;Season=2022-23&amp;flag=1&amp;title=Leonard%2018'%20pullup%20Jump%20Shot%20(24%20PTS)", "18' pullup Jump Shot (24 PTS)")</f>
        <v>18' pullup Jump Shot (24 PTS)</v>
      </c>
      <c r="K3069" s="2" t="str">
        <f>HYPERLINK("https://www.nba.com/game/...-vs-...-0042200172/play-by-play?watchFullGame=true", "LAC vs PHX - Q4 08:23.00")</f>
        <v>LAC vs PHX - Q4 08:23.00</v>
      </c>
      <c r="L3069">
        <v>18.920000000000002</v>
      </c>
      <c r="M3069">
        <v>25.44</v>
      </c>
      <c r="N3069">
        <v>56.13</v>
      </c>
      <c r="O3069">
        <v>25</v>
      </c>
      <c r="P3069">
        <v>56</v>
      </c>
    </row>
    <row r="3070" spans="1:16" x14ac:dyDescent="0.25">
      <c r="A3070">
        <v>42200171</v>
      </c>
      <c r="B3070" t="s">
        <v>86</v>
      </c>
      <c r="C3070" t="s">
        <v>32</v>
      </c>
      <c r="D3070" t="s">
        <v>19</v>
      </c>
      <c r="E3070">
        <v>84</v>
      </c>
      <c r="F3070">
        <v>86</v>
      </c>
      <c r="G3070">
        <v>4</v>
      </c>
      <c r="H3070" s="1">
        <v>7.7546296296296295E-3</v>
      </c>
      <c r="I3070" t="s">
        <v>23</v>
      </c>
      <c r="J3070" s="2" t="str">
        <f>HYPERLINK("https://www.nba.com/stats/events?CFID=&amp;CFPARAMS=&amp;GameEventID=517&amp;GameID=0042200171&amp;Season=2022-23&amp;flag=1&amp;title=Leonard%2021'%20Jump%20Shot%20(30%20PTS)", "21' Jump Shot (30 PTS)")</f>
        <v>21' Jump Shot (30 PTS)</v>
      </c>
      <c r="K3070" s="2" t="str">
        <f>HYPERLINK("https://www.nba.com/game/...-vs-...-0042200171/play-by-play?watchFullGame=true", "LAC vs PHX - Q4 11:10.00")</f>
        <v>LAC vs PHX - Q4 11:10.00</v>
      </c>
      <c r="L3070">
        <v>21.24</v>
      </c>
      <c r="M3070">
        <v>25.05</v>
      </c>
      <c r="N3070">
        <v>71.569999999999993</v>
      </c>
      <c r="O3070">
        <v>25</v>
      </c>
      <c r="P3070">
        <v>71</v>
      </c>
    </row>
    <row r="3071" spans="1:16" x14ac:dyDescent="0.25">
      <c r="A3071">
        <v>22200649</v>
      </c>
      <c r="B3071">
        <v>2022</v>
      </c>
      <c r="C3071" t="s">
        <v>32</v>
      </c>
      <c r="D3071" t="s">
        <v>19</v>
      </c>
      <c r="E3071">
        <v>23</v>
      </c>
      <c r="F3071">
        <v>27</v>
      </c>
      <c r="G3071">
        <v>1</v>
      </c>
      <c r="H3071" s="1">
        <v>1.8865740740740742E-3</v>
      </c>
      <c r="I3071" t="s">
        <v>23</v>
      </c>
      <c r="J3071" s="2" t="str">
        <f>HYPERLINK("https://www.nba.com/stats/events?CFID=&amp;CFPARAMS=&amp;GameEventID=96&amp;GameID=0022200649&amp;Season=2022-23&amp;flag=1&amp;title=Leonard%207'%20pullup%20Jump%20Shot%20(8%20PTS)", "7' pullup Jump Shot (8 PTS)")</f>
        <v>7' pullup Jump Shot (8 PTS)</v>
      </c>
      <c r="K3071" s="2" t="str">
        <f>HYPERLINK("https://www.nba.com/game/...-vs-...-0022200649/play-by-play?watchFullGame=true", "LAC vs HOU - Q1 02:43.00")</f>
        <v>LAC vs HOU - Q1 02:43.00</v>
      </c>
      <c r="L3071">
        <v>7.7</v>
      </c>
      <c r="M3071">
        <v>86.65</v>
      </c>
      <c r="N3071">
        <v>54.9</v>
      </c>
      <c r="O3071">
        <v>25</v>
      </c>
      <c r="P3071">
        <v>73</v>
      </c>
    </row>
    <row r="3072" spans="1:16" x14ac:dyDescent="0.25">
      <c r="A3072">
        <v>41600232</v>
      </c>
      <c r="B3072" t="s">
        <v>30</v>
      </c>
      <c r="C3072" t="s">
        <v>32</v>
      </c>
      <c r="D3072" t="s">
        <v>29</v>
      </c>
      <c r="E3072">
        <v>105</v>
      </c>
      <c r="F3072">
        <v>88</v>
      </c>
      <c r="G3072">
        <v>4</v>
      </c>
      <c r="H3072" s="1">
        <v>4.31712962962963E-3</v>
      </c>
      <c r="I3072" t="s">
        <v>18</v>
      </c>
      <c r="J3072" s="2" t="str">
        <f>HYPERLINK("https://www.nba.com/stats/events?CFID=&amp;CFPARAMS=&amp;GameEventID=400&amp;GameID=0041600232&amp;Season=2016-17&amp;flag=1&amp;title=Leonard%208'%20Pullup%20Jump%20Shot%20(30%20PTS)", "Leonard 8' Pullup Jump Shot (30 PTS)")</f>
        <v>Leonard 8' Pullup Jump Shot (30 PTS)</v>
      </c>
      <c r="K3072" s="2" t="str">
        <f>HYPERLINK("https://www.nba.com/game/...-vs-...-0041600232/play-by-play?watchFullGame=true", "SAS vs HOU - Q4 06:13.00")</f>
        <v>SAS vs HOU - Q4 06:13.00</v>
      </c>
      <c r="L3072">
        <v>8</v>
      </c>
      <c r="M3072">
        <v>25</v>
      </c>
      <c r="N3072">
        <v>77</v>
      </c>
      <c r="O3072">
        <v>25</v>
      </c>
      <c r="P3072">
        <v>77</v>
      </c>
    </row>
    <row r="3073" spans="1:16" x14ac:dyDescent="0.25">
      <c r="A3073">
        <v>21900458</v>
      </c>
      <c r="B3073">
        <v>2019</v>
      </c>
      <c r="C3073" t="s">
        <v>32</v>
      </c>
      <c r="D3073" t="s">
        <v>22</v>
      </c>
      <c r="E3073">
        <v>17</v>
      </c>
      <c r="F3073">
        <v>20</v>
      </c>
      <c r="G3073">
        <v>1</v>
      </c>
      <c r="H3073" s="1">
        <v>2.8240740740740739E-3</v>
      </c>
      <c r="I3073" t="s">
        <v>23</v>
      </c>
      <c r="J3073" s="2" t="str">
        <f>HYPERLINK("https://www.nba.com/stats/events?CFID=&amp;CFPARAMS=&amp;GameEventID=91&amp;GameID=0021900458&amp;Season=2019-20&amp;flag=1&amp;title=Leonard%2011'%20jumpshot%20(7%20PTS)", "11' jumpshot (7 PTS)")</f>
        <v>11' jumpshot (7 PTS)</v>
      </c>
      <c r="K3073" s="2" t="str">
        <f>HYPERLINK("https://www.nba.com/game/...-vs-...-0021900458/play-by-play?watchFullGame=true", "LAC vs LAL - Q1 04:04.00")</f>
        <v>LAC vs LAL - Q1 04:04.00</v>
      </c>
      <c r="L3073">
        <v>11.43</v>
      </c>
      <c r="M3073">
        <v>16.87</v>
      </c>
      <c r="N3073">
        <v>45.03</v>
      </c>
      <c r="O3073">
        <v>25</v>
      </c>
      <c r="P3073">
        <v>106</v>
      </c>
    </row>
    <row r="3074" spans="1:16" x14ac:dyDescent="0.25">
      <c r="A3074">
        <v>22000188</v>
      </c>
      <c r="B3074">
        <v>2020</v>
      </c>
      <c r="C3074" t="s">
        <v>32</v>
      </c>
      <c r="D3074" t="s">
        <v>19</v>
      </c>
      <c r="E3074">
        <v>55</v>
      </c>
      <c r="F3074">
        <v>60</v>
      </c>
      <c r="G3074">
        <v>2</v>
      </c>
      <c r="H3074" s="1">
        <v>1.5625000000000001E-3</v>
      </c>
      <c r="I3074" t="s">
        <v>23</v>
      </c>
      <c r="J3074" s="2" t="str">
        <f>HYPERLINK("https://www.nba.com/stats/events?CFID=&amp;CFPARAMS=&amp;GameEventID=282&amp;GameID=0022000188&amp;Season=2020-21&amp;flag=1&amp;title=Leonard%2012'%20turnaround%20fadeaway%20Jump%20Shot%20(16%20PTS)", "12' turnaround fadeaway Jump Shot (16 PTS)")</f>
        <v>12' turnaround fadeaway Jump Shot (16 PTS)</v>
      </c>
      <c r="K3074" s="2" t="str">
        <f>HYPERLINK("https://www.nba.com/game/...-vs-...-0022000188/play-by-play?watchFullGame=true", "LAC vs SAC - Q2 02:15.00")</f>
        <v>LAC vs SAC - Q2 02:15.00</v>
      </c>
      <c r="L3074">
        <v>12.23</v>
      </c>
      <c r="M3074">
        <v>81.69</v>
      </c>
      <c r="N3074">
        <v>54.97</v>
      </c>
      <c r="O3074">
        <v>25</v>
      </c>
      <c r="P3074">
        <v>120</v>
      </c>
    </row>
    <row r="3075" spans="1:16" x14ac:dyDescent="0.25">
      <c r="A3075">
        <v>21600309</v>
      </c>
      <c r="B3075">
        <v>2016</v>
      </c>
      <c r="C3075" t="s">
        <v>32</v>
      </c>
      <c r="D3075" t="s">
        <v>19</v>
      </c>
      <c r="E3075">
        <v>2</v>
      </c>
      <c r="F3075">
        <v>2</v>
      </c>
      <c r="G3075">
        <v>1</v>
      </c>
      <c r="H3075" s="1">
        <v>7.1296296296296299E-3</v>
      </c>
      <c r="I3075" t="s">
        <v>18</v>
      </c>
      <c r="J3075" s="2" t="str">
        <f>HYPERLINK("https://www.nba.com/stats/events?CFID=&amp;CFPARAMS=&amp;GameEventID=11&amp;GameID=0021600309&amp;Season=2016-17&amp;flag=1&amp;title=Leonard%2013'%20Jump%20Shot%20(2%20PTS)%20(Parker%201%20AST)", "Leonard 13' Jump Shot (2 PTS) (Parker 1 AST)")</f>
        <v>Leonard 13' Jump Shot (2 PTS) (Parker 1 AST)</v>
      </c>
      <c r="K3075" s="2" t="str">
        <f>HYPERLINK("https://www.nba.com/game/...-vs-...-0021600309/play-by-play?watchFullGame=true", "SAS vs MIL - Q1 10:16.00")</f>
        <v>SAS vs MIL - Q1 10:16.00</v>
      </c>
      <c r="L3075">
        <v>13</v>
      </c>
      <c r="M3075">
        <v>25</v>
      </c>
      <c r="N3075">
        <v>124</v>
      </c>
      <c r="O3075">
        <v>25</v>
      </c>
      <c r="P3075">
        <v>124</v>
      </c>
    </row>
    <row r="3076" spans="1:16" x14ac:dyDescent="0.25">
      <c r="A3076">
        <v>21500979</v>
      </c>
      <c r="B3076">
        <v>2015</v>
      </c>
      <c r="C3076" t="s">
        <v>32</v>
      </c>
      <c r="D3076" t="s">
        <v>31</v>
      </c>
      <c r="E3076">
        <v>8</v>
      </c>
      <c r="F3076">
        <v>6</v>
      </c>
      <c r="G3076">
        <v>1</v>
      </c>
      <c r="H3076" s="1">
        <v>6.1574074074074074E-3</v>
      </c>
      <c r="I3076" t="s">
        <v>18</v>
      </c>
      <c r="J3076" s="2" t="str">
        <f>HYPERLINK("https://www.nba.com/stats/events?CFID=&amp;CFPARAMS=&amp;GameEventID=28&amp;GameID=0021500979&amp;Season=2015-16&amp;flag=1&amp;title=Leonard%2014'%20Step%20Back%20Jump%20Shot%20(2%20PTS)", "Leonard 14' Step Back Jump Shot (2 PTS)")</f>
        <v>Leonard 14' Step Back Jump Shot (2 PTS)</v>
      </c>
      <c r="K3076" s="2" t="str">
        <f>HYPERLINK("https://www.nba.com/game/...-vs-...-0021500979/play-by-play?watchFullGame=true", "SAS vs OKC - Q1 08:52.00")</f>
        <v>SAS vs OKC - Q1 08:52.00</v>
      </c>
      <c r="L3076">
        <v>14</v>
      </c>
      <c r="M3076">
        <v>25</v>
      </c>
      <c r="N3076">
        <v>134</v>
      </c>
      <c r="O3076">
        <v>25</v>
      </c>
      <c r="P3076">
        <v>134</v>
      </c>
    </row>
    <row r="3077" spans="1:16" x14ac:dyDescent="0.25">
      <c r="A3077">
        <v>22200363</v>
      </c>
      <c r="B3077">
        <v>2022</v>
      </c>
      <c r="C3077" t="s">
        <v>32</v>
      </c>
      <c r="D3077" t="s">
        <v>19</v>
      </c>
      <c r="E3077">
        <v>0</v>
      </c>
      <c r="F3077">
        <v>2</v>
      </c>
      <c r="G3077">
        <v>1</v>
      </c>
      <c r="H3077" s="1">
        <v>8.1712962962962963E-3</v>
      </c>
      <c r="I3077" t="s">
        <v>23</v>
      </c>
      <c r="J3077" s="2" t="str">
        <f>HYPERLINK("https://www.nba.com/stats/events?CFID=&amp;CFPARAMS=&amp;GameEventID=7&amp;GameID=0022200363&amp;Season=2022-23&amp;flag=1&amp;title=Leonard%2014'%20Jump%20Shot%20(2%20PTS)%20(P.%20George%201%20AST)", "14' Jump Shot (2 PTS) (P. George 1 AST)")</f>
        <v>14' Jump Shot (2 PTS) (P. George 1 AST)</v>
      </c>
      <c r="K3077" s="2" t="str">
        <f>HYPERLINK("https://www.nba.com/game/...-vs-...-0022200363/play-by-play?watchFullGame=true", "LAC vs ORL - Q1 11:46.00")</f>
        <v>LAC vs ORL - Q1 11:46.00</v>
      </c>
      <c r="L3077">
        <v>14.91</v>
      </c>
      <c r="M3077">
        <v>21.24</v>
      </c>
      <c r="N3077">
        <v>45.1</v>
      </c>
      <c r="O3077">
        <v>25</v>
      </c>
      <c r="P3077">
        <v>147</v>
      </c>
    </row>
    <row r="3078" spans="1:16" x14ac:dyDescent="0.25">
      <c r="A3078">
        <v>21600309</v>
      </c>
      <c r="B3078">
        <v>2016</v>
      </c>
      <c r="C3078" t="s">
        <v>32</v>
      </c>
      <c r="D3078" t="s">
        <v>19</v>
      </c>
      <c r="E3078">
        <v>78</v>
      </c>
      <c r="F3078">
        <v>80</v>
      </c>
      <c r="G3078">
        <v>4</v>
      </c>
      <c r="H3078" s="1">
        <v>5.4629629629629629E-3</v>
      </c>
      <c r="I3078" t="s">
        <v>18</v>
      </c>
      <c r="J3078" s="2" t="str">
        <f>HYPERLINK("https://www.nba.com/stats/events?CFID=&amp;CFPARAMS=&amp;GameEventID=485&amp;GameID=0021600309&amp;Season=2016-17&amp;flag=1&amp;title=Leonard%2017'%20Jump%20Shot%20(9%20PTS)%20(Aldridge%204%20AST)", "Leonard 17' Jump Shot (9 PTS) (Aldridge 4 AST)")</f>
        <v>Leonard 17' Jump Shot (9 PTS) (Aldridge 4 AST)</v>
      </c>
      <c r="K3078" s="2" t="str">
        <f>HYPERLINK("https://www.nba.com/game/...-vs-...-0021600309/play-by-play?watchFullGame=true", "SAS vs MIL - Q4 07:52.00")</f>
        <v>SAS vs MIL - Q4 07:52.00</v>
      </c>
      <c r="L3078">
        <v>17</v>
      </c>
      <c r="M3078">
        <v>25</v>
      </c>
      <c r="N3078">
        <v>165</v>
      </c>
      <c r="O3078">
        <v>25</v>
      </c>
      <c r="P3078">
        <v>165</v>
      </c>
    </row>
    <row r="3079" spans="1:16" x14ac:dyDescent="0.25">
      <c r="A3079">
        <v>22300964</v>
      </c>
      <c r="B3079">
        <v>2023</v>
      </c>
      <c r="C3079" t="s">
        <v>32</v>
      </c>
      <c r="D3079" t="s">
        <v>47</v>
      </c>
      <c r="E3079">
        <v>62</v>
      </c>
      <c r="F3079">
        <v>53</v>
      </c>
      <c r="G3079">
        <v>3</v>
      </c>
      <c r="H3079" s="1">
        <v>5.5092592592592589E-3</v>
      </c>
      <c r="I3079" t="s">
        <v>23</v>
      </c>
      <c r="J3079" s="2" t="str">
        <f>HYPERLINK("https://www.nba.com/stats/events?CFID=&amp;CFPARAMS=&amp;GameEventID=360&amp;GameID=0022300964&amp;Season=2023-24&amp;flag=1&amp;title=Leonard%20driving%20Layup%20(13%20PTS)", "Driving Layup (13 PTS)")</f>
        <v>Driving Layup (13 PTS)</v>
      </c>
      <c r="K3079" s="2" t="str">
        <f>HYPERLINK("https://www.nba.com/game/...-vs-...-0022300964/play-by-play?watchFullGame=true", "LAC vs NOP - Q3 07:56.00")</f>
        <v>LAC vs NOP - Q3 07:56.00</v>
      </c>
      <c r="L3079">
        <v>2.6</v>
      </c>
      <c r="M3079">
        <v>5.21</v>
      </c>
      <c r="N3079">
        <v>44.85</v>
      </c>
      <c r="O3079">
        <v>26</v>
      </c>
      <c r="P3079">
        <v>-4</v>
      </c>
    </row>
    <row r="3080" spans="1:16" x14ac:dyDescent="0.25">
      <c r="A3080">
        <v>41300146</v>
      </c>
      <c r="B3080" t="s">
        <v>26</v>
      </c>
      <c r="C3080" t="s">
        <v>32</v>
      </c>
      <c r="D3080" t="s">
        <v>55</v>
      </c>
      <c r="E3080">
        <v>71</v>
      </c>
      <c r="F3080">
        <v>73</v>
      </c>
      <c r="G3080">
        <v>3</v>
      </c>
      <c r="H3080" s="1">
        <v>3.5648148148148149E-3</v>
      </c>
      <c r="I3080" t="s">
        <v>18</v>
      </c>
      <c r="J3080" s="2" t="str">
        <f>HYPERLINK("https://www.nba.com/stats/events?CFID=&amp;CFPARAMS=&amp;GameEventID=349&amp;GameID=0041300146&amp;Season=2013-14&amp;flag=1&amp;title=Leonard%203'%20Driving%20Reverse%20Layup%20(12%20PTS)", "Leonard 3' Driving Reverse Layup (12 PTS)")</f>
        <v>Leonard 3' Driving Reverse Layup (12 PTS)</v>
      </c>
      <c r="K3080" s="2" t="str">
        <f>HYPERLINK("https://www.nba.com/game/...-vs-...-0041300146/play-by-play?watchFullGame=true", "SAS vs DAL - Q3 05:08.00")</f>
        <v>SAS vs DAL - Q3 05:08.00</v>
      </c>
      <c r="L3080">
        <v>3</v>
      </c>
      <c r="M3080">
        <v>26</v>
      </c>
      <c r="N3080">
        <v>1</v>
      </c>
      <c r="O3080">
        <v>26</v>
      </c>
      <c r="P3080">
        <v>1</v>
      </c>
    </row>
    <row r="3081" spans="1:16" x14ac:dyDescent="0.25">
      <c r="A3081">
        <v>22200810</v>
      </c>
      <c r="B3081">
        <v>2022</v>
      </c>
      <c r="C3081" t="s">
        <v>32</v>
      </c>
      <c r="D3081" t="s">
        <v>47</v>
      </c>
      <c r="E3081">
        <v>61</v>
      </c>
      <c r="F3081">
        <v>67</v>
      </c>
      <c r="G3081">
        <v>3</v>
      </c>
      <c r="H3081" s="1">
        <v>6.6782407407407407E-3</v>
      </c>
      <c r="I3081" t="s">
        <v>23</v>
      </c>
      <c r="J3081" s="2" t="str">
        <f>HYPERLINK("https://www.nba.com/stats/events?CFID=&amp;CFPARAMS=&amp;GameEventID=320&amp;GameID=0022200810&amp;Season=2022-23&amp;flag=1&amp;title=Leonard%20driving%20Layup%20(11%20PTS)", "Driving Layup (11 PTS)")</f>
        <v>Driving Layup (11 PTS)</v>
      </c>
      <c r="K3081" s="2" t="str">
        <f>HYPERLINK("https://www.nba.com/game/...-vs-...-0022200810/play-by-play?watchFullGame=true", "LAC vs BKN - Q3 09:37.00")</f>
        <v>LAC vs BKN - Q3 09:37.00</v>
      </c>
      <c r="L3081">
        <v>2.6</v>
      </c>
      <c r="M3081">
        <v>6</v>
      </c>
      <c r="N3081">
        <v>44.85</v>
      </c>
      <c r="O3081">
        <v>26</v>
      </c>
      <c r="P3081">
        <v>4</v>
      </c>
    </row>
    <row r="3082" spans="1:16" x14ac:dyDescent="0.25">
      <c r="A3082">
        <v>42000176</v>
      </c>
      <c r="B3082" t="s">
        <v>83</v>
      </c>
      <c r="C3082" t="s">
        <v>16</v>
      </c>
      <c r="D3082" t="s">
        <v>19</v>
      </c>
      <c r="E3082">
        <v>67</v>
      </c>
      <c r="F3082">
        <v>71</v>
      </c>
      <c r="G3082">
        <v>3</v>
      </c>
      <c r="H3082" s="1">
        <v>2.0254629629629629E-3</v>
      </c>
      <c r="I3082" t="s">
        <v>23</v>
      </c>
      <c r="J3082" s="2" t="str">
        <f>HYPERLINK("https://www.nba.com/stats/events?CFID=&amp;CFPARAMS=&amp;GameEventID=419&amp;GameID=0042000176&amp;Season=2020-21&amp;flag=1&amp;title=Leonard%2025'%203PT%20running%20pullup%20(31%20PTS)%20(P.%20George%205%20AST)", "25' 3PT running pullup (31 PTS) (P. George 5 AST)")</f>
        <v>25' 3PT running pullup (31 PTS) (P. George 5 AST)</v>
      </c>
      <c r="K3082" s="2" t="str">
        <f>HYPERLINK("https://www.nba.com/game/...-vs-...-0042000176/play-by-play?watchFullGame=true", "LAC vs DAL - Q3 02:55.00")</f>
        <v>LAC vs DAL - Q3 02:55.00</v>
      </c>
      <c r="L3082">
        <v>25.89</v>
      </c>
      <c r="M3082">
        <v>26.36</v>
      </c>
      <c r="N3082">
        <v>16</v>
      </c>
      <c r="O3082">
        <v>26</v>
      </c>
      <c r="P3082">
        <v>16</v>
      </c>
    </row>
    <row r="3083" spans="1:16" x14ac:dyDescent="0.25">
      <c r="A3083">
        <v>21300094</v>
      </c>
      <c r="B3083">
        <v>2013</v>
      </c>
      <c r="C3083" t="s">
        <v>32</v>
      </c>
      <c r="D3083" t="s">
        <v>49</v>
      </c>
      <c r="E3083">
        <v>19</v>
      </c>
      <c r="F3083">
        <v>37</v>
      </c>
      <c r="G3083">
        <v>2</v>
      </c>
      <c r="H3083" s="1">
        <v>7.8703703703703696E-3</v>
      </c>
      <c r="I3083" t="s">
        <v>18</v>
      </c>
      <c r="J3083" s="2" t="str">
        <f>HYPERLINK("https://www.nba.com/stats/events?CFID=&amp;CFPARAMS=&amp;GameEventID=128&amp;GameID=0021300094&amp;Season=2013-14&amp;flag=1&amp;title=Leonard%203'%20Driving%20Layup%20(5%20PTS)", "Leonard 3' Driving Layup (5 PTS)")</f>
        <v>Leonard 3' Driving Layup (5 PTS)</v>
      </c>
      <c r="K3083" s="2" t="str">
        <f>HYPERLINK("https://www.nba.com/game/...-vs-...-0021300094/play-by-play?watchFullGame=true", "SAS vs NYK - Q2 11:20.00")</f>
        <v>SAS vs NYK - Q2 11:20.00</v>
      </c>
      <c r="L3083">
        <v>3</v>
      </c>
      <c r="M3083">
        <v>26</v>
      </c>
      <c r="N3083">
        <v>19</v>
      </c>
      <c r="O3083">
        <v>26</v>
      </c>
      <c r="P3083">
        <v>19</v>
      </c>
    </row>
    <row r="3084" spans="1:16" x14ac:dyDescent="0.25">
      <c r="A3084">
        <v>22400874</v>
      </c>
      <c r="B3084">
        <v>2024</v>
      </c>
      <c r="C3084" t="s">
        <v>32</v>
      </c>
      <c r="D3084" t="s">
        <v>47</v>
      </c>
      <c r="E3084">
        <v>91</v>
      </c>
      <c r="F3084">
        <v>83</v>
      </c>
      <c r="G3084">
        <v>4</v>
      </c>
      <c r="H3084" s="1">
        <v>6.4583333333333333E-3</v>
      </c>
      <c r="I3084" t="s">
        <v>23</v>
      </c>
      <c r="J3084" s="2" t="str">
        <f>HYPERLINK("https://www.nba.com/stats/events?CFID=&amp;CFPARAMS=&amp;GameEventID=503&amp;GameID=0022400874&amp;Season=2024-25&amp;flag=1&amp;title=Leonard%20driving%20Layup%20(25%20PTS)%20(I.%20Zubac%203%20AST)", "Driving Layup (25 PTS) (I. Zubac 3 AST)")</f>
        <v>Driving Layup (25 PTS) (I. Zubac 3 AST)</v>
      </c>
      <c r="K3084" s="2" t="str">
        <f>HYPERLINK("https://www.nba.com/game/...-vs-...-0022400874/play-by-play?watchFullGame=true", "LAC vs LAL - Q4 09:18.00")</f>
        <v>LAC vs LAL - Q4 09:18.00</v>
      </c>
      <c r="L3084">
        <v>3.23</v>
      </c>
      <c r="M3084">
        <v>7.67</v>
      </c>
      <c r="N3084">
        <v>44.85</v>
      </c>
      <c r="O3084">
        <v>26</v>
      </c>
      <c r="P3084">
        <v>20</v>
      </c>
    </row>
    <row r="3085" spans="1:16" x14ac:dyDescent="0.25">
      <c r="A3085">
        <v>41800113</v>
      </c>
      <c r="B3085" t="s">
        <v>20</v>
      </c>
      <c r="C3085" t="s">
        <v>32</v>
      </c>
      <c r="D3085" t="s">
        <v>49</v>
      </c>
      <c r="E3085">
        <v>36</v>
      </c>
      <c r="F3085">
        <v>39</v>
      </c>
      <c r="G3085">
        <v>2</v>
      </c>
      <c r="H3085" s="1">
        <v>3.1250000000000002E-3</v>
      </c>
      <c r="I3085" t="s">
        <v>21</v>
      </c>
      <c r="J3085" s="2" t="str">
        <f>HYPERLINK("https://www.nba.com/stats/events?CFID=&amp;CFPARAMS=&amp;GameEventID=267&amp;GameID=0041800113&amp;Season=2018-19&amp;flag=1&amp;title=Leonard%203'%20Driving%20Layup%20(8%20PTS)%20(Siakam%202%20AST)", "Leonard 3' Driving Layup (8 PTS) (Siakam 2 AST)")</f>
        <v>Leonard 3' Driving Layup (8 PTS) (Siakam 2 AST)</v>
      </c>
      <c r="K3085" s="2" t="str">
        <f>HYPERLINK("https://www.nba.com/game/...-vs-...-0041800113/play-by-play?watchFullGame=true", "TOR vs ORL - Q2 04:30.00")</f>
        <v>TOR vs ORL - Q2 04:30.00</v>
      </c>
      <c r="L3085">
        <v>3</v>
      </c>
      <c r="M3085">
        <v>26</v>
      </c>
      <c r="N3085">
        <v>23</v>
      </c>
      <c r="O3085">
        <v>26</v>
      </c>
      <c r="P3085">
        <v>23</v>
      </c>
    </row>
    <row r="3086" spans="1:16" x14ac:dyDescent="0.25">
      <c r="A3086">
        <v>21400931</v>
      </c>
      <c r="B3086">
        <v>2014</v>
      </c>
      <c r="C3086" t="s">
        <v>32</v>
      </c>
      <c r="D3086" t="s">
        <v>19</v>
      </c>
      <c r="E3086">
        <v>50</v>
      </c>
      <c r="F3086">
        <v>36</v>
      </c>
      <c r="G3086">
        <v>2</v>
      </c>
      <c r="H3086" s="1">
        <v>1.7013888888888888E-3</v>
      </c>
      <c r="I3086" t="s">
        <v>18</v>
      </c>
      <c r="J3086" s="2" t="str">
        <f>HYPERLINK("https://www.nba.com/stats/events?CFID=&amp;CFPARAMS=&amp;GameEventID=225&amp;GameID=0021400931&amp;Season=2014-15&amp;flag=1&amp;title=Leonard%207'%20Jump%20Shot%20(8%20PTS)", "Leonard 7' Jump Shot (8 PTS)")</f>
        <v>Leonard 7' Jump Shot (8 PTS)</v>
      </c>
      <c r="K3086" s="2" t="str">
        <f>HYPERLINK("https://www.nba.com/game/...-vs-...-0021400931/play-by-play?watchFullGame=true", "SAS vs CHI - Q2 02:27.00")</f>
        <v>SAS vs CHI - Q2 02:27.00</v>
      </c>
      <c r="L3086">
        <v>7</v>
      </c>
      <c r="M3086">
        <v>26</v>
      </c>
      <c r="N3086">
        <v>60</v>
      </c>
      <c r="O3086">
        <v>26</v>
      </c>
      <c r="P3086">
        <v>60</v>
      </c>
    </row>
    <row r="3087" spans="1:16" x14ac:dyDescent="0.25">
      <c r="A3087">
        <v>22400486</v>
      </c>
      <c r="B3087">
        <v>2024</v>
      </c>
      <c r="C3087" t="s">
        <v>32</v>
      </c>
      <c r="D3087" t="s">
        <v>19</v>
      </c>
      <c r="E3087">
        <v>81</v>
      </c>
      <c r="F3087">
        <v>64</v>
      </c>
      <c r="G3087">
        <v>3</v>
      </c>
      <c r="H3087" s="1">
        <v>6.1805555555555555E-3</v>
      </c>
      <c r="I3087" t="s">
        <v>23</v>
      </c>
      <c r="J3087" s="2" t="str">
        <f>HYPERLINK("https://www.nba.com/stats/events?CFID=&amp;CFPARAMS=&amp;GameEventID=382&amp;GameID=0022400486&amp;Season=2024-25&amp;flag=1&amp;title=Leonard%208'%20driving%20floating%20Jump%20Shot%20(12%20PTS)%20(J.%20Harden%2014%20AST)", "8' driving floating Jump Shot (12 PTS) (J. Harden 14 AST)")</f>
        <v>8' driving floating Jump Shot (12 PTS) (J. Harden 14 AST)</v>
      </c>
      <c r="K3087" s="2" t="str">
        <f>HYPERLINK("https://www.nba.com/game/...-vs-...-0022400486/play-by-play?watchFullGame=true", "LAC vs ATL - Q3 08:54.00")</f>
        <v>LAC vs ATL - Q3 08:54.00</v>
      </c>
      <c r="L3087">
        <v>8.56</v>
      </c>
      <c r="M3087">
        <v>14.27</v>
      </c>
      <c r="N3087">
        <v>44.85</v>
      </c>
      <c r="O3087">
        <v>26</v>
      </c>
      <c r="P3087">
        <v>82</v>
      </c>
    </row>
    <row r="3088" spans="1:16" x14ac:dyDescent="0.25">
      <c r="A3088">
        <v>22200784</v>
      </c>
      <c r="B3088">
        <v>2022</v>
      </c>
      <c r="C3088" t="s">
        <v>32</v>
      </c>
      <c r="D3088" t="s">
        <v>19</v>
      </c>
      <c r="E3088">
        <v>2</v>
      </c>
      <c r="F3088">
        <v>8</v>
      </c>
      <c r="G3088">
        <v>1</v>
      </c>
      <c r="H3088" s="1">
        <v>6.1574074074074074E-3</v>
      </c>
      <c r="I3088" t="s">
        <v>23</v>
      </c>
      <c r="J3088" s="2" t="str">
        <f>HYPERLINK("https://www.nba.com/stats/events?CFID=&amp;CFPARAMS=&amp;GameEventID=31&amp;GameID=0022200784&amp;Season=2022-23&amp;flag=1&amp;title=Leonard%2012'%20fadeaway%20Jump%20Shot%20(4%20PTS)", "12' fadeaway Jump Shot (4 PTS)")</f>
        <v>12' fadeaway Jump Shot (4 PTS)</v>
      </c>
      <c r="K3088" s="2" t="str">
        <f>HYPERLINK("https://www.nba.com/game/...-vs-...-0022200784/play-by-play?watchFullGame=true", "LAC vs MIL - Q1 08:52.00")</f>
        <v>LAC vs MIL - Q1 08:52.00</v>
      </c>
      <c r="L3088">
        <v>12.03</v>
      </c>
      <c r="M3088">
        <v>18.079999999999998</v>
      </c>
      <c r="N3088">
        <v>44.85</v>
      </c>
      <c r="O3088">
        <v>26</v>
      </c>
      <c r="P3088">
        <v>117</v>
      </c>
    </row>
    <row r="3089" spans="1:16" x14ac:dyDescent="0.25">
      <c r="A3089">
        <v>22300304</v>
      </c>
      <c r="B3089">
        <v>2023</v>
      </c>
      <c r="C3089" t="s">
        <v>32</v>
      </c>
      <c r="D3089" t="s">
        <v>19</v>
      </c>
      <c r="E3089">
        <v>114</v>
      </c>
      <c r="F3089">
        <v>108</v>
      </c>
      <c r="G3089">
        <v>4</v>
      </c>
      <c r="H3089" s="1">
        <v>4.5138888888888885E-3</v>
      </c>
      <c r="I3089" t="s">
        <v>23</v>
      </c>
      <c r="J3089" s="2" t="str">
        <f>HYPERLINK("https://www.nba.com/stats/events?CFID=&amp;CFPARAMS=&amp;GameEventID=535&amp;GameID=0022300304&amp;Season=2023-24&amp;flag=1&amp;title=Leonard%2012'%20pullup%20Jump%20Shot%20(28%20PTS)%20(I.%20Zubac%201%20AST)", "12' pullup Jump Shot (28 PTS) (I. Zubac 1 AST)")</f>
        <v>12' pullup Jump Shot (28 PTS) (I. Zubac 1 AST)</v>
      </c>
      <c r="K3089" s="2" t="str">
        <f>HYPERLINK("https://www.nba.com/game/...-vs-...-0022300304/play-by-play?watchFullGame=true", "LAC vs POR - Q4 06:30.00")</f>
        <v>LAC vs POR - Q4 06:30.00</v>
      </c>
      <c r="L3089">
        <v>12.97</v>
      </c>
      <c r="M3089">
        <v>19.100000000000001</v>
      </c>
      <c r="N3089">
        <v>44.85</v>
      </c>
      <c r="O3089">
        <v>26</v>
      </c>
      <c r="P3089">
        <v>127</v>
      </c>
    </row>
    <row r="3090" spans="1:16" x14ac:dyDescent="0.25">
      <c r="A3090">
        <v>22300085</v>
      </c>
      <c r="B3090">
        <v>2023</v>
      </c>
      <c r="C3090" t="s">
        <v>32</v>
      </c>
      <c r="D3090" t="s">
        <v>19</v>
      </c>
      <c r="E3090">
        <v>55</v>
      </c>
      <c r="F3090">
        <v>46</v>
      </c>
      <c r="G3090">
        <v>2</v>
      </c>
      <c r="H3090" s="1">
        <v>2.3148148148148147E-3</v>
      </c>
      <c r="I3090" t="s">
        <v>23</v>
      </c>
      <c r="J3090" s="2" t="str">
        <f>HYPERLINK("https://www.nba.com/stats/events?CFID=&amp;CFPARAMS=&amp;GameEventID=278&amp;GameID=0022300085&amp;Season=2023-24&amp;flag=1&amp;title=Leonard%2015'%20turnaround%20Jump%20Shot%20(10%20PTS)", "15' turnaround Jump Shot (10 PTS)")</f>
        <v>15' turnaround Jump Shot (10 PTS)</v>
      </c>
      <c r="K3090" s="2" t="str">
        <f>HYPERLINK("https://www.nba.com/game/...-vs-...-0022300085/play-by-play?watchFullGame=true", "LAC vs UTA - Q2 03:20.00")</f>
        <v>LAC vs UTA - Q2 03:20.00</v>
      </c>
      <c r="L3090">
        <v>15.03</v>
      </c>
      <c r="M3090">
        <v>78.66</v>
      </c>
      <c r="N3090">
        <v>55.15</v>
      </c>
      <c r="O3090">
        <v>26</v>
      </c>
      <c r="P3090">
        <v>148</v>
      </c>
    </row>
    <row r="3091" spans="1:16" x14ac:dyDescent="0.25">
      <c r="A3091">
        <v>22400793</v>
      </c>
      <c r="B3091">
        <v>2024</v>
      </c>
      <c r="C3091" t="s">
        <v>16</v>
      </c>
      <c r="D3091" t="s">
        <v>19</v>
      </c>
      <c r="E3091">
        <v>43</v>
      </c>
      <c r="F3091">
        <v>40</v>
      </c>
      <c r="G3091">
        <v>2</v>
      </c>
      <c r="H3091" s="1">
        <v>3.7268518518518519E-3</v>
      </c>
      <c r="I3091" t="s">
        <v>23</v>
      </c>
      <c r="J3091" s="2" t="str">
        <f>HYPERLINK("https://www.nba.com/stats/events?CFID=&amp;CFPARAMS=&amp;GameEventID=227&amp;GameID=0022400793&amp;Season=2024-25&amp;flag=1&amp;title=Leonard%2025'%203PT%20%20(10%20PTS)%20(J.%20Harden%202%20AST)", "25' 3PT  (10 PTS) (J. Harden 2 AST)")</f>
        <v>25' 3PT  (10 PTS) (J. Harden 2 AST)</v>
      </c>
      <c r="K3091" s="2" t="str">
        <f>HYPERLINK("https://www.nba.com/game/...-vs-...-0022400793/play-by-play?watchFullGame=true", "LAC vs MIL - Q2 05:22.00")</f>
        <v>LAC vs MIL - Q2 05:22.00</v>
      </c>
      <c r="L3091">
        <v>25.81</v>
      </c>
      <c r="M3091">
        <v>32.9</v>
      </c>
      <c r="N3091">
        <v>44.88</v>
      </c>
      <c r="O3091">
        <v>26</v>
      </c>
      <c r="P3091">
        <v>257</v>
      </c>
    </row>
    <row r="3092" spans="1:16" x14ac:dyDescent="0.25">
      <c r="A3092">
        <v>41800214</v>
      </c>
      <c r="B3092" t="s">
        <v>20</v>
      </c>
      <c r="C3092" t="s">
        <v>32</v>
      </c>
      <c r="D3092" t="s">
        <v>57</v>
      </c>
      <c r="E3092">
        <v>42</v>
      </c>
      <c r="F3092">
        <v>47</v>
      </c>
      <c r="G3092">
        <v>2</v>
      </c>
      <c r="H3092" s="1">
        <v>2.2222222222222221E-4</v>
      </c>
      <c r="I3092" t="s">
        <v>21</v>
      </c>
      <c r="J3092" s="2" t="str">
        <f>HYPERLINK("https://www.nba.com/stats/events?CFID=&amp;CFPARAMS=&amp;GameEventID=326&amp;GameID=0041800214&amp;Season=2018-19&amp;flag=1&amp;title=Leonard%203'%20Layup%20(17%20PTS)", "Leonard 3' Layup (17 PTS)")</f>
        <v>Leonard 3' Layup (17 PTS)</v>
      </c>
      <c r="K3092" s="2" t="str">
        <f>HYPERLINK("https://www.nba.com/game/...-vs-...-0041800214/play-by-play?watchFullGame=true", "TOR vs PHI - Q2 00:19.20")</f>
        <v>TOR vs PHI - Q2 00:19.20</v>
      </c>
      <c r="L3092">
        <v>3</v>
      </c>
      <c r="M3092">
        <v>27</v>
      </c>
      <c r="N3092">
        <v>4</v>
      </c>
      <c r="O3092">
        <v>27</v>
      </c>
      <c r="P3092">
        <v>4</v>
      </c>
    </row>
    <row r="3093" spans="1:16" x14ac:dyDescent="0.25">
      <c r="A3093">
        <v>21600077</v>
      </c>
      <c r="B3093">
        <v>2016</v>
      </c>
      <c r="C3093" t="s">
        <v>32</v>
      </c>
      <c r="D3093" t="s">
        <v>49</v>
      </c>
      <c r="E3093">
        <v>50</v>
      </c>
      <c r="F3093">
        <v>59</v>
      </c>
      <c r="G3093">
        <v>3</v>
      </c>
      <c r="H3093" s="1">
        <v>6.6435185185185182E-3</v>
      </c>
      <c r="I3093" t="s">
        <v>18</v>
      </c>
      <c r="J3093" s="2" t="str">
        <f>HYPERLINK("https://www.nba.com/stats/events?CFID=&amp;CFPARAMS=&amp;GameEventID=291&amp;GameID=0021600077&amp;Season=2016-17&amp;flag=1&amp;title=Leonard%203'%20Driving%20Layup%20(16%20PTS)", "Leonard 3' Driving Layup (16 PTS)")</f>
        <v>Leonard 3' Driving Layup (16 PTS)</v>
      </c>
      <c r="K3093" s="2" t="str">
        <f>HYPERLINK("https://www.nba.com/game/...-vs-...-0021600077/play-by-play?watchFullGame=true", "SAS vs UTA - Q3 09:34.00")</f>
        <v>SAS vs UTA - Q3 09:34.00</v>
      </c>
      <c r="L3093">
        <v>3</v>
      </c>
      <c r="M3093">
        <v>27</v>
      </c>
      <c r="N3093">
        <v>7</v>
      </c>
      <c r="O3093">
        <v>27</v>
      </c>
      <c r="P3093">
        <v>7</v>
      </c>
    </row>
    <row r="3094" spans="1:16" x14ac:dyDescent="0.25">
      <c r="A3094">
        <v>21600605</v>
      </c>
      <c r="B3094">
        <v>2016</v>
      </c>
      <c r="C3094" t="s">
        <v>32</v>
      </c>
      <c r="D3094" t="s">
        <v>57</v>
      </c>
      <c r="E3094">
        <v>62</v>
      </c>
      <c r="F3094">
        <v>67</v>
      </c>
      <c r="G3094">
        <v>3</v>
      </c>
      <c r="H3094" s="1">
        <v>5.2199074074074075E-3</v>
      </c>
      <c r="I3094" t="s">
        <v>18</v>
      </c>
      <c r="J3094" s="2" t="str">
        <f>HYPERLINK("https://www.nba.com/stats/events?CFID=&amp;CFPARAMS=&amp;GameEventID=328&amp;GameID=0021600605&amp;Season=2016-17&amp;flag=1&amp;title=Leonard%203'%20Layup%20(21%20PTS)", "Leonard 3' Layup (21 PTS)")</f>
        <v>Leonard 3' Layup (21 PTS)</v>
      </c>
      <c r="K3094" s="2" t="str">
        <f>HYPERLINK("https://www.nba.com/game/...-vs-...-0021600605/play-by-play?watchFullGame=true", "SAS vs PHX - Q3 07:31.00")</f>
        <v>SAS vs PHX - Q3 07:31.00</v>
      </c>
      <c r="L3094">
        <v>3</v>
      </c>
      <c r="M3094">
        <v>27</v>
      </c>
      <c r="N3094">
        <v>8</v>
      </c>
      <c r="O3094">
        <v>27</v>
      </c>
      <c r="P3094">
        <v>8</v>
      </c>
    </row>
    <row r="3095" spans="1:16" x14ac:dyDescent="0.25">
      <c r="A3095">
        <v>22200918</v>
      </c>
      <c r="B3095">
        <v>2022</v>
      </c>
      <c r="C3095" t="s">
        <v>32</v>
      </c>
      <c r="D3095" t="s">
        <v>47</v>
      </c>
      <c r="E3095">
        <v>15</v>
      </c>
      <c r="F3095">
        <v>4</v>
      </c>
      <c r="G3095">
        <v>1</v>
      </c>
      <c r="H3095" s="1">
        <v>4.4675925925925924E-3</v>
      </c>
      <c r="I3095" t="s">
        <v>23</v>
      </c>
      <c r="J3095" s="2" t="str">
        <f>HYPERLINK("https://www.nba.com/stats/events?CFID=&amp;CFPARAMS=&amp;GameEventID=60&amp;GameID=0022200918&amp;Season=2022-23&amp;flag=1&amp;title=Leonard%20cutting%20Layup%20(2%20PTS)%20(R.%20Westbrook%201%20AST)", "Cutting Layup (2 PTS) (R. Westbrook 1 AST)")</f>
        <v>Cutting Layup (2 PTS) (R. Westbrook 1 AST)</v>
      </c>
      <c r="K3095" s="2" t="str">
        <f>HYPERLINK("https://www.nba.com/game/...-vs-...-0022200918/play-by-play?watchFullGame=true", "LAC vs DEN - Q1 06:26.00")</f>
        <v>LAC vs DEN - Q1 06:26.00</v>
      </c>
      <c r="L3095">
        <v>2.87</v>
      </c>
      <c r="M3095">
        <v>93.38</v>
      </c>
      <c r="N3095">
        <v>55.39</v>
      </c>
      <c r="O3095">
        <v>27</v>
      </c>
      <c r="P3095">
        <v>10</v>
      </c>
    </row>
    <row r="3096" spans="1:16" x14ac:dyDescent="0.25">
      <c r="A3096">
        <v>21500742</v>
      </c>
      <c r="B3096">
        <v>2015</v>
      </c>
      <c r="C3096" t="s">
        <v>32</v>
      </c>
      <c r="D3096" t="s">
        <v>61</v>
      </c>
      <c r="E3096">
        <v>94</v>
      </c>
      <c r="F3096">
        <v>88</v>
      </c>
      <c r="G3096">
        <v>4</v>
      </c>
      <c r="H3096" s="1">
        <v>4.0509259259259257E-3</v>
      </c>
      <c r="I3096" t="s">
        <v>18</v>
      </c>
      <c r="J3096" s="2" t="str">
        <f>HYPERLINK("https://www.nba.com/stats/events?CFID=&amp;CFPARAMS=&amp;GameEventID=412&amp;GameID=0021500742&amp;Season=2015-16&amp;flag=1&amp;title=Leonard%203'%20Driving%20Finger%20Roll%20Layup%20(22%20PTS)%20(Parker%207%20AST)", "Leonard 3' Driving Finger Roll Layup (22 PTS) (Parker 7 AST)")</f>
        <v>Leonard 3' Driving Finger Roll Layup (22 PTS) (Parker 7 AST)</v>
      </c>
      <c r="K3096" s="2" t="str">
        <f>HYPERLINK("https://www.nba.com/game/...-vs-...-0021500742/play-by-play?watchFullGame=true", "SAS vs NOP - Q4 05:50.00")</f>
        <v>SAS vs NOP - Q4 05:50.00</v>
      </c>
      <c r="L3096">
        <v>3</v>
      </c>
      <c r="M3096">
        <v>27</v>
      </c>
      <c r="N3096">
        <v>16</v>
      </c>
      <c r="O3096">
        <v>27</v>
      </c>
      <c r="P3096">
        <v>16</v>
      </c>
    </row>
    <row r="3097" spans="1:16" x14ac:dyDescent="0.25">
      <c r="A3097">
        <v>21900589</v>
      </c>
      <c r="B3097">
        <v>2019</v>
      </c>
      <c r="C3097" t="s">
        <v>32</v>
      </c>
      <c r="D3097" t="s">
        <v>50</v>
      </c>
      <c r="E3097">
        <v>112</v>
      </c>
      <c r="F3097">
        <v>104</v>
      </c>
      <c r="G3097">
        <v>4</v>
      </c>
      <c r="H3097" s="1">
        <v>3.3217592592592592E-4</v>
      </c>
      <c r="I3097" t="s">
        <v>23</v>
      </c>
      <c r="J3097" s="2" t="str">
        <f>HYPERLINK("https://www.nba.com/stats/events?CFID=&amp;CFPARAMS=&amp;GameEventID=686&amp;GameID=0021900589&amp;Season=2019-20&amp;flag=1&amp;title=Leonard%20layup%20(30%20PTS)", "Layup (30 PTS)")</f>
        <v>Layup (30 PTS)</v>
      </c>
      <c r="K3097" s="2" t="str">
        <f>HYPERLINK("https://www.nba.com/game/...-vs-...-0021900589/play-by-play?watchFullGame=true", "LAC vs DEN - Q4 00:28.70")</f>
        <v>LAC vs DEN - Q4 00:28.70</v>
      </c>
      <c r="L3097">
        <v>3.54</v>
      </c>
      <c r="M3097">
        <v>92.59</v>
      </c>
      <c r="N3097">
        <v>55.46</v>
      </c>
      <c r="O3097">
        <v>27</v>
      </c>
      <c r="P3097">
        <v>17</v>
      </c>
    </row>
    <row r="3098" spans="1:16" x14ac:dyDescent="0.25">
      <c r="A3098">
        <v>21600917</v>
      </c>
      <c r="B3098">
        <v>2016</v>
      </c>
      <c r="C3098" t="s">
        <v>32</v>
      </c>
      <c r="D3098" t="s">
        <v>57</v>
      </c>
      <c r="E3098">
        <v>30</v>
      </c>
      <c r="F3098">
        <v>27</v>
      </c>
      <c r="G3098">
        <v>1</v>
      </c>
      <c r="H3098" s="1">
        <v>1.898148148148148E-4</v>
      </c>
      <c r="I3098" t="s">
        <v>18</v>
      </c>
      <c r="J3098" s="2" t="str">
        <f>HYPERLINK("https://www.nba.com/stats/events?CFID=&amp;CFPARAMS=&amp;GameEventID=110&amp;GameID=0021600917&amp;Season=2016-17&amp;flag=1&amp;title=Leonard%203'%20Layup%20(14%20PTS)", "Leonard 3' Layup (14 PTS)")</f>
        <v>Leonard 3' Layup (14 PTS)</v>
      </c>
      <c r="K3098" s="2" t="str">
        <f>HYPERLINK("https://www.nba.com/game/...-vs-...-0021600917/play-by-play?watchFullGame=true", "SAS vs NOP - Q1 00:16.40")</f>
        <v>SAS vs NOP - Q1 00:16.40</v>
      </c>
      <c r="L3098">
        <v>3</v>
      </c>
      <c r="M3098">
        <v>27</v>
      </c>
      <c r="N3098">
        <v>18</v>
      </c>
      <c r="O3098">
        <v>27</v>
      </c>
      <c r="P3098">
        <v>18</v>
      </c>
    </row>
    <row r="3099" spans="1:16" x14ac:dyDescent="0.25">
      <c r="A3099">
        <v>21500979</v>
      </c>
      <c r="B3099">
        <v>2015</v>
      </c>
      <c r="C3099" t="s">
        <v>32</v>
      </c>
      <c r="D3099" t="s">
        <v>49</v>
      </c>
      <c r="E3099">
        <v>16</v>
      </c>
      <c r="F3099">
        <v>12</v>
      </c>
      <c r="G3099">
        <v>1</v>
      </c>
      <c r="H3099" s="1">
        <v>3.9814814814814817E-3</v>
      </c>
      <c r="I3099" t="s">
        <v>18</v>
      </c>
      <c r="J3099" s="2" t="str">
        <f>HYPERLINK("https://www.nba.com/stats/events?CFID=&amp;CFPARAMS=&amp;GameEventID=50&amp;GameID=0021500979&amp;Season=2015-16&amp;flag=1&amp;title=Leonard%203'%20Driving%20Layup%20(4%20PTS)", "Leonard 3' Driving Layup (4 PTS)")</f>
        <v>Leonard 3' Driving Layup (4 PTS)</v>
      </c>
      <c r="K3099" s="2" t="str">
        <f>HYPERLINK("https://www.nba.com/game/...-vs-...-0021500979/play-by-play?watchFullGame=true", "SAS vs OKC - Q1 05:44.00")</f>
        <v>SAS vs OKC - Q1 05:44.00</v>
      </c>
      <c r="L3099">
        <v>3</v>
      </c>
      <c r="M3099">
        <v>27</v>
      </c>
      <c r="N3099">
        <v>21</v>
      </c>
      <c r="O3099">
        <v>27</v>
      </c>
      <c r="P3099">
        <v>21</v>
      </c>
    </row>
    <row r="3100" spans="1:16" x14ac:dyDescent="0.25">
      <c r="A3100">
        <v>41800302</v>
      </c>
      <c r="B3100" t="s">
        <v>20</v>
      </c>
      <c r="C3100" t="s">
        <v>32</v>
      </c>
      <c r="D3100" t="s">
        <v>49</v>
      </c>
      <c r="E3100">
        <v>70</v>
      </c>
      <c r="F3100">
        <v>51</v>
      </c>
      <c r="G3100">
        <v>3</v>
      </c>
      <c r="H3100" s="1">
        <v>5.3356481481481484E-3</v>
      </c>
      <c r="I3100" t="s">
        <v>21</v>
      </c>
      <c r="J3100" s="2" t="str">
        <f>HYPERLINK("https://www.nba.com/stats/events?CFID=&amp;CFPARAMS=&amp;GameEventID=404&amp;GameID=0041800302&amp;Season=2018-19&amp;flag=1&amp;title=Leonard%203'%20Driving%20Layup%20(18%20PTS)", "Leonard 3' Driving Layup (18 PTS)")</f>
        <v>Leonard 3' Driving Layup (18 PTS)</v>
      </c>
      <c r="K3100" s="2" t="str">
        <f>HYPERLINK("https://www.nba.com/game/...-vs-...-0041800302/play-by-play?watchFullGame=true", "TOR vs MIL - Q3 07:41.00")</f>
        <v>TOR vs MIL - Q3 07:41.00</v>
      </c>
      <c r="L3100">
        <v>3</v>
      </c>
      <c r="M3100">
        <v>27</v>
      </c>
      <c r="N3100">
        <v>22</v>
      </c>
      <c r="O3100">
        <v>27</v>
      </c>
      <c r="P3100">
        <v>22</v>
      </c>
    </row>
    <row r="3101" spans="1:16" x14ac:dyDescent="0.25">
      <c r="A3101">
        <v>22201041</v>
      </c>
      <c r="B3101">
        <v>2022</v>
      </c>
      <c r="C3101" t="s">
        <v>32</v>
      </c>
      <c r="D3101" t="s">
        <v>19</v>
      </c>
      <c r="E3101">
        <v>45</v>
      </c>
      <c r="F3101">
        <v>42</v>
      </c>
      <c r="G3101">
        <v>2</v>
      </c>
      <c r="H3101" s="1">
        <v>3.6574074074074074E-3</v>
      </c>
      <c r="I3101" t="s">
        <v>23</v>
      </c>
      <c r="J3101" s="2" t="str">
        <f>HYPERLINK("https://www.nba.com/stats/events?CFID=&amp;CFPARAMS=&amp;GameEventID=253&amp;GameID=0022201041&amp;Season=2022-23&amp;flag=1&amp;title=Leonard%20pullup%20Jump%20Shot%20(13%20PTS)", "Pullup Jump Shot (13 PTS)")</f>
        <v>Pullup Jump Shot (13 PTS)</v>
      </c>
      <c r="K3101" s="2" t="str">
        <f>HYPERLINK("https://www.nba.com/game/...-vs-...-0022201041/play-by-play?watchFullGame=true", "LAC vs GSW - Q2 05:16.00")</f>
        <v>LAC vs GSW - Q2 05:16.00</v>
      </c>
      <c r="L3101">
        <v>4.57</v>
      </c>
      <c r="M3101">
        <v>9.51</v>
      </c>
      <c r="N3101">
        <v>44.61</v>
      </c>
      <c r="O3101">
        <v>27</v>
      </c>
      <c r="P3101">
        <v>37</v>
      </c>
    </row>
    <row r="3102" spans="1:16" x14ac:dyDescent="0.25">
      <c r="A3102">
        <v>42000176</v>
      </c>
      <c r="B3102" t="s">
        <v>83</v>
      </c>
      <c r="C3102" t="s">
        <v>32</v>
      </c>
      <c r="D3102" t="s">
        <v>19</v>
      </c>
      <c r="E3102">
        <v>88</v>
      </c>
      <c r="F3102">
        <v>92</v>
      </c>
      <c r="G3102">
        <v>4</v>
      </c>
      <c r="H3102" s="1">
        <v>2.1296296296296298E-3</v>
      </c>
      <c r="I3102" t="s">
        <v>23</v>
      </c>
      <c r="J3102" s="2" t="str">
        <f>HYPERLINK("https://www.nba.com/stats/events?CFID=&amp;CFPARAMS=&amp;GameEventID=581&amp;GameID=0042000176&amp;Season=2020-21&amp;flag=1&amp;title=Leonard%2020'%20pullup%20Jump%20Shot%20(39%20PTS)", "20' pullup Jump Shot (39 PTS)")</f>
        <v>20' pullup Jump Shot (39 PTS)</v>
      </c>
      <c r="K3102" s="2" t="str">
        <f>HYPERLINK("https://www.nba.com/game/...-vs-...-0042000176/play-by-play?watchFullGame=true", "LAC vs DAL - Q4 03:04.00")</f>
        <v>LAC vs DAL - Q4 03:04.00</v>
      </c>
      <c r="L3102">
        <v>20.7</v>
      </c>
      <c r="M3102">
        <v>27.55</v>
      </c>
      <c r="N3102">
        <v>46.88</v>
      </c>
      <c r="O3102">
        <v>27</v>
      </c>
      <c r="P3102">
        <v>46</v>
      </c>
    </row>
    <row r="3103" spans="1:16" x14ac:dyDescent="0.25">
      <c r="A3103">
        <v>21600902</v>
      </c>
      <c r="B3103">
        <v>2016</v>
      </c>
      <c r="C3103" t="s">
        <v>32</v>
      </c>
      <c r="D3103" t="s">
        <v>43</v>
      </c>
      <c r="E3103">
        <v>98</v>
      </c>
      <c r="F3103">
        <v>94</v>
      </c>
      <c r="G3103">
        <v>4</v>
      </c>
      <c r="H3103" s="1">
        <v>2.476851851851852E-3</v>
      </c>
      <c r="I3103" t="s">
        <v>18</v>
      </c>
      <c r="J3103" s="2" t="str">
        <f>HYPERLINK("https://www.nba.com/stats/events?CFID=&amp;CFPARAMS=&amp;GameEventID=490&amp;GameID=0021600902&amp;Season=2016-17&amp;flag=1&amp;title=Leonard%205'%20Turnaround%20Hook%20Shot%20(29%20PTS)", "Leonard 5' Turnaround Hook Shot (29 PTS)")</f>
        <v>Leonard 5' Turnaround Hook Shot (29 PTS)</v>
      </c>
      <c r="K3103" s="2" t="str">
        <f>HYPERLINK("https://www.nba.com/game/...-vs-...-0021600902/play-by-play?watchFullGame=true", "SAS vs IND - Q4 03:34.00")</f>
        <v>SAS vs IND - Q4 03:34.00</v>
      </c>
      <c r="L3103">
        <v>5</v>
      </c>
      <c r="M3103">
        <v>27</v>
      </c>
      <c r="N3103">
        <v>46</v>
      </c>
      <c r="O3103">
        <v>27</v>
      </c>
      <c r="P3103">
        <v>46</v>
      </c>
    </row>
    <row r="3104" spans="1:16" x14ac:dyDescent="0.25">
      <c r="A3104">
        <v>21500013</v>
      </c>
      <c r="B3104">
        <v>2015</v>
      </c>
      <c r="C3104" t="s">
        <v>32</v>
      </c>
      <c r="D3104" t="s">
        <v>24</v>
      </c>
      <c r="E3104">
        <v>41</v>
      </c>
      <c r="F3104">
        <v>43</v>
      </c>
      <c r="G3104">
        <v>2</v>
      </c>
      <c r="H3104" s="1">
        <v>2.7314814814814814E-3</v>
      </c>
      <c r="I3104" t="s">
        <v>18</v>
      </c>
      <c r="J3104" s="2" t="str">
        <f>HYPERLINK("https://www.nba.com/stats/events?CFID=&amp;CFPARAMS=&amp;GameEventID=216&amp;GameID=0021500013&amp;Season=2015-16&amp;flag=1&amp;title=Leonard%206'%20Turnaround%20Jump%20Shot%20(10%20PTS)", "Leonard 6' Turnaround Jump Shot (10 PTS)")</f>
        <v>Leonard 6' Turnaround Jump Shot (10 PTS)</v>
      </c>
      <c r="K3104" s="2" t="str">
        <f>HYPERLINK("https://www.nba.com/game/...-vs-...-0021500013/play-by-play?watchFullGame=true", "SAS vs OKC - Q2 03:56.00")</f>
        <v>SAS vs OKC - Q2 03:56.00</v>
      </c>
      <c r="L3104">
        <v>6</v>
      </c>
      <c r="M3104">
        <v>27</v>
      </c>
      <c r="N3104">
        <v>51</v>
      </c>
      <c r="O3104">
        <v>27</v>
      </c>
      <c r="P3104">
        <v>51</v>
      </c>
    </row>
    <row r="3105" spans="1:16" x14ac:dyDescent="0.25">
      <c r="A3105">
        <v>22300127</v>
      </c>
      <c r="B3105">
        <v>2023</v>
      </c>
      <c r="C3105" t="s">
        <v>32</v>
      </c>
      <c r="D3105" t="s">
        <v>19</v>
      </c>
      <c r="E3105">
        <v>100</v>
      </c>
      <c r="F3105">
        <v>97</v>
      </c>
      <c r="G3105">
        <v>4</v>
      </c>
      <c r="H3105" s="1">
        <v>5.0231481481481481E-3</v>
      </c>
      <c r="I3105" t="s">
        <v>23</v>
      </c>
      <c r="J3105" s="2" t="str">
        <f>HYPERLINK("https://www.nba.com/stats/events?CFID=&amp;CFPARAMS=&amp;GameEventID=573&amp;GameID=0022300127&amp;Season=2023-24&amp;flag=1&amp;title=Leonard%206'%20driving%20floating%20Jump%20Shot%20(30%20PTS)%20(R.%20Westbrook%205%20AST)", "6' driving floating Jump Shot (30 PTS) (R. Westbrook 5 AST)")</f>
        <v>6' driving floating Jump Shot (30 PTS) (R. Westbrook 5 AST)</v>
      </c>
      <c r="K3105" s="2" t="str">
        <f>HYPERLINK("https://www.nba.com/game/...-vs-...-0022300127/play-by-play?watchFullGame=true", "LAC vs LAL - Q4 07:14.00")</f>
        <v>LAC vs LAL - Q4 07:14.00</v>
      </c>
      <c r="L3105">
        <v>6.39</v>
      </c>
      <c r="M3105">
        <v>11.74</v>
      </c>
      <c r="N3105">
        <v>44.61</v>
      </c>
      <c r="O3105">
        <v>27</v>
      </c>
      <c r="P3105">
        <v>58</v>
      </c>
    </row>
    <row r="3106" spans="1:16" x14ac:dyDescent="0.25">
      <c r="A3106">
        <v>42000172</v>
      </c>
      <c r="B3106" t="s">
        <v>83</v>
      </c>
      <c r="C3106" t="s">
        <v>16</v>
      </c>
      <c r="D3106" t="s">
        <v>19</v>
      </c>
      <c r="E3106">
        <v>114</v>
      </c>
      <c r="F3106">
        <v>120</v>
      </c>
      <c r="G3106">
        <v>4</v>
      </c>
      <c r="H3106" s="1">
        <v>1.2268518518518518E-3</v>
      </c>
      <c r="I3106" t="s">
        <v>23</v>
      </c>
      <c r="J3106" s="2" t="str">
        <f>HYPERLINK("https://www.nba.com/stats/events?CFID=&amp;CFPARAMS=&amp;GameEventID=592&amp;GameID=0042000172&amp;Season=2020-21&amp;flag=1&amp;title=Leonard%2024'%203PT%20%20(41%20PTS)%20(P.%20George%205%20AST)", "24' 3PT  (41 PTS) (P. George 5 AST)")</f>
        <v>24' 3PT  (41 PTS) (P. George 5 AST)</v>
      </c>
      <c r="K3106" s="2" t="str">
        <f>HYPERLINK("https://www.nba.com/game/...-vs-...-0042000172/play-by-play?watchFullGame=true", "LAC vs DAL - Q4 01:46.00")</f>
        <v>LAC vs DAL - Q4 01:46.00</v>
      </c>
      <c r="L3106">
        <v>24.92</v>
      </c>
      <c r="M3106">
        <v>27.15</v>
      </c>
      <c r="N3106">
        <v>78.989999999999995</v>
      </c>
      <c r="O3106">
        <v>27</v>
      </c>
      <c r="P3106">
        <v>78</v>
      </c>
    </row>
    <row r="3107" spans="1:16" x14ac:dyDescent="0.25">
      <c r="A3107">
        <v>21600134</v>
      </c>
      <c r="B3107">
        <v>2016</v>
      </c>
      <c r="C3107" t="s">
        <v>32</v>
      </c>
      <c r="D3107" t="s">
        <v>35</v>
      </c>
      <c r="E3107">
        <v>15</v>
      </c>
      <c r="F3107">
        <v>22</v>
      </c>
      <c r="G3107">
        <v>1</v>
      </c>
      <c r="H3107" s="1">
        <v>1.238425925925926E-3</v>
      </c>
      <c r="I3107" t="s">
        <v>18</v>
      </c>
      <c r="J3107" s="2" t="str">
        <f>HYPERLINK("https://www.nba.com/stats/events?CFID=&amp;CFPARAMS=&amp;GameEventID=101&amp;GameID=0021600134&amp;Season=2016-17&amp;flag=1&amp;title=Leonard%209'%20Driving%20Floating%20Jump%20Shot%20(10%20PTS)", "Leonard 9' Driving Floating Jump Shot (10 PTS)")</f>
        <v>Leonard 9' Driving Floating Jump Shot (10 PTS)</v>
      </c>
      <c r="K3107" s="2" t="str">
        <f>HYPERLINK("https://www.nba.com/game/...-vs-...-0021600134/play-by-play?watchFullGame=true", "SAS vs HOU - Q1 01:47.00")</f>
        <v>SAS vs HOU - Q1 01:47.00</v>
      </c>
      <c r="L3107">
        <v>9</v>
      </c>
      <c r="M3107">
        <v>27</v>
      </c>
      <c r="N3107">
        <v>82</v>
      </c>
      <c r="O3107">
        <v>27</v>
      </c>
      <c r="P3107">
        <v>82</v>
      </c>
    </row>
    <row r="3108" spans="1:16" x14ac:dyDescent="0.25">
      <c r="A3108">
        <v>21600639</v>
      </c>
      <c r="B3108">
        <v>2016</v>
      </c>
      <c r="C3108" t="s">
        <v>32</v>
      </c>
      <c r="D3108" t="s">
        <v>29</v>
      </c>
      <c r="E3108">
        <v>110</v>
      </c>
      <c r="F3108">
        <v>98</v>
      </c>
      <c r="G3108">
        <v>4</v>
      </c>
      <c r="H3108" s="1">
        <v>2.627314814814815E-3</v>
      </c>
      <c r="I3108" t="s">
        <v>18</v>
      </c>
      <c r="J3108" s="2" t="str">
        <f>HYPERLINK("https://www.nba.com/stats/events?CFID=&amp;CFPARAMS=&amp;GameEventID=500&amp;GameID=0021600639&amp;Season=2016-17&amp;flag=1&amp;title=Leonard%2010'%20Pullup%20Jump%20Shot%20(29%20PTS)", "Leonard 10' Pullup Jump Shot (29 PTS)")</f>
        <v>Leonard 10' Pullup Jump Shot (29 PTS)</v>
      </c>
      <c r="K3108" s="2" t="str">
        <f>HYPERLINK("https://www.nba.com/game/...-vs-...-0021600639/play-by-play?watchFullGame=true", "SAS vs DEN - Q4 03:47.00")</f>
        <v>SAS vs DEN - Q4 03:47.00</v>
      </c>
      <c r="L3108">
        <v>10</v>
      </c>
      <c r="M3108">
        <v>27</v>
      </c>
      <c r="N3108">
        <v>100</v>
      </c>
      <c r="O3108">
        <v>27</v>
      </c>
      <c r="P3108">
        <v>100</v>
      </c>
    </row>
    <row r="3109" spans="1:16" x14ac:dyDescent="0.25">
      <c r="A3109">
        <v>21600865</v>
      </c>
      <c r="B3109">
        <v>2016</v>
      </c>
      <c r="C3109" t="s">
        <v>32</v>
      </c>
      <c r="D3109" t="s">
        <v>24</v>
      </c>
      <c r="E3109">
        <v>88</v>
      </c>
      <c r="F3109">
        <v>100</v>
      </c>
      <c r="G3109">
        <v>4</v>
      </c>
      <c r="H3109" s="1">
        <v>1.6666666666666668E-3</v>
      </c>
      <c r="I3109" t="s">
        <v>18</v>
      </c>
      <c r="J3109" s="2" t="str">
        <f>HYPERLINK("https://www.nba.com/stats/events?CFID=&amp;CFPARAMS=&amp;GameEventID=540&amp;GameID=0021600865&amp;Season=2016-17&amp;flag=1&amp;title=Leonard%2011'%20Turnaround%20Jump%20Shot%20(20%20PTS)", "Leonard 11' Turnaround Jump Shot (20 PTS)")</f>
        <v>Leonard 11' Turnaround Jump Shot (20 PTS)</v>
      </c>
      <c r="K3109" s="2" t="str">
        <f>HYPERLINK("https://www.nba.com/game/...-vs-...-0021600865/play-by-play?watchFullGame=true", "SAS vs LAC - Q4 02:24.00")</f>
        <v>SAS vs LAC - Q4 02:24.00</v>
      </c>
      <c r="L3109">
        <v>11</v>
      </c>
      <c r="M3109">
        <v>27</v>
      </c>
      <c r="N3109">
        <v>106</v>
      </c>
      <c r="O3109">
        <v>27</v>
      </c>
      <c r="P3109">
        <v>106</v>
      </c>
    </row>
    <row r="3110" spans="1:16" x14ac:dyDescent="0.25">
      <c r="A3110">
        <v>22200480</v>
      </c>
      <c r="B3110">
        <v>2022</v>
      </c>
      <c r="C3110" t="s">
        <v>32</v>
      </c>
      <c r="D3110" t="s">
        <v>19</v>
      </c>
      <c r="E3110">
        <v>11</v>
      </c>
      <c r="F3110">
        <v>15</v>
      </c>
      <c r="G3110">
        <v>1</v>
      </c>
      <c r="H3110" s="1">
        <v>4.8148148148148152E-3</v>
      </c>
      <c r="I3110" t="s">
        <v>23</v>
      </c>
      <c r="J3110" s="2" t="str">
        <f>HYPERLINK("https://www.nba.com/stats/events?CFID=&amp;CFPARAMS=&amp;GameEventID=45&amp;GameID=0022200480&amp;Season=2022-23&amp;flag=1&amp;title=Leonard%2011'%20fadeaway%20Jump%20Shot%20(6%20PTS)%20(P.%20George%201%20AST)", "11' fadeaway Jump Shot (6 PTS) (P. George 1 AST)")</f>
        <v>11' fadeaway Jump Shot (6 PTS) (P. George 1 AST)</v>
      </c>
      <c r="K3110" s="2" t="str">
        <f>HYPERLINK("https://www.nba.com/game/...-vs-...-0022200480/play-by-play?watchFullGame=true", "LAC vs PHI - Q1 06:56.00")</f>
        <v>LAC vs PHI - Q1 06:56.00</v>
      </c>
      <c r="L3110">
        <v>11.81</v>
      </c>
      <c r="M3110">
        <v>82.18</v>
      </c>
      <c r="N3110">
        <v>55.39</v>
      </c>
      <c r="O3110">
        <v>27</v>
      </c>
      <c r="P3110">
        <v>115</v>
      </c>
    </row>
    <row r="3111" spans="1:16" x14ac:dyDescent="0.25">
      <c r="A3111">
        <v>22300264</v>
      </c>
      <c r="B3111">
        <v>2023</v>
      </c>
      <c r="C3111" t="s">
        <v>32</v>
      </c>
      <c r="D3111" t="s">
        <v>19</v>
      </c>
      <c r="E3111">
        <v>66</v>
      </c>
      <c r="F3111">
        <v>88</v>
      </c>
      <c r="G3111">
        <v>3</v>
      </c>
      <c r="H3111" s="1">
        <v>3.9004629629629628E-3</v>
      </c>
      <c r="I3111" t="s">
        <v>23</v>
      </c>
      <c r="J3111" s="2" t="str">
        <f>HYPERLINK("https://www.nba.com/stats/events?CFID=&amp;CFPARAMS=&amp;GameEventID=417&amp;GameID=0022300264&amp;Season=2023-24&amp;flag=1&amp;title=Leonard%2012'%20pullup%20Jump%20Shot%20(21%20PTS)", "12' pullup Jump Shot (21 PTS)")</f>
        <v>12' pullup Jump Shot (21 PTS)</v>
      </c>
      <c r="K3111" s="2" t="str">
        <f>HYPERLINK("https://www.nba.com/game/...-vs-...-0022300264/play-by-play?watchFullGame=true", "LAC vs SAC - Q3 05:37.00")</f>
        <v>LAC vs SAC - Q3 05:37.00</v>
      </c>
      <c r="L3111">
        <v>12.14</v>
      </c>
      <c r="M3111">
        <v>81.819999999999993</v>
      </c>
      <c r="N3111">
        <v>55.39</v>
      </c>
      <c r="O3111">
        <v>27</v>
      </c>
      <c r="P3111">
        <v>118</v>
      </c>
    </row>
    <row r="3112" spans="1:16" x14ac:dyDescent="0.25">
      <c r="A3112">
        <v>41600151</v>
      </c>
      <c r="B3112" t="s">
        <v>30</v>
      </c>
      <c r="C3112" t="s">
        <v>16</v>
      </c>
      <c r="D3112" t="s">
        <v>36</v>
      </c>
      <c r="E3112">
        <v>5</v>
      </c>
      <c r="F3112">
        <v>8</v>
      </c>
      <c r="G3112">
        <v>1</v>
      </c>
      <c r="H3112" s="1">
        <v>6.6550925925925927E-3</v>
      </c>
      <c r="I3112" t="s">
        <v>18</v>
      </c>
      <c r="J3112" s="2" t="str">
        <f>HYPERLINK("https://www.nba.com/stats/events?CFID=&amp;CFPARAMS=&amp;GameEventID=12&amp;GameID=0041600151&amp;Season=2016-17&amp;flag=1&amp;title=Leonard%2025'%203PT%20Pullup%20Bank%20Shot%20(3%20PTS)%20(Parker%201%20AST)", "Leonard 25' 3PT Pullup Bank Shot (3 PTS) (Parker 1 AST)")</f>
        <v>Leonard 25' 3PT Pullup Bank Shot (3 PTS) (Parker 1 AST)</v>
      </c>
      <c r="K3112" s="2" t="str">
        <f>HYPERLINK("https://www.nba.com/game/...-vs-...-0041600151/play-by-play?watchFullGame=true", "SAS vs MEM - Q1 09:35.00")</f>
        <v>SAS vs MEM - Q1 09:35.00</v>
      </c>
      <c r="L3112">
        <v>25</v>
      </c>
      <c r="M3112">
        <v>27</v>
      </c>
      <c r="N3112">
        <v>252</v>
      </c>
      <c r="O3112">
        <v>27</v>
      </c>
      <c r="P3112">
        <v>252</v>
      </c>
    </row>
    <row r="3113" spans="1:16" x14ac:dyDescent="0.25">
      <c r="A3113">
        <v>41500235</v>
      </c>
      <c r="B3113" t="s">
        <v>25</v>
      </c>
      <c r="C3113" t="s">
        <v>16</v>
      </c>
      <c r="D3113" t="s">
        <v>19</v>
      </c>
      <c r="E3113">
        <v>45</v>
      </c>
      <c r="F3113">
        <v>43</v>
      </c>
      <c r="G3113">
        <v>2</v>
      </c>
      <c r="H3113" s="1">
        <v>4.3402777777777775E-4</v>
      </c>
      <c r="I3113" t="s">
        <v>18</v>
      </c>
      <c r="J3113" s="2" t="str">
        <f>HYPERLINK("https://www.nba.com/stats/events?CFID=&amp;CFPARAMS=&amp;GameEventID=234&amp;GameID=0041500235&amp;Season=2015-16&amp;flag=1&amp;title=Leonard%2025'%203PT%20Jump%20Shot%20(17%20PTS)%20(Aldridge%202%20AST)", "Leonard 25' 3PT Jump Shot (17 PTS) (Aldridge 2 AST)")</f>
        <v>Leonard 25' 3PT Jump Shot (17 PTS) (Aldridge 2 AST)</v>
      </c>
      <c r="K3113" s="2" t="str">
        <f>HYPERLINK("https://www.nba.com/game/...-vs-...-0041500235/play-by-play?watchFullGame=true", "SAS vs OKC - Q2 00:37.50")</f>
        <v>SAS vs OKC - Q2 00:37.50</v>
      </c>
      <c r="L3113">
        <v>25</v>
      </c>
      <c r="M3113">
        <v>27</v>
      </c>
      <c r="N3113">
        <v>252</v>
      </c>
      <c r="O3113">
        <v>27</v>
      </c>
      <c r="P3113">
        <v>252</v>
      </c>
    </row>
    <row r="3114" spans="1:16" x14ac:dyDescent="0.25">
      <c r="A3114">
        <v>22201069</v>
      </c>
      <c r="B3114">
        <v>2022</v>
      </c>
      <c r="C3114" t="s">
        <v>16</v>
      </c>
      <c r="D3114" t="s">
        <v>19</v>
      </c>
      <c r="E3114">
        <v>99</v>
      </c>
      <c r="F3114">
        <v>111</v>
      </c>
      <c r="G3114">
        <v>4</v>
      </c>
      <c r="H3114" s="1">
        <v>3.3564814814814816E-3</v>
      </c>
      <c r="I3114" t="s">
        <v>23</v>
      </c>
      <c r="J3114" s="2" t="str">
        <f>HYPERLINK("https://www.nba.com/stats/events?CFID=&amp;CFPARAMS=&amp;GameEventID=565&amp;GameID=0022201069&amp;Season=2022-23&amp;flag=1&amp;title=Leonard%2025'%203PT%20pullup%20(24%20PTS)", "25' 3PT pullup (24 PTS)")</f>
        <v>25' 3PT pullup (24 PTS)</v>
      </c>
      <c r="K3114" s="2" t="str">
        <f>HYPERLINK("https://www.nba.com/game/...-vs-...-0022201069/play-by-play?watchFullGame=true", "LAC vs POR - Q4 04:50.00")</f>
        <v>LAC vs POR - Q4 04:50.00</v>
      </c>
      <c r="L3114">
        <v>25.72</v>
      </c>
      <c r="M3114">
        <v>32.799999999999997</v>
      </c>
      <c r="N3114">
        <v>44.61</v>
      </c>
      <c r="O3114">
        <v>27</v>
      </c>
      <c r="P3114">
        <v>256</v>
      </c>
    </row>
    <row r="3115" spans="1:16" x14ac:dyDescent="0.25">
      <c r="A3115">
        <v>21300181</v>
      </c>
      <c r="B3115">
        <v>2013</v>
      </c>
      <c r="C3115" t="s">
        <v>32</v>
      </c>
      <c r="D3115" t="s">
        <v>51</v>
      </c>
      <c r="E3115">
        <v>7</v>
      </c>
      <c r="F3115">
        <v>6</v>
      </c>
      <c r="G3115">
        <v>1</v>
      </c>
      <c r="H3115" s="1">
        <v>5.3587962962962964E-3</v>
      </c>
      <c r="I3115" t="s">
        <v>18</v>
      </c>
      <c r="J3115" s="2" t="str">
        <f>HYPERLINK("https://www.nba.com/stats/events?CFID=&amp;CFPARAMS=&amp;GameEventID=35&amp;GameID=0021300181&amp;Season=2013-14&amp;flag=1&amp;title=Leonard%203'%20Reverse%20Layup%20(2%20PTS)%20(Parker%201%20AST)", "Leonard 3' Reverse Layup (2 PTS) (Parker 1 AST)")</f>
        <v>Leonard 3' Reverse Layup (2 PTS) (Parker 1 AST)</v>
      </c>
      <c r="K3115" s="2" t="str">
        <f>HYPERLINK("https://www.nba.com/game/...-vs-...-0021300181/play-by-play?watchFullGame=true", "SAS vs MEM - Q1 07:43.00")</f>
        <v>SAS vs MEM - Q1 07:43.00</v>
      </c>
      <c r="L3115">
        <v>3</v>
      </c>
      <c r="M3115">
        <v>28</v>
      </c>
      <c r="N3115">
        <v>1</v>
      </c>
      <c r="O3115">
        <v>28</v>
      </c>
      <c r="P3115">
        <v>1</v>
      </c>
    </row>
    <row r="3116" spans="1:16" x14ac:dyDescent="0.25">
      <c r="A3116">
        <v>22000717</v>
      </c>
      <c r="B3116">
        <v>2020</v>
      </c>
      <c r="C3116" t="s">
        <v>32</v>
      </c>
      <c r="D3116" t="s">
        <v>19</v>
      </c>
      <c r="E3116">
        <v>41</v>
      </c>
      <c r="F3116">
        <v>42</v>
      </c>
      <c r="G3116">
        <v>2</v>
      </c>
      <c r="H3116" s="1">
        <v>4.178240740740741E-3</v>
      </c>
      <c r="I3116" t="s">
        <v>23</v>
      </c>
      <c r="J3116" s="2" t="str">
        <f>HYPERLINK("https://www.nba.com/stats/events?CFID=&amp;CFPARAMS=&amp;GameEventID=218&amp;GameID=0022000717&amp;Season=2020-21&amp;flag=1&amp;title=Leonard%20turnaround%20Jump%20Shot%20(10%20PTS)", "Turnaround Jump Shot (10 PTS)")</f>
        <v>Turnaround Jump Shot (10 PTS)</v>
      </c>
      <c r="K3116" s="2" t="str">
        <f>HYPERLINK("https://www.nba.com/game/...-vs-...-0022000717/play-by-play?watchFullGame=true", "LAC vs MIL - Q2 06:01.00")</f>
        <v>LAC vs MIL - Q2 06:01.00</v>
      </c>
      <c r="L3116">
        <v>3.16</v>
      </c>
      <c r="M3116">
        <v>7.18</v>
      </c>
      <c r="N3116">
        <v>44.43</v>
      </c>
      <c r="O3116">
        <v>28</v>
      </c>
      <c r="P3116">
        <v>15</v>
      </c>
    </row>
    <row r="3117" spans="1:16" x14ac:dyDescent="0.25">
      <c r="A3117">
        <v>21600917</v>
      </c>
      <c r="B3117">
        <v>2016</v>
      </c>
      <c r="C3117" t="s">
        <v>32</v>
      </c>
      <c r="D3117" t="s">
        <v>49</v>
      </c>
      <c r="E3117">
        <v>59</v>
      </c>
      <c r="F3117">
        <v>63</v>
      </c>
      <c r="G3117">
        <v>3</v>
      </c>
      <c r="H3117" s="1">
        <v>2.5578703703703705E-3</v>
      </c>
      <c r="I3117" t="s">
        <v>18</v>
      </c>
      <c r="J3117" s="2" t="str">
        <f>HYPERLINK("https://www.nba.com/stats/events?CFID=&amp;CFPARAMS=&amp;GameEventID=325&amp;GameID=0021600917&amp;Season=2016-17&amp;flag=1&amp;title=Leonard%203'%20Driving%20Layup%20(24%20PTS)", "Leonard 3' Driving Layup (24 PTS)")</f>
        <v>Leonard 3' Driving Layup (24 PTS)</v>
      </c>
      <c r="K3117" s="2" t="str">
        <f>HYPERLINK("https://www.nba.com/game/...-vs-...-0021600917/play-by-play?watchFullGame=true", "SAS vs NOP - Q3 03:41.00")</f>
        <v>SAS vs NOP - Q3 03:41.00</v>
      </c>
      <c r="L3117">
        <v>3</v>
      </c>
      <c r="M3117">
        <v>28</v>
      </c>
      <c r="N3117">
        <v>18</v>
      </c>
      <c r="O3117">
        <v>28</v>
      </c>
      <c r="P3117">
        <v>18</v>
      </c>
    </row>
    <row r="3118" spans="1:16" x14ac:dyDescent="0.25">
      <c r="A3118">
        <v>41200234</v>
      </c>
      <c r="B3118" t="s">
        <v>27</v>
      </c>
      <c r="C3118" t="s">
        <v>32</v>
      </c>
      <c r="D3118" t="s">
        <v>88</v>
      </c>
      <c r="E3118">
        <v>60</v>
      </c>
      <c r="F3118">
        <v>68</v>
      </c>
      <c r="G3118">
        <v>4</v>
      </c>
      <c r="H3118" s="1">
        <v>7.2222222222222219E-3</v>
      </c>
      <c r="I3118" t="s">
        <v>18</v>
      </c>
      <c r="J3118" s="2" t="str">
        <f>HYPERLINK("https://www.nba.com/stats/events?CFID=&amp;CFPARAMS=&amp;GameEventID=446&amp;GameID=0041200234&amp;Season=2012-13&amp;flag=1&amp;title=Leonard%204'%20Fadeaway%20Bank%20Shot%20(8%20PTS)%20(Splitter%203%20AST)", "Leonard 4' Fadeaway Bank Shot (8 PTS) (Splitter 3 AST)")</f>
        <v>Leonard 4' Fadeaway Bank Shot (8 PTS) (Splitter 3 AST)</v>
      </c>
      <c r="K3118" s="2" t="str">
        <f>HYPERLINK("https://www.nba.com/game/...-vs-...-0041200234/play-by-play?watchFullGame=true", "SAS vs GSW - Q4 10:24.00")</f>
        <v>SAS vs GSW - Q4 10:24.00</v>
      </c>
      <c r="L3118">
        <v>4</v>
      </c>
      <c r="M3118">
        <v>28</v>
      </c>
      <c r="N3118">
        <v>25</v>
      </c>
      <c r="O3118">
        <v>28</v>
      </c>
      <c r="P3118">
        <v>25</v>
      </c>
    </row>
    <row r="3119" spans="1:16" x14ac:dyDescent="0.25">
      <c r="A3119">
        <v>22300114</v>
      </c>
      <c r="B3119">
        <v>2023</v>
      </c>
      <c r="C3119" t="s">
        <v>32</v>
      </c>
      <c r="D3119" t="s">
        <v>47</v>
      </c>
      <c r="E3119">
        <v>99</v>
      </c>
      <c r="F3119">
        <v>79</v>
      </c>
      <c r="G3119">
        <v>4</v>
      </c>
      <c r="H3119" s="1">
        <v>4.8726851851851848E-3</v>
      </c>
      <c r="I3119" t="s">
        <v>23</v>
      </c>
      <c r="J3119" s="2" t="str">
        <f>HYPERLINK("https://www.nba.com/stats/events?CFID=&amp;CFPARAMS=&amp;GameEventID=585&amp;GameID=0022300114&amp;Season=2023-24&amp;flag=1&amp;title=Leonard%20running%20Layup%20(8%20PTS)%20(R.%20Westbrook%207%20AST)", "Running Layup (8 PTS) (R. Westbrook 7 AST)")</f>
        <v>Running Layup (8 PTS) (R. Westbrook 7 AST)</v>
      </c>
      <c r="K3119" s="2" t="str">
        <f>HYPERLINK("https://www.nba.com/game/...-vs-...-0022300114/play-by-play?watchFullGame=true", "LAC vs ORL - Q4 07:01.00")</f>
        <v>LAC vs ORL - Q4 07:01.00</v>
      </c>
      <c r="L3119">
        <v>4.3600000000000003</v>
      </c>
      <c r="M3119">
        <v>9.1199999999999992</v>
      </c>
      <c r="N3119">
        <v>44.36</v>
      </c>
      <c r="O3119">
        <v>28</v>
      </c>
      <c r="P3119">
        <v>33</v>
      </c>
    </row>
    <row r="3120" spans="1:16" x14ac:dyDescent="0.25">
      <c r="A3120">
        <v>41400162</v>
      </c>
      <c r="B3120" t="s">
        <v>28</v>
      </c>
      <c r="C3120" t="s">
        <v>32</v>
      </c>
      <c r="D3120" t="s">
        <v>40</v>
      </c>
      <c r="E3120">
        <v>39</v>
      </c>
      <c r="F3120">
        <v>46</v>
      </c>
      <c r="G3120">
        <v>2</v>
      </c>
      <c r="H3120" s="1">
        <v>2.8356481481481483E-3</v>
      </c>
      <c r="I3120" t="s">
        <v>18</v>
      </c>
      <c r="J3120" s="2" t="str">
        <f>HYPERLINK("https://www.nba.com/stats/events?CFID=&amp;CFPARAMS=&amp;GameEventID=203&amp;GameID=0041400162&amp;Season=2014-15&amp;flag=1&amp;title=Leonard%205'%20Hook%20Shot%20(11%20PTS)", "Leonard 5' Hook Shot (11 PTS)")</f>
        <v>Leonard 5' Hook Shot (11 PTS)</v>
      </c>
      <c r="K3120" s="2" t="str">
        <f>HYPERLINK("https://www.nba.com/game/...-vs-...-0041400162/play-by-play?watchFullGame=true", "SAS vs LAC - Q2 04:05.00")</f>
        <v>SAS vs LAC - Q2 04:05.00</v>
      </c>
      <c r="L3120">
        <v>5</v>
      </c>
      <c r="M3120">
        <v>28</v>
      </c>
      <c r="N3120">
        <v>39</v>
      </c>
      <c r="O3120">
        <v>28</v>
      </c>
      <c r="P3120">
        <v>39</v>
      </c>
    </row>
    <row r="3121" spans="1:16" x14ac:dyDescent="0.25">
      <c r="A3121">
        <v>22200438</v>
      </c>
      <c r="B3121">
        <v>2022</v>
      </c>
      <c r="C3121" t="s">
        <v>32</v>
      </c>
      <c r="D3121" t="s">
        <v>19</v>
      </c>
      <c r="E3121">
        <v>59</v>
      </c>
      <c r="F3121">
        <v>59</v>
      </c>
      <c r="G3121">
        <v>3</v>
      </c>
      <c r="H3121" s="1">
        <v>6.145833333333333E-3</v>
      </c>
      <c r="I3121" t="s">
        <v>23</v>
      </c>
      <c r="J3121" s="2" t="str">
        <f>HYPERLINK("https://www.nba.com/stats/events?CFID=&amp;CFPARAMS=&amp;GameEventID=340&amp;GameID=0022200438&amp;Season=2022-23&amp;flag=1&amp;title=Leonard%20driving%20floating%20Jump%20Shot%20(23%20PTS)", "Driving floating Jump Shot (23 PTS)")</f>
        <v>Driving floating Jump Shot (23 PTS)</v>
      </c>
      <c r="K3121" s="2" t="str">
        <f>HYPERLINK("https://www.nba.com/game/...-vs-...-0022200438/play-by-play?watchFullGame=true", "LAC vs WAS - Q3 08:51.00")</f>
        <v>LAC vs WAS - Q3 08:51.00</v>
      </c>
      <c r="L3121">
        <v>5.28</v>
      </c>
      <c r="M3121">
        <v>89.67</v>
      </c>
      <c r="N3121">
        <v>55.64</v>
      </c>
      <c r="O3121">
        <v>28</v>
      </c>
      <c r="P3121">
        <v>45</v>
      </c>
    </row>
    <row r="3122" spans="1:16" x14ac:dyDescent="0.25">
      <c r="A3122">
        <v>21301123</v>
      </c>
      <c r="B3122">
        <v>2013</v>
      </c>
      <c r="C3122" t="s">
        <v>32</v>
      </c>
      <c r="D3122" t="s">
        <v>19</v>
      </c>
      <c r="E3122">
        <v>67</v>
      </c>
      <c r="F3122">
        <v>49</v>
      </c>
      <c r="G3122">
        <v>3</v>
      </c>
      <c r="H3122" s="1">
        <v>6.5393518518518517E-3</v>
      </c>
      <c r="I3122" t="s">
        <v>18</v>
      </c>
      <c r="J3122" s="2" t="str">
        <f>HYPERLINK("https://www.nba.com/stats/events?CFID=&amp;CFPARAMS=&amp;GameEventID=257&amp;GameID=0021301123&amp;Season=2013-14&amp;flag=1&amp;title=Leonard%205'%20Jump%20Shot%20(9%20PTS)", "Leonard 5' Jump Shot (9 PTS)")</f>
        <v>Leonard 5' Jump Shot (9 PTS)</v>
      </c>
      <c r="K3122" s="2" t="str">
        <f>HYPERLINK("https://www.nba.com/game/...-vs-...-0021301123/play-by-play?watchFullGame=true", "SAS vs GSW - Q3 09:25.00")</f>
        <v>SAS vs GSW - Q3 09:25.00</v>
      </c>
      <c r="L3122">
        <v>5</v>
      </c>
      <c r="M3122">
        <v>28</v>
      </c>
      <c r="N3122">
        <v>47</v>
      </c>
      <c r="O3122">
        <v>28</v>
      </c>
      <c r="P3122">
        <v>47</v>
      </c>
    </row>
    <row r="3123" spans="1:16" x14ac:dyDescent="0.25">
      <c r="A3123">
        <v>21300275</v>
      </c>
      <c r="B3123">
        <v>2013</v>
      </c>
      <c r="C3123" t="s">
        <v>32</v>
      </c>
      <c r="D3123" t="s">
        <v>37</v>
      </c>
      <c r="E3123">
        <v>35</v>
      </c>
      <c r="F3123">
        <v>23</v>
      </c>
      <c r="G3123">
        <v>2</v>
      </c>
      <c r="H3123" s="1">
        <v>6.3888888888888893E-3</v>
      </c>
      <c r="I3123" t="s">
        <v>18</v>
      </c>
      <c r="J3123" s="2" t="str">
        <f>HYPERLINK("https://www.nba.com/stats/events?CFID=&amp;CFPARAMS=&amp;GameEventID=163&amp;GameID=0021300275&amp;Season=2013-14&amp;flag=1&amp;title=Leonard%206'%20Floating%20Jump%20Shot%20(4%20PTS)%20(Diaw%203%20AST)", "Leonard 6' Floating Jump Shot (4 PTS) (Diaw 3 AST)")</f>
        <v>Leonard 6' Floating Jump Shot (4 PTS) (Diaw 3 AST)</v>
      </c>
      <c r="K3123" s="2" t="str">
        <f>HYPERLINK("https://www.nba.com/game/...-vs-...-0021300275/play-by-play?watchFullGame=true", "SAS vs MIN - Q2 09:12.00")</f>
        <v>SAS vs MIN - Q2 09:12.00</v>
      </c>
      <c r="L3123">
        <v>6</v>
      </c>
      <c r="M3123">
        <v>28</v>
      </c>
      <c r="N3123">
        <v>48</v>
      </c>
      <c r="O3123">
        <v>28</v>
      </c>
      <c r="P3123">
        <v>48</v>
      </c>
    </row>
    <row r="3124" spans="1:16" x14ac:dyDescent="0.25">
      <c r="A3124">
        <v>22200719</v>
      </c>
      <c r="B3124">
        <v>2022</v>
      </c>
      <c r="C3124" t="s">
        <v>32</v>
      </c>
      <c r="D3124" t="s">
        <v>44</v>
      </c>
      <c r="E3124">
        <v>46</v>
      </c>
      <c r="F3124">
        <v>64</v>
      </c>
      <c r="G3124">
        <v>2</v>
      </c>
      <c r="H3124" s="1">
        <v>1.8981481481481482E-3</v>
      </c>
      <c r="I3124" t="s">
        <v>23</v>
      </c>
      <c r="J3124" s="2" t="str">
        <f>HYPERLINK("https://www.nba.com/stats/events?CFID=&amp;CFPARAMS=&amp;GameEventID=290&amp;GameID=0022200719&amp;Season=2022-23&amp;flag=1&amp;title=Leonard%206'%20driving%20Hook%20(10%20PTS)", "6' driving Hook (10 PTS)")</f>
        <v>6' driving Hook (10 PTS)</v>
      </c>
      <c r="K3124" s="2" t="str">
        <f>HYPERLINK("https://www.nba.com/game/...-vs-...-0022200719/play-by-play?watchFullGame=true", "LAC vs LAL - Q2 02:44.00")</f>
        <v>LAC vs LAL - Q2 02:44.00</v>
      </c>
      <c r="L3124">
        <v>6.47</v>
      </c>
      <c r="M3124">
        <v>88.22</v>
      </c>
      <c r="N3124">
        <v>55.64</v>
      </c>
      <c r="O3124">
        <v>28</v>
      </c>
      <c r="P3124">
        <v>58</v>
      </c>
    </row>
    <row r="3125" spans="1:16" x14ac:dyDescent="0.25">
      <c r="A3125">
        <v>21401168</v>
      </c>
      <c r="B3125">
        <v>2014</v>
      </c>
      <c r="C3125" t="s">
        <v>32</v>
      </c>
      <c r="D3125" t="s">
        <v>29</v>
      </c>
      <c r="E3125">
        <v>59</v>
      </c>
      <c r="F3125">
        <v>53</v>
      </c>
      <c r="G3125">
        <v>3</v>
      </c>
      <c r="H3125" s="1">
        <v>8.0092592592592594E-3</v>
      </c>
      <c r="I3125" t="s">
        <v>18</v>
      </c>
      <c r="J3125" s="2" t="str">
        <f>HYPERLINK("https://www.nba.com/stats/events?CFID=&amp;CFPARAMS=&amp;GameEventID=251&amp;GameID=0021401168&amp;Season=2014-15&amp;flag=1&amp;title=Leonard%207'%20Pullup%20Jump%20Shot%20(8%20PTS)%20(Parker%204%20AST)", "Leonard 7' Pullup Jump Shot (8 PTS) (Parker 4 AST)")</f>
        <v>Leonard 7' Pullup Jump Shot (8 PTS) (Parker 4 AST)</v>
      </c>
      <c r="K3125" s="2" t="str">
        <f>HYPERLINK("https://www.nba.com/game/...-vs-...-0021401168/play-by-play?watchFullGame=true", "SAS vs HOU - Q3 11:32.00")</f>
        <v>SAS vs HOU - Q3 11:32.00</v>
      </c>
      <c r="L3125">
        <v>7</v>
      </c>
      <c r="M3125">
        <v>28</v>
      </c>
      <c r="N3125">
        <v>60</v>
      </c>
      <c r="O3125">
        <v>28</v>
      </c>
      <c r="P3125">
        <v>60</v>
      </c>
    </row>
    <row r="3126" spans="1:16" x14ac:dyDescent="0.25">
      <c r="A3126">
        <v>41200314</v>
      </c>
      <c r="B3126" t="s">
        <v>27</v>
      </c>
      <c r="C3126" t="s">
        <v>32</v>
      </c>
      <c r="D3126" t="s">
        <v>29</v>
      </c>
      <c r="E3126">
        <v>27</v>
      </c>
      <c r="F3126">
        <v>36</v>
      </c>
      <c r="G3126">
        <v>2</v>
      </c>
      <c r="H3126" s="1">
        <v>2.673611111111111E-3</v>
      </c>
      <c r="I3126" t="s">
        <v>18</v>
      </c>
      <c r="J3126" s="2" t="str">
        <f>HYPERLINK("https://www.nba.com/stats/events?CFID=&amp;CFPARAMS=&amp;GameEventID=212&amp;GameID=0041200314&amp;Season=2012-13&amp;flag=1&amp;title=Leonard%207'%20Pullup%20Jump%20Shot%20(6%20PTS)", "Leonard 7' Pullup Jump Shot (6 PTS)")</f>
        <v>Leonard 7' Pullup Jump Shot (6 PTS)</v>
      </c>
      <c r="K3126" s="2" t="str">
        <f>HYPERLINK("https://www.nba.com/game/...-vs-...-0041200314/play-by-play?watchFullGame=true", "SAS vs MEM - Q2 03:51.00")</f>
        <v>SAS vs MEM - Q2 03:51.00</v>
      </c>
      <c r="L3126">
        <v>7</v>
      </c>
      <c r="M3126">
        <v>28</v>
      </c>
      <c r="N3126">
        <v>63</v>
      </c>
      <c r="O3126">
        <v>28</v>
      </c>
      <c r="P3126">
        <v>63</v>
      </c>
    </row>
    <row r="3127" spans="1:16" x14ac:dyDescent="0.25">
      <c r="A3127">
        <v>21600016</v>
      </c>
      <c r="B3127">
        <v>2016</v>
      </c>
      <c r="C3127" t="s">
        <v>32</v>
      </c>
      <c r="D3127" t="s">
        <v>17</v>
      </c>
      <c r="E3127">
        <v>14</v>
      </c>
      <c r="F3127">
        <v>8</v>
      </c>
      <c r="G3127">
        <v>1</v>
      </c>
      <c r="H3127" s="1">
        <v>4.2129629629629626E-3</v>
      </c>
      <c r="I3127" t="s">
        <v>18</v>
      </c>
      <c r="J3127" s="2" t="str">
        <f>HYPERLINK("https://www.nba.com/stats/events?CFID=&amp;CFPARAMS=&amp;GameEventID=44&amp;GameID=0021600016&amp;Season=2016-17&amp;flag=1&amp;title=Leonard%208'%20Running%20Jump%20Shot%20(8%20PTS)", "Leonard 8' Running Jump Shot (8 PTS)")</f>
        <v>Leonard 8' Running Jump Shot (8 PTS)</v>
      </c>
      <c r="K3127" s="2" t="str">
        <f>HYPERLINK("https://www.nba.com/game/...-vs-...-0021600016/play-by-play?watchFullGame=true", "SAS vs SAC - Q1 06:04.00")</f>
        <v>SAS vs SAC - Q1 06:04.00</v>
      </c>
      <c r="L3127">
        <v>8</v>
      </c>
      <c r="M3127">
        <v>28</v>
      </c>
      <c r="N3127">
        <v>75</v>
      </c>
      <c r="O3127">
        <v>28</v>
      </c>
      <c r="P3127">
        <v>75</v>
      </c>
    </row>
    <row r="3128" spans="1:16" x14ac:dyDescent="0.25">
      <c r="A3128">
        <v>42000176</v>
      </c>
      <c r="B3128" t="s">
        <v>83</v>
      </c>
      <c r="C3128" t="s">
        <v>16</v>
      </c>
      <c r="D3128" t="s">
        <v>19</v>
      </c>
      <c r="E3128">
        <v>88</v>
      </c>
      <c r="F3128">
        <v>95</v>
      </c>
      <c r="G3128">
        <v>4</v>
      </c>
      <c r="H3128" s="1">
        <v>1.6203703703703703E-3</v>
      </c>
      <c r="I3128" t="s">
        <v>23</v>
      </c>
      <c r="J3128" s="2" t="str">
        <f>HYPERLINK("https://www.nba.com/stats/events?CFID=&amp;CFPARAMS=&amp;GameEventID=584&amp;GameID=0042000176&amp;Season=2020-21&amp;flag=1&amp;title=Leonard%2026'%203PT%20step%20back%20(42%20PTS)", "26' 3PT step back (42 PTS)")</f>
        <v>26' 3PT step back (42 PTS)</v>
      </c>
      <c r="K3128" s="2" t="str">
        <f>HYPERLINK("https://www.nba.com/game/...-vs-...-0042000176/play-by-play?watchFullGame=true", "LAC vs DAL - Q4 02:20.00")</f>
        <v>LAC vs DAL - Q4 02:20.00</v>
      </c>
      <c r="L3128">
        <v>26.94</v>
      </c>
      <c r="M3128">
        <v>28.07</v>
      </c>
      <c r="N3128">
        <v>83.4</v>
      </c>
      <c r="O3128">
        <v>28</v>
      </c>
      <c r="P3128">
        <v>83</v>
      </c>
    </row>
    <row r="3129" spans="1:16" x14ac:dyDescent="0.25">
      <c r="A3129">
        <v>22300917</v>
      </c>
      <c r="B3129">
        <v>2023</v>
      </c>
      <c r="C3129" t="s">
        <v>32</v>
      </c>
      <c r="D3129" t="s">
        <v>19</v>
      </c>
      <c r="E3129">
        <v>96</v>
      </c>
      <c r="F3129">
        <v>88</v>
      </c>
      <c r="G3129">
        <v>4</v>
      </c>
      <c r="H3129" s="1">
        <v>5.3587962962962964E-3</v>
      </c>
      <c r="I3129" t="s">
        <v>23</v>
      </c>
      <c r="J3129" s="2" t="str">
        <f>HYPERLINK("https://www.nba.com/stats/events?CFID=&amp;CFPARAMS=&amp;GameEventID=536&amp;GameID=0022300917&amp;Season=2023-24&amp;flag=1&amp;title=Leonard%2012'%20turnaround%20Jump%20Shot%20(15%20PTS)", "12' turnaround Jump Shot (15 PTS)")</f>
        <v>12' turnaround Jump Shot (15 PTS)</v>
      </c>
      <c r="K3129" s="2" t="str">
        <f>HYPERLINK("https://www.nba.com/game/...-vs-...-0022300917/play-by-play?watchFullGame=true", "LAC vs CHI - Q4 07:43.00")</f>
        <v>LAC vs CHI - Q4 07:43.00</v>
      </c>
      <c r="L3129">
        <v>12.8</v>
      </c>
      <c r="M3129">
        <v>81.13</v>
      </c>
      <c r="N3129">
        <v>55.64</v>
      </c>
      <c r="O3129">
        <v>28</v>
      </c>
      <c r="P3129">
        <v>125</v>
      </c>
    </row>
    <row r="3130" spans="1:16" x14ac:dyDescent="0.25">
      <c r="A3130">
        <v>21401098</v>
      </c>
      <c r="B3130">
        <v>2014</v>
      </c>
      <c r="C3130" t="s">
        <v>32</v>
      </c>
      <c r="D3130" t="s">
        <v>29</v>
      </c>
      <c r="E3130">
        <v>82</v>
      </c>
      <c r="F3130">
        <v>73</v>
      </c>
      <c r="G3130">
        <v>4</v>
      </c>
      <c r="H3130" s="1">
        <v>5.8796296296296296E-3</v>
      </c>
      <c r="I3130" t="s">
        <v>18</v>
      </c>
      <c r="J3130" s="2" t="str">
        <f>HYPERLINK("https://www.nba.com/stats/events?CFID=&amp;CFPARAMS=&amp;GameEventID=379&amp;GameID=0021401098&amp;Season=2014-15&amp;flag=1&amp;title=Leonard%2017'%20Pullup%20Jump%20Shot%20(22%20PTS)%20(Parker%204%20AST)", "Leonard 17' Pullup Jump Shot (22 PTS) (Parker 4 AST)")</f>
        <v>Leonard 17' Pullup Jump Shot (22 PTS) (Parker 4 AST)</v>
      </c>
      <c r="K3130" s="2" t="str">
        <f>HYPERLINK("https://www.nba.com/game/...-vs-...-0021401098/play-by-play?watchFullGame=true", "SAS vs MEM - Q4 08:28.00")</f>
        <v>SAS vs MEM - Q4 08:28.00</v>
      </c>
      <c r="L3130">
        <v>17</v>
      </c>
      <c r="M3130">
        <v>28</v>
      </c>
      <c r="N3130">
        <v>170</v>
      </c>
      <c r="O3130">
        <v>28</v>
      </c>
      <c r="P3130">
        <v>170</v>
      </c>
    </row>
    <row r="3131" spans="1:16" x14ac:dyDescent="0.25">
      <c r="A3131">
        <v>21500590</v>
      </c>
      <c r="B3131">
        <v>2015</v>
      </c>
      <c r="C3131" t="s">
        <v>16</v>
      </c>
      <c r="D3131" t="s">
        <v>19</v>
      </c>
      <c r="E3131">
        <v>57</v>
      </c>
      <c r="F3131">
        <v>55</v>
      </c>
      <c r="G3131">
        <v>3</v>
      </c>
      <c r="H3131" s="1">
        <v>5.4513888888888893E-3</v>
      </c>
      <c r="I3131" t="s">
        <v>18</v>
      </c>
      <c r="J3131" s="2" t="str">
        <f>HYPERLINK("https://www.nba.com/stats/events?CFID=&amp;CFPARAMS=&amp;GameEventID=280&amp;GameID=0021500590&amp;Season=2015-16&amp;flag=1&amp;title=Leonard%2025'%203PT%20Jump%20Shot%20(11%20PTS)%20(Aldridge%202%20AST)", "Leonard 25' 3PT Jump Shot (11 PTS) (Aldridge 2 AST)")</f>
        <v>Leonard 25' 3PT Jump Shot (11 PTS) (Aldridge 2 AST)</v>
      </c>
      <c r="K3131" s="2" t="str">
        <f>HYPERLINK("https://www.nba.com/game/...-vs-...-0021500590/play-by-play?watchFullGame=true", "SAS vs CLE - Q3 07:51.00")</f>
        <v>SAS vs CLE - Q3 07:51.00</v>
      </c>
      <c r="L3131">
        <v>25</v>
      </c>
      <c r="M3131">
        <v>28</v>
      </c>
      <c r="N3131">
        <v>244</v>
      </c>
      <c r="O3131">
        <v>28</v>
      </c>
      <c r="P3131">
        <v>244</v>
      </c>
    </row>
    <row r="3132" spans="1:16" x14ac:dyDescent="0.25">
      <c r="A3132">
        <v>22301003</v>
      </c>
      <c r="B3132">
        <v>2023</v>
      </c>
      <c r="C3132" t="s">
        <v>32</v>
      </c>
      <c r="D3132" t="s">
        <v>47</v>
      </c>
      <c r="E3132">
        <v>58</v>
      </c>
      <c r="F3132">
        <v>68</v>
      </c>
      <c r="G3132">
        <v>3</v>
      </c>
      <c r="H3132" s="1">
        <v>4.8611111111111112E-3</v>
      </c>
      <c r="I3132" t="s">
        <v>23</v>
      </c>
      <c r="J3132" s="2" t="str">
        <f>HYPERLINK("https://www.nba.com/stats/events?CFID=&amp;CFPARAMS=&amp;GameEventID=311&amp;GameID=0022301003&amp;Season=2023-24&amp;flag=1&amp;title=Leonard%20driving%20finger%20roll%20Layup%20(11%20PTS)%20(P.%20George%204%20AST)", "Driving finger roll Layup (11 PTS) (P. George 4 AST)")</f>
        <v>Driving finger roll Layup (11 PTS) (P. George 4 AST)</v>
      </c>
      <c r="K3132" s="2" t="str">
        <f>HYPERLINK("https://www.nba.com/game/...-vs-...-0022301003/play-by-play?watchFullGame=true", "LAC vs POR - Q3 07:00.00")</f>
        <v>LAC vs POR - Q3 07:00.00</v>
      </c>
      <c r="L3132">
        <v>3.11</v>
      </c>
      <c r="M3132">
        <v>6.65</v>
      </c>
      <c r="N3132">
        <v>44.12</v>
      </c>
      <c r="O3132">
        <v>29</v>
      </c>
      <c r="P3132">
        <v>10</v>
      </c>
    </row>
    <row r="3133" spans="1:16" x14ac:dyDescent="0.25">
      <c r="A3133">
        <v>21300414</v>
      </c>
      <c r="B3133">
        <v>2013</v>
      </c>
      <c r="C3133" t="s">
        <v>32</v>
      </c>
      <c r="D3133" t="s">
        <v>57</v>
      </c>
      <c r="E3133">
        <v>8</v>
      </c>
      <c r="F3133">
        <v>4</v>
      </c>
      <c r="G3133">
        <v>1</v>
      </c>
      <c r="H3133" s="1">
        <v>6.0069444444444441E-3</v>
      </c>
      <c r="I3133" t="s">
        <v>18</v>
      </c>
      <c r="J3133" s="2" t="str">
        <f>HYPERLINK("https://www.nba.com/stats/events?CFID=&amp;CFPARAMS=&amp;GameEventID=27&amp;GameID=0021300414&amp;Season=2013-14&amp;flag=1&amp;title=Leonard%204'%20Layup%20(4%20PTS)%20(Belinelli%201%20AST)", "Leonard 4' Layup (4 PTS) (Belinelli 1 AST)")</f>
        <v>Leonard 4' Layup (4 PTS) (Belinelli 1 AST)</v>
      </c>
      <c r="K3133" s="2" t="str">
        <f>HYPERLINK("https://www.nba.com/game/...-vs-...-0021300414/play-by-play?watchFullGame=true", "SAS vs TOR - Q1 08:39.00")</f>
        <v>SAS vs TOR - Q1 08:39.00</v>
      </c>
      <c r="L3133">
        <v>4</v>
      </c>
      <c r="M3133">
        <v>29</v>
      </c>
      <c r="N3133">
        <v>22</v>
      </c>
      <c r="O3133">
        <v>29</v>
      </c>
      <c r="P3133">
        <v>22</v>
      </c>
    </row>
    <row r="3134" spans="1:16" x14ac:dyDescent="0.25">
      <c r="A3134">
        <v>42200171</v>
      </c>
      <c r="B3134" t="s">
        <v>86</v>
      </c>
      <c r="C3134" t="s">
        <v>16</v>
      </c>
      <c r="D3134" t="s">
        <v>19</v>
      </c>
      <c r="E3134">
        <v>99</v>
      </c>
      <c r="F3134">
        <v>103</v>
      </c>
      <c r="G3134">
        <v>4</v>
      </c>
      <c r="H3134" s="1">
        <v>1.8055555555555555E-3</v>
      </c>
      <c r="I3134" t="s">
        <v>23</v>
      </c>
      <c r="J3134" s="2" t="str">
        <f>HYPERLINK("https://www.nba.com/stats/events?CFID=&amp;CFPARAMS=&amp;GameEventID=635&amp;GameID=0042200171&amp;Season=2022-23&amp;flag=1&amp;title=Leonard%2026'%203PT%20%20(35%20PTS)%20(R.%20Westbrook%207%20AST)", "26' 3PT  (35 PTS) (R. Westbrook 7 AST)")</f>
        <v>26' 3PT  (35 PTS) (R. Westbrook 7 AST)</v>
      </c>
      <c r="K3134" s="2" t="str">
        <f>HYPERLINK("https://www.nba.com/game/...-vs-...-0042200171/play-by-play?watchFullGame=true", "LAC vs PHX - Q4 02:36.00")</f>
        <v>LAC vs PHX - Q4 02:36.00</v>
      </c>
      <c r="L3134">
        <v>26.61</v>
      </c>
      <c r="M3134">
        <v>29.91</v>
      </c>
      <c r="N3134">
        <v>22.79</v>
      </c>
      <c r="O3134">
        <v>29</v>
      </c>
      <c r="P3134">
        <v>22</v>
      </c>
    </row>
    <row r="3135" spans="1:16" x14ac:dyDescent="0.25">
      <c r="A3135">
        <v>41200407</v>
      </c>
      <c r="B3135" t="s">
        <v>27</v>
      </c>
      <c r="C3135" t="s">
        <v>32</v>
      </c>
      <c r="D3135" t="s">
        <v>38</v>
      </c>
      <c r="E3135">
        <v>8</v>
      </c>
      <c r="F3135">
        <v>13</v>
      </c>
      <c r="G3135">
        <v>1</v>
      </c>
      <c r="H3135" s="1">
        <v>3.6226851851851854E-3</v>
      </c>
      <c r="I3135" t="s">
        <v>18</v>
      </c>
      <c r="J3135" s="2" t="str">
        <f>HYPERLINK("https://www.nba.com/stats/events?CFID=&amp;CFPARAMS=&amp;GameEventID=62&amp;GameID=0041200407&amp;Season=2012-13&amp;flag=1&amp;title=Leonard%204'%20Jump%20Bank%20Shot%20(4%20PTS)", "Leonard 4' Jump Bank Shot (4 PTS)")</f>
        <v>Leonard 4' Jump Bank Shot (4 PTS)</v>
      </c>
      <c r="K3135" s="2" t="str">
        <f>HYPERLINK("https://www.nba.com/game/...-vs-...-0041200407/play-by-play?watchFullGame=true", "SAS vs MIA - Q1 05:13.00")</f>
        <v>SAS vs MIA - Q1 05:13.00</v>
      </c>
      <c r="L3135">
        <v>4</v>
      </c>
      <c r="M3135">
        <v>29</v>
      </c>
      <c r="N3135">
        <v>26</v>
      </c>
      <c r="O3135">
        <v>29</v>
      </c>
      <c r="P3135">
        <v>26</v>
      </c>
    </row>
    <row r="3136" spans="1:16" x14ac:dyDescent="0.25">
      <c r="A3136">
        <v>22001034</v>
      </c>
      <c r="B3136">
        <v>2020</v>
      </c>
      <c r="C3136" t="s">
        <v>32</v>
      </c>
      <c r="D3136" t="s">
        <v>47</v>
      </c>
      <c r="E3136">
        <v>57</v>
      </c>
      <c r="F3136">
        <v>70</v>
      </c>
      <c r="G3136">
        <v>3</v>
      </c>
      <c r="H3136" s="1">
        <v>4.6527777777777774E-3</v>
      </c>
      <c r="I3136" t="s">
        <v>23</v>
      </c>
      <c r="J3136" s="2" t="str">
        <f>HYPERLINK("https://www.nba.com/stats/events?CFID=&amp;CFPARAMS=&amp;GameEventID=395&amp;GameID=0022001034&amp;Season=2020-21&amp;flag=1&amp;title=Leonard%20driving%20Layup%20(18%20PTS)", "Driving Layup (18 PTS)")</f>
        <v>Driving Layup (18 PTS)</v>
      </c>
      <c r="K3136" s="2" t="str">
        <f>HYPERLINK("https://www.nba.com/game/...-vs-...-0022001034/play-by-play?watchFullGame=true", "LAC vs TOR - Q3 06:42.00")</f>
        <v>LAC vs TOR - Q3 06:42.00</v>
      </c>
      <c r="L3136">
        <v>3.84</v>
      </c>
      <c r="M3136">
        <v>91.67</v>
      </c>
      <c r="N3136">
        <v>55.71</v>
      </c>
      <c r="O3136">
        <v>29</v>
      </c>
      <c r="P3136">
        <v>26</v>
      </c>
    </row>
    <row r="3137" spans="1:16" x14ac:dyDescent="0.25">
      <c r="A3137">
        <v>21300554</v>
      </c>
      <c r="B3137">
        <v>2013</v>
      </c>
      <c r="C3137" t="s">
        <v>32</v>
      </c>
      <c r="D3137" t="s">
        <v>38</v>
      </c>
      <c r="E3137">
        <v>41</v>
      </c>
      <c r="F3137">
        <v>38</v>
      </c>
      <c r="G3137">
        <v>2</v>
      </c>
      <c r="H3137" s="1">
        <v>2.7314814814814814E-3</v>
      </c>
      <c r="I3137" t="s">
        <v>18</v>
      </c>
      <c r="J3137" s="2" t="str">
        <f>HYPERLINK("https://www.nba.com/stats/events?CFID=&amp;CFPARAMS=&amp;GameEventID=211&amp;GameID=0021300554&amp;Season=2013-14&amp;flag=1&amp;title=Leonard%204'%20Jump%20Bank%20Shot%20(4%20PTS)%20(Duncan%204%20AST)", "Leonard 4' Jump Bank Shot (4 PTS) (Duncan 4 AST)")</f>
        <v>Leonard 4' Jump Bank Shot (4 PTS) (Duncan 4 AST)</v>
      </c>
      <c r="K3137" s="2" t="str">
        <f>HYPERLINK("https://www.nba.com/game/...-vs-...-0021300554/play-by-play?watchFullGame=true", "SAS vs MIN - Q2 03:56.00")</f>
        <v>SAS vs MIN - Q2 03:56.00</v>
      </c>
      <c r="L3137">
        <v>4</v>
      </c>
      <c r="M3137">
        <v>29</v>
      </c>
      <c r="N3137">
        <v>26</v>
      </c>
      <c r="O3137">
        <v>29</v>
      </c>
      <c r="P3137">
        <v>26</v>
      </c>
    </row>
    <row r="3138" spans="1:16" x14ac:dyDescent="0.25">
      <c r="A3138">
        <v>22200795</v>
      </c>
      <c r="B3138">
        <v>2022</v>
      </c>
      <c r="C3138" t="s">
        <v>32</v>
      </c>
      <c r="D3138" t="s">
        <v>44</v>
      </c>
      <c r="E3138">
        <v>105</v>
      </c>
      <c r="F3138">
        <v>112</v>
      </c>
      <c r="G3138">
        <v>4</v>
      </c>
      <c r="H3138" s="1">
        <v>1.6782407407407408E-3</v>
      </c>
      <c r="I3138" t="s">
        <v>23</v>
      </c>
      <c r="J3138" s="2" t="str">
        <f>HYPERLINK("https://www.nba.com/stats/events?CFID=&amp;CFPARAMS=&amp;GameEventID=568&amp;GameID=0022200795&amp;Season=2022-23&amp;flag=1&amp;title=Leonard%208'%20driving%20Hook%20(29%20PTS)", "8' driving Hook (29 PTS)")</f>
        <v>8' driving Hook (29 PTS)</v>
      </c>
      <c r="K3138" s="2" t="str">
        <f>HYPERLINK("https://www.nba.com/game/...-vs-...-0022200795/play-by-play?watchFullGame=true", "LAC vs NYK - Q4 02:25.00")</f>
        <v>LAC vs NYK - Q4 02:25.00</v>
      </c>
      <c r="L3138">
        <v>8.1</v>
      </c>
      <c r="M3138">
        <v>13.62</v>
      </c>
      <c r="N3138">
        <v>44.12</v>
      </c>
      <c r="O3138">
        <v>29</v>
      </c>
      <c r="P3138">
        <v>75</v>
      </c>
    </row>
    <row r="3139" spans="1:16" x14ac:dyDescent="0.25">
      <c r="A3139">
        <v>22300127</v>
      </c>
      <c r="B3139">
        <v>2023</v>
      </c>
      <c r="C3139" t="s">
        <v>32</v>
      </c>
      <c r="D3139" t="s">
        <v>19</v>
      </c>
      <c r="E3139">
        <v>76</v>
      </c>
      <c r="F3139">
        <v>82</v>
      </c>
      <c r="G3139">
        <v>3</v>
      </c>
      <c r="H3139" s="1">
        <v>1.8981481481481482E-3</v>
      </c>
      <c r="I3139" t="s">
        <v>23</v>
      </c>
      <c r="J3139" s="2" t="str">
        <f>HYPERLINK("https://www.nba.com/stats/events?CFID=&amp;CFPARAMS=&amp;GameEventID=465&amp;GameID=0022300127&amp;Season=2023-24&amp;flag=1&amp;title=Leonard%2011'%20floating%20Jump%20Shot%20(28%20PTS)", "11' floating Jump Shot (28 PTS)")</f>
        <v>11' floating Jump Shot (28 PTS)</v>
      </c>
      <c r="K3139" s="2" t="str">
        <f>HYPERLINK("https://www.nba.com/game/...-vs-...-0022300127/play-by-play?watchFullGame=true", "LAC vs LAL - Q3 02:44.00")</f>
        <v>LAC vs LAL - Q3 02:44.00</v>
      </c>
      <c r="L3139">
        <v>11.72</v>
      </c>
      <c r="M3139">
        <v>17.66</v>
      </c>
      <c r="N3139">
        <v>44.12</v>
      </c>
      <c r="O3139">
        <v>29</v>
      </c>
      <c r="P3139">
        <v>113</v>
      </c>
    </row>
    <row r="3140" spans="1:16" x14ac:dyDescent="0.25">
      <c r="A3140">
        <v>22000002</v>
      </c>
      <c r="B3140">
        <v>2020</v>
      </c>
      <c r="C3140" t="s">
        <v>32</v>
      </c>
      <c r="D3140" t="s">
        <v>19</v>
      </c>
      <c r="E3140">
        <v>56</v>
      </c>
      <c r="F3140">
        <v>63</v>
      </c>
      <c r="G3140">
        <v>3</v>
      </c>
      <c r="H3140" s="1">
        <v>7.3263888888888892E-3</v>
      </c>
      <c r="I3140" t="s">
        <v>23</v>
      </c>
      <c r="J3140" s="2" t="str">
        <f>HYPERLINK("https://www.nba.com/stats/events?CFID=&amp;CFPARAMS=&amp;GameEventID=391&amp;GameID=0022000002&amp;Season=2020-21&amp;flag=1&amp;title=Leonard%2011'%20turnaround%20Jump%20Shot%20(15%20PTS)%20(N.%20Batum%203%20AST)", "11' turnaround Jump Shot (15 PTS) (N. Batum 3 AST)")</f>
        <v>11' turnaround Jump Shot (15 PTS) (N. Batum 3 AST)</v>
      </c>
      <c r="K3140" s="2" t="str">
        <f>HYPERLINK("https://www.nba.com/game/...-vs-...-0022000002/play-by-play?watchFullGame=true", "LAC vs LAL - Q3 10:33.00")</f>
        <v>LAC vs LAL - Q3 10:33.00</v>
      </c>
      <c r="L3140">
        <v>11.94</v>
      </c>
      <c r="M3140">
        <v>82.08</v>
      </c>
      <c r="N3140">
        <v>55.71</v>
      </c>
      <c r="O3140">
        <v>29</v>
      </c>
      <c r="P3140">
        <v>116</v>
      </c>
    </row>
    <row r="3141" spans="1:16" x14ac:dyDescent="0.25">
      <c r="A3141">
        <v>41400163</v>
      </c>
      <c r="B3141" t="s">
        <v>28</v>
      </c>
      <c r="C3141" t="s">
        <v>32</v>
      </c>
      <c r="D3141" t="s">
        <v>29</v>
      </c>
      <c r="E3141">
        <v>50</v>
      </c>
      <c r="F3141">
        <v>40</v>
      </c>
      <c r="G3141">
        <v>3</v>
      </c>
      <c r="H3141" s="1">
        <v>7.2916666666666668E-3</v>
      </c>
      <c r="I3141" t="s">
        <v>18</v>
      </c>
      <c r="J3141" s="2" t="str">
        <f>HYPERLINK("https://www.nba.com/stats/events?CFID=&amp;CFPARAMS=&amp;GameEventID=254&amp;GameID=0041400163&amp;Season=2014-15&amp;flag=1&amp;title=Leonard%2012'%20Pullup%20Jump%20Shot%20(20%20PTS)", "Leonard 12' Pullup Jump Shot (20 PTS)")</f>
        <v>Leonard 12' Pullup Jump Shot (20 PTS)</v>
      </c>
      <c r="K3141" s="2" t="str">
        <f>HYPERLINK("https://www.nba.com/game/...-vs-...-0041400163/play-by-play?watchFullGame=true", "SAS vs LAC - Q3 10:30.00")</f>
        <v>SAS vs LAC - Q3 10:30.00</v>
      </c>
      <c r="L3141">
        <v>12</v>
      </c>
      <c r="M3141">
        <v>29</v>
      </c>
      <c r="N3141">
        <v>121</v>
      </c>
      <c r="O3141">
        <v>29</v>
      </c>
      <c r="P3141">
        <v>121</v>
      </c>
    </row>
    <row r="3142" spans="1:16" x14ac:dyDescent="0.25">
      <c r="A3142">
        <v>21301154</v>
      </c>
      <c r="B3142">
        <v>2013</v>
      </c>
      <c r="C3142" t="s">
        <v>32</v>
      </c>
      <c r="D3142" t="s">
        <v>29</v>
      </c>
      <c r="E3142">
        <v>12</v>
      </c>
      <c r="F3142">
        <v>4</v>
      </c>
      <c r="G3142">
        <v>1</v>
      </c>
      <c r="H3142" s="1">
        <v>4.6527777777777774E-3</v>
      </c>
      <c r="I3142" t="s">
        <v>18</v>
      </c>
      <c r="J3142" s="2" t="str">
        <f>HYPERLINK("https://www.nba.com/stats/events?CFID=&amp;CFPARAMS=&amp;GameEventID=35&amp;GameID=0021301154&amp;Season=2013-14&amp;flag=1&amp;title=Leonard%2015'%20Pullup%20Jump%20Shot%20(4%20PTS)", "Leonard 15' Pullup Jump Shot (4 PTS)")</f>
        <v>Leonard 15' Pullup Jump Shot (4 PTS)</v>
      </c>
      <c r="K3142" s="2" t="str">
        <f>HYPERLINK("https://www.nba.com/game/...-vs-...-0021301154/play-by-play?watchFullGame=true", "SAS vs MEM - Q1 06:42.00")</f>
        <v>SAS vs MEM - Q1 06:42.00</v>
      </c>
      <c r="L3142">
        <v>15</v>
      </c>
      <c r="M3142">
        <v>29</v>
      </c>
      <c r="N3142">
        <v>145</v>
      </c>
      <c r="O3142">
        <v>29</v>
      </c>
      <c r="P3142">
        <v>145</v>
      </c>
    </row>
    <row r="3143" spans="1:16" x14ac:dyDescent="0.25">
      <c r="A3143">
        <v>22301064</v>
      </c>
      <c r="B3143">
        <v>2023</v>
      </c>
      <c r="C3143" t="s">
        <v>32</v>
      </c>
      <c r="D3143" t="s">
        <v>19</v>
      </c>
      <c r="E3143">
        <v>8</v>
      </c>
      <c r="F3143">
        <v>14</v>
      </c>
      <c r="G3143">
        <v>1</v>
      </c>
      <c r="H3143" s="1">
        <v>3.6458333333333334E-3</v>
      </c>
      <c r="I3143" t="s">
        <v>23</v>
      </c>
      <c r="J3143" s="2" t="str">
        <f>HYPERLINK("https://www.nba.com/stats/events?CFID=&amp;CFPARAMS=&amp;GameEventID=70&amp;GameID=0022301064&amp;Season=2023-24&amp;flag=1&amp;title=Leonard%2015'%20pullup%20Jump%20Shot%20(2%20PTS)", "15' pullup Jump Shot (2 PTS)")</f>
        <v>15' pullup Jump Shot (2 PTS)</v>
      </c>
      <c r="K3143" s="2" t="str">
        <f>HYPERLINK("https://www.nba.com/game/...-vs-...-0022301064/play-by-play?watchFullGame=true", "LAC vs ORL - Q1 05:15.00")</f>
        <v>LAC vs ORL - Q1 05:15.00</v>
      </c>
      <c r="L3143">
        <v>15.36</v>
      </c>
      <c r="M3143">
        <v>21.63</v>
      </c>
      <c r="N3143">
        <v>44.12</v>
      </c>
      <c r="O3143">
        <v>29</v>
      </c>
      <c r="P3143">
        <v>151</v>
      </c>
    </row>
    <row r="3144" spans="1:16" x14ac:dyDescent="0.25">
      <c r="A3144">
        <v>41800306</v>
      </c>
      <c r="B3144" t="s">
        <v>20</v>
      </c>
      <c r="C3144" t="s">
        <v>32</v>
      </c>
      <c r="D3144" t="s">
        <v>29</v>
      </c>
      <c r="E3144">
        <v>47</v>
      </c>
      <c r="F3144">
        <v>54</v>
      </c>
      <c r="G3144">
        <v>3</v>
      </c>
      <c r="H3144" s="1">
        <v>6.8865740740740745E-3</v>
      </c>
      <c r="I3144" t="s">
        <v>21</v>
      </c>
      <c r="J3144" s="2" t="str">
        <f>HYPERLINK("https://www.nba.com/stats/events?CFID=&amp;CFPARAMS=&amp;GameEventID=353&amp;GameID=0041800306&amp;Season=2018-19&amp;flag=1&amp;title=Leonard%2016'%20Pullup%20Jump%20Shot%20(10%20PTS)", "Leonard 16' Pullup Jump Shot (10 PTS)")</f>
        <v>Leonard 16' Pullup Jump Shot (10 PTS)</v>
      </c>
      <c r="K3144" s="2" t="str">
        <f>HYPERLINK("https://www.nba.com/game/...-vs-...-0041800306/play-by-play?watchFullGame=true", "TOR vs MIL - Q3 09:55.00")</f>
        <v>TOR vs MIL - Q3 09:55.00</v>
      </c>
      <c r="L3144">
        <v>16</v>
      </c>
      <c r="M3144">
        <v>29</v>
      </c>
      <c r="N3144">
        <v>157</v>
      </c>
      <c r="O3144">
        <v>29</v>
      </c>
      <c r="P3144">
        <v>157</v>
      </c>
    </row>
    <row r="3145" spans="1:16" x14ac:dyDescent="0.25">
      <c r="A3145">
        <v>41800214</v>
      </c>
      <c r="B3145" t="s">
        <v>20</v>
      </c>
      <c r="C3145" t="s">
        <v>16</v>
      </c>
      <c r="D3145" t="s">
        <v>29</v>
      </c>
      <c r="E3145">
        <v>49</v>
      </c>
      <c r="F3145">
        <v>52</v>
      </c>
      <c r="G3145">
        <v>3</v>
      </c>
      <c r="H3145" s="1">
        <v>7.0486111111111114E-3</v>
      </c>
      <c r="I3145" t="s">
        <v>21</v>
      </c>
      <c r="J3145" s="2" t="str">
        <f>HYPERLINK("https://www.nba.com/stats/events?CFID=&amp;CFPARAMS=&amp;GameEventID=359&amp;GameID=0041800214&amp;Season=2018-19&amp;flag=1&amp;title=Leonard%2026'%203PT%20Pullup%20Jump%20Shot%20(20%20PTS)", "Leonard 26' 3PT Pullup Jump Shot (20 PTS)")</f>
        <v>Leonard 26' 3PT Pullup Jump Shot (20 PTS)</v>
      </c>
      <c r="K3145" s="2" t="str">
        <f>HYPERLINK("https://www.nba.com/game/...-vs-...-0041800214/play-by-play?watchFullGame=true", "TOR vs PHI - Q3 10:09.00")</f>
        <v>TOR vs PHI - Q3 10:09.00</v>
      </c>
      <c r="L3145">
        <v>26</v>
      </c>
      <c r="M3145">
        <v>29</v>
      </c>
      <c r="N3145">
        <v>254</v>
      </c>
      <c r="O3145">
        <v>29</v>
      </c>
      <c r="P3145">
        <v>254</v>
      </c>
    </row>
    <row r="3146" spans="1:16" x14ac:dyDescent="0.25">
      <c r="A3146">
        <v>22300537</v>
      </c>
      <c r="B3146">
        <v>2023</v>
      </c>
      <c r="C3146" t="s">
        <v>16</v>
      </c>
      <c r="D3146" t="s">
        <v>19</v>
      </c>
      <c r="E3146">
        <v>49</v>
      </c>
      <c r="F3146">
        <v>60</v>
      </c>
      <c r="G3146">
        <v>2</v>
      </c>
      <c r="H3146" s="1">
        <v>1.9097222222222222E-3</v>
      </c>
      <c r="I3146" t="s">
        <v>23</v>
      </c>
      <c r="J3146" s="2" t="str">
        <f>HYPERLINK("https://www.nba.com/stats/events?CFID=&amp;CFPARAMS=&amp;GameEventID=283&amp;GameID=0022300537&amp;Season=2023-24&amp;flag=1&amp;title=Leonard%2025'%203PT%20pullup%20(11%20PTS)%20(P.%20George%201%20AST)", "25' 3PT pullup (11 PTS) (P. George 1 AST)")</f>
        <v>25' 3PT pullup (11 PTS) (P. George 1 AST)</v>
      </c>
      <c r="K3146" s="2" t="str">
        <f>HYPERLINK("https://www.nba.com/game/...-vs-...-0022300537/play-by-play?watchFullGame=true", "LAC vs MEM - Q2 02:45.00")</f>
        <v>LAC vs MEM - Q2 02:45.00</v>
      </c>
      <c r="L3146">
        <v>25.88</v>
      </c>
      <c r="M3146">
        <v>32.93</v>
      </c>
      <c r="N3146">
        <v>44.12</v>
      </c>
      <c r="O3146">
        <v>29</v>
      </c>
      <c r="P3146">
        <v>257</v>
      </c>
    </row>
    <row r="3147" spans="1:16" x14ac:dyDescent="0.25">
      <c r="A3147">
        <v>22300085</v>
      </c>
      <c r="B3147">
        <v>2023</v>
      </c>
      <c r="C3147" t="s">
        <v>16</v>
      </c>
      <c r="D3147" t="s">
        <v>19</v>
      </c>
      <c r="E3147">
        <v>50</v>
      </c>
      <c r="F3147">
        <v>39</v>
      </c>
      <c r="G3147">
        <v>2</v>
      </c>
      <c r="H3147" s="1">
        <v>5.1504629629629626E-3</v>
      </c>
      <c r="I3147" t="s">
        <v>23</v>
      </c>
      <c r="J3147" s="2" t="str">
        <f>HYPERLINK("https://www.nba.com/stats/events?CFID=&amp;CFPARAMS=&amp;GameEventID=210&amp;GameID=0022300085&amp;Season=2023-24&amp;flag=1&amp;title=Leonard%2025'%203PT%20%20(8%20PTS)%20(B.%20Hyland%201%20AST)", "25' 3PT  (8 PTS) (B. Hyland 1 AST)")</f>
        <v>25' 3PT  (8 PTS) (B. Hyland 1 AST)</v>
      </c>
      <c r="K3147" s="2" t="str">
        <f>HYPERLINK("https://www.nba.com/game/...-vs-...-0022300085/play-by-play?watchFullGame=true", "LAC vs UTA - Q2 07:25.00")</f>
        <v>LAC vs UTA - Q2 07:25.00</v>
      </c>
      <c r="L3147">
        <v>25.97</v>
      </c>
      <c r="M3147">
        <v>66.97</v>
      </c>
      <c r="N3147">
        <v>55.88</v>
      </c>
      <c r="O3147">
        <v>29</v>
      </c>
      <c r="P3147">
        <v>258</v>
      </c>
    </row>
    <row r="3148" spans="1:16" x14ac:dyDescent="0.25">
      <c r="A3148">
        <v>21600917</v>
      </c>
      <c r="B3148">
        <v>2016</v>
      </c>
      <c r="C3148" t="s">
        <v>32</v>
      </c>
      <c r="D3148" t="s">
        <v>49</v>
      </c>
      <c r="E3148">
        <v>46</v>
      </c>
      <c r="F3148">
        <v>49</v>
      </c>
      <c r="G3148">
        <v>2</v>
      </c>
      <c r="H3148" s="1">
        <v>7.407407407407407E-4</v>
      </c>
      <c r="I3148" t="s">
        <v>18</v>
      </c>
      <c r="J3148" s="2" t="str">
        <f>HYPERLINK("https://www.nba.com/stats/events?CFID=&amp;CFPARAMS=&amp;GameEventID=231&amp;GameID=0021600917&amp;Season=2016-17&amp;flag=1&amp;title=Leonard%203'%20Driving%20Layup%20(20%20PTS)", "Leonard 3' Driving Layup (20 PTS)")</f>
        <v>Leonard 3' Driving Layup (20 PTS)</v>
      </c>
      <c r="K3148" s="2" t="str">
        <f>HYPERLINK("https://www.nba.com/game/...-vs-...-0021600917/play-by-play?watchFullGame=true", "SAS vs NOP - Q2 01:04.00")</f>
        <v>SAS vs NOP - Q2 01:04.00</v>
      </c>
      <c r="L3148">
        <v>3</v>
      </c>
      <c r="M3148">
        <v>30</v>
      </c>
      <c r="N3148">
        <v>18</v>
      </c>
      <c r="O3148">
        <v>30</v>
      </c>
      <c r="P3148">
        <v>18</v>
      </c>
    </row>
    <row r="3149" spans="1:16" x14ac:dyDescent="0.25">
      <c r="A3149">
        <v>42000222</v>
      </c>
      <c r="B3149" t="s">
        <v>85</v>
      </c>
      <c r="C3149" t="s">
        <v>16</v>
      </c>
      <c r="D3149" t="s">
        <v>19</v>
      </c>
      <c r="E3149">
        <v>60</v>
      </c>
      <c r="F3149">
        <v>53</v>
      </c>
      <c r="G3149">
        <v>2</v>
      </c>
      <c r="H3149" s="1">
        <v>7.5231481481481482E-4</v>
      </c>
      <c r="I3149" t="s">
        <v>23</v>
      </c>
      <c r="J3149" s="2" t="str">
        <f>HYPERLINK("https://www.nba.com/stats/events?CFID=&amp;CFPARAMS=&amp;GameEventID=293&amp;GameID=0042000222&amp;Season=2020-21&amp;flag=1&amp;title=Leonard%2026'%203PT%20step%20back%20(14%20PTS)", "26' 3PT step back (14 PTS)")</f>
        <v>26' 3PT step back (14 PTS)</v>
      </c>
      <c r="K3149" s="2" t="str">
        <f>HYPERLINK("https://www.nba.com/game/...-vs-...-0042000222/play-by-play?watchFullGame=true", "LAC vs UTA - Q2 01:05.00")</f>
        <v>LAC vs UTA - Q2 01:05.00</v>
      </c>
      <c r="L3149">
        <v>26.1</v>
      </c>
      <c r="M3149">
        <v>30.83</v>
      </c>
      <c r="N3149">
        <v>28.26</v>
      </c>
      <c r="O3149">
        <v>30</v>
      </c>
      <c r="P3149">
        <v>28</v>
      </c>
    </row>
    <row r="3150" spans="1:16" x14ac:dyDescent="0.25">
      <c r="A3150">
        <v>21900292</v>
      </c>
      <c r="B3150">
        <v>2019</v>
      </c>
      <c r="C3150" t="s">
        <v>32</v>
      </c>
      <c r="D3150" t="s">
        <v>53</v>
      </c>
      <c r="E3150">
        <v>70</v>
      </c>
      <c r="F3150">
        <v>49</v>
      </c>
      <c r="G3150">
        <v>2</v>
      </c>
      <c r="H3150" s="1">
        <v>2.7314814814814814E-3</v>
      </c>
      <c r="I3150" t="s">
        <v>23</v>
      </c>
      <c r="J3150" s="2" t="str">
        <f>HYPERLINK("https://www.nba.com/stats/events?CFID=&amp;CFPARAMS=&amp;GameEventID=315&amp;GameID=0021900292&amp;Season=2019-20&amp;flag=1&amp;title=Leonard%20hook%20(12%20PTS)", "Hook (12 PTS)")</f>
        <v>Hook (12 PTS)</v>
      </c>
      <c r="K3150" s="2" t="str">
        <f>HYPERLINK("https://www.nba.com/game/...-vs-...-0021900292/play-by-play?watchFullGame=true", "LAC vs WAS - Q2 03:56.00")</f>
        <v>LAC vs WAS - Q2 03:56.00</v>
      </c>
      <c r="L3150">
        <v>4.74</v>
      </c>
      <c r="M3150">
        <v>91.11</v>
      </c>
      <c r="N3150">
        <v>56.06</v>
      </c>
      <c r="O3150">
        <v>30</v>
      </c>
      <c r="P3150">
        <v>31</v>
      </c>
    </row>
    <row r="3151" spans="1:16" x14ac:dyDescent="0.25">
      <c r="A3151">
        <v>42000176</v>
      </c>
      <c r="B3151" t="s">
        <v>83</v>
      </c>
      <c r="C3151" t="s">
        <v>16</v>
      </c>
      <c r="D3151" t="s">
        <v>19</v>
      </c>
      <c r="E3151">
        <v>90</v>
      </c>
      <c r="F3151">
        <v>98</v>
      </c>
      <c r="G3151">
        <v>4</v>
      </c>
      <c r="H3151" s="1">
        <v>1.1689814814814816E-3</v>
      </c>
      <c r="I3151" t="s">
        <v>23</v>
      </c>
      <c r="J3151" s="2" t="str">
        <f>HYPERLINK("https://www.nba.com/stats/events?CFID=&amp;CFPARAMS=&amp;GameEventID=587&amp;GameID=0042000176&amp;Season=2020-21&amp;flag=1&amp;title=Leonard%2024'%203PT%20step%20back%20(45%20PTS)", "24' 3PT step back (45 PTS)")</f>
        <v>24' 3PT step back (45 PTS)</v>
      </c>
      <c r="K3151" s="2" t="str">
        <f>HYPERLINK("https://www.nba.com/game/...-vs-...-0042000176/play-by-play?watchFullGame=true", "LAC vs DAL - Q4 01:41.00")</f>
        <v>LAC vs DAL - Q4 01:41.00</v>
      </c>
      <c r="L3151">
        <v>24.83</v>
      </c>
      <c r="M3151">
        <v>30.83</v>
      </c>
      <c r="N3151">
        <v>35.36</v>
      </c>
      <c r="O3151">
        <v>30</v>
      </c>
      <c r="P3151">
        <v>35</v>
      </c>
    </row>
    <row r="3152" spans="1:16" x14ac:dyDescent="0.25">
      <c r="A3152">
        <v>21600925</v>
      </c>
      <c r="B3152">
        <v>2016</v>
      </c>
      <c r="C3152" t="s">
        <v>32</v>
      </c>
      <c r="D3152" t="s">
        <v>19</v>
      </c>
      <c r="E3152">
        <v>80</v>
      </c>
      <c r="F3152">
        <v>78</v>
      </c>
      <c r="G3152">
        <v>4</v>
      </c>
      <c r="H3152" s="1">
        <v>1.9097222222222222E-3</v>
      </c>
      <c r="I3152" t="s">
        <v>18</v>
      </c>
      <c r="J3152" s="2" t="str">
        <f>HYPERLINK("https://www.nba.com/stats/events?CFID=&amp;CFPARAMS=&amp;GameEventID=489&amp;GameID=0021600925&amp;Season=2016-17&amp;flag=1&amp;title=Leonard%205'%20Jump%20Shot%20(26%20PTS)%20(Green%201%20AST)", "Leonard 5' Jump Shot (26 PTS) (Green 1 AST)")</f>
        <v>Leonard 5' Jump Shot (26 PTS) (Green 1 AST)</v>
      </c>
      <c r="K3152" s="2" t="str">
        <f>HYPERLINK("https://www.nba.com/game/...-vs-...-0021600925/play-by-play?watchFullGame=true", "SAS vs MIN - Q4 02:45.00")</f>
        <v>SAS vs MIN - Q4 02:45.00</v>
      </c>
      <c r="L3152">
        <v>5</v>
      </c>
      <c r="M3152">
        <v>30</v>
      </c>
      <c r="N3152">
        <v>36</v>
      </c>
      <c r="O3152">
        <v>30</v>
      </c>
      <c r="P3152">
        <v>36</v>
      </c>
    </row>
    <row r="3153" spans="1:16" x14ac:dyDescent="0.25">
      <c r="A3153">
        <v>21900016</v>
      </c>
      <c r="B3153">
        <v>2019</v>
      </c>
      <c r="C3153" t="s">
        <v>32</v>
      </c>
      <c r="D3153" t="s">
        <v>50</v>
      </c>
      <c r="E3153">
        <v>10</v>
      </c>
      <c r="F3153">
        <v>18</v>
      </c>
      <c r="G3153">
        <v>1</v>
      </c>
      <c r="H3153" s="1">
        <v>4.5138888888888885E-3</v>
      </c>
      <c r="I3153" t="s">
        <v>23</v>
      </c>
      <c r="J3153" s="2" t="str">
        <f>HYPERLINK("https://www.nba.com/stats/events?CFID=&amp;CFPARAMS=&amp;GameEventID=72&amp;GameID=0021900016&amp;Season=2019-20&amp;flag=1&amp;title=[LAC]%20Leonard%20layup:%20Made%20(4%20PTS)", "[LAC] Leonard layup: Made (4 PTS)")</f>
        <v>[LAC] Leonard layup: Made (4 PTS)</v>
      </c>
      <c r="K3153" s="2" t="str">
        <f>HYPERLINK("https://www.nba.com/game/...-vs-...-0021900016/play-by-play?watchFullGame=true", "LAC vs GSW - Q1 06:30.00")</f>
        <v>LAC vs GSW - Q1 06:30.00</v>
      </c>
      <c r="L3153">
        <v>6.83</v>
      </c>
      <c r="M3153">
        <v>11.51</v>
      </c>
      <c r="N3153">
        <v>43.94</v>
      </c>
      <c r="O3153">
        <v>30</v>
      </c>
      <c r="P3153">
        <v>56</v>
      </c>
    </row>
    <row r="3154" spans="1:16" x14ac:dyDescent="0.25">
      <c r="A3154">
        <v>22000509</v>
      </c>
      <c r="B3154">
        <v>2020</v>
      </c>
      <c r="C3154" t="s">
        <v>32</v>
      </c>
      <c r="D3154" t="s">
        <v>44</v>
      </c>
      <c r="E3154">
        <v>64</v>
      </c>
      <c r="F3154">
        <v>78</v>
      </c>
      <c r="G3154">
        <v>3</v>
      </c>
      <c r="H3154" s="1">
        <v>3.1712962962962962E-3</v>
      </c>
      <c r="I3154" t="s">
        <v>23</v>
      </c>
      <c r="J3154" s="2" t="str">
        <f>HYPERLINK("https://www.nba.com/stats/events?CFID=&amp;CFPARAMS=&amp;GameEventID=418&amp;GameID=0022000509&amp;Season=2020-21&amp;flag=1&amp;title=Leonard%207'%20driving%20Hook%20(20%20PTS)", "7' driving Hook (20 PTS)")</f>
        <v>7' driving Hook (20 PTS)</v>
      </c>
      <c r="K3154" s="2" t="str">
        <f>HYPERLINK("https://www.nba.com/game/...-vs-...-0022000509/play-by-play?watchFullGame=true", "LAC vs MEM - Q3 04:34.00")</f>
        <v>LAC vs MEM - Q3 04:34.00</v>
      </c>
      <c r="L3154">
        <v>7.12</v>
      </c>
      <c r="M3154">
        <v>12.43</v>
      </c>
      <c r="N3154">
        <v>43.94</v>
      </c>
      <c r="O3154">
        <v>30</v>
      </c>
      <c r="P3154">
        <v>64</v>
      </c>
    </row>
    <row r="3155" spans="1:16" x14ac:dyDescent="0.25">
      <c r="A3155">
        <v>21500742</v>
      </c>
      <c r="B3155">
        <v>2015</v>
      </c>
      <c r="C3155" t="s">
        <v>32</v>
      </c>
      <c r="D3155" t="s">
        <v>24</v>
      </c>
      <c r="E3155">
        <v>100</v>
      </c>
      <c r="F3155">
        <v>89</v>
      </c>
      <c r="G3155">
        <v>4</v>
      </c>
      <c r="H3155" s="1">
        <v>3.0555555555555557E-3</v>
      </c>
      <c r="I3155" t="s">
        <v>18</v>
      </c>
      <c r="J3155" s="2" t="str">
        <f>HYPERLINK("https://www.nba.com/stats/events?CFID=&amp;CFPARAMS=&amp;GameEventID=439&amp;GameID=0021500742&amp;Season=2015-16&amp;flag=1&amp;title=Leonard%207'%20Turnaround%20Jump%20Shot%20(24%20PTS)", "Leonard 7' Turnaround Jump Shot (24 PTS)")</f>
        <v>Leonard 7' Turnaround Jump Shot (24 PTS)</v>
      </c>
      <c r="K3155" s="2" t="str">
        <f>HYPERLINK("https://www.nba.com/game/...-vs-...-0021500742/play-by-play?watchFullGame=true", "SAS vs NOP - Q4 04:24.00")</f>
        <v>SAS vs NOP - Q4 04:24.00</v>
      </c>
      <c r="L3155">
        <v>7</v>
      </c>
      <c r="M3155">
        <v>30</v>
      </c>
      <c r="N3155">
        <v>65</v>
      </c>
      <c r="O3155">
        <v>30</v>
      </c>
      <c r="P3155">
        <v>65</v>
      </c>
    </row>
    <row r="3156" spans="1:16" x14ac:dyDescent="0.25">
      <c r="A3156">
        <v>42200171</v>
      </c>
      <c r="B3156" t="s">
        <v>86</v>
      </c>
      <c r="C3156" t="s">
        <v>16</v>
      </c>
      <c r="D3156" t="s">
        <v>19</v>
      </c>
      <c r="E3156">
        <v>101</v>
      </c>
      <c r="F3156">
        <v>106</v>
      </c>
      <c r="G3156">
        <v>4</v>
      </c>
      <c r="H3156" s="1">
        <v>1.3888888888888889E-3</v>
      </c>
      <c r="I3156" t="s">
        <v>23</v>
      </c>
      <c r="J3156" s="2" t="str">
        <f>HYPERLINK("https://www.nba.com/stats/events?CFID=&amp;CFPARAMS=&amp;GameEventID=639&amp;GameID=0042200171&amp;Season=2022-23&amp;flag=1&amp;title=Leonard%2025'%203PT%20%20(38%20PTS)%20(E.%20Gordon%202%20AST)", "25' 3PT  (38 PTS) (E. Gordon 2 AST)")</f>
        <v>25' 3PT  (38 PTS) (E. Gordon 2 AST)</v>
      </c>
      <c r="K3156" s="2" t="str">
        <f>HYPERLINK("https://www.nba.com/game/...-vs-...-0042200171/play-by-play?watchFullGame=true", "LAC vs PHX - Q4 02:00.00")</f>
        <v>LAC vs PHX - Q4 02:00.00</v>
      </c>
      <c r="L3156">
        <v>25.63</v>
      </c>
      <c r="M3156">
        <v>30.83</v>
      </c>
      <c r="N3156">
        <v>69.36</v>
      </c>
      <c r="O3156">
        <v>30</v>
      </c>
      <c r="P3156">
        <v>69</v>
      </c>
    </row>
    <row r="3157" spans="1:16" x14ac:dyDescent="0.25">
      <c r="A3157">
        <v>22000105</v>
      </c>
      <c r="B3157">
        <v>2020</v>
      </c>
      <c r="C3157" t="s">
        <v>32</v>
      </c>
      <c r="D3157" t="s">
        <v>19</v>
      </c>
      <c r="E3157">
        <v>55</v>
      </c>
      <c r="F3157">
        <v>67</v>
      </c>
      <c r="G3157">
        <v>3</v>
      </c>
      <c r="H3157" s="1">
        <v>6.2847222222222219E-3</v>
      </c>
      <c r="I3157" t="s">
        <v>23</v>
      </c>
      <c r="J3157" s="2" t="str">
        <f>HYPERLINK("https://www.nba.com/stats/events?CFID=&amp;CFPARAMS=&amp;GameEventID=351&amp;GameID=0022000105&amp;Season=2020-21&amp;flag=1&amp;title=Leonard%208'%20pullup%20Jump%20Shot%20(24%20PTS)", "8' pullup Jump Shot (24 PTS)")</f>
        <v>8' pullup Jump Shot (24 PTS)</v>
      </c>
      <c r="K3157" s="2" t="str">
        <f>HYPERLINK("https://www.nba.com/game/...-vs-...-0022000105/play-by-play?watchFullGame=true", "LAC vs SAS - Q3 09:03.00")</f>
        <v>LAC vs SAS - Q3 09:03.00</v>
      </c>
      <c r="L3157">
        <v>8.43</v>
      </c>
      <c r="M3157">
        <v>86.02</v>
      </c>
      <c r="N3157">
        <v>55.95</v>
      </c>
      <c r="O3157">
        <v>30</v>
      </c>
      <c r="P3157">
        <v>79</v>
      </c>
    </row>
    <row r="3158" spans="1:16" x14ac:dyDescent="0.25">
      <c r="A3158">
        <v>21601170</v>
      </c>
      <c r="B3158">
        <v>2016</v>
      </c>
      <c r="C3158" t="s">
        <v>32</v>
      </c>
      <c r="D3158" t="s">
        <v>33</v>
      </c>
      <c r="E3158">
        <v>23</v>
      </c>
      <c r="F3158">
        <v>40</v>
      </c>
      <c r="G3158">
        <v>2</v>
      </c>
      <c r="H3158" s="1">
        <v>5.185185185185185E-3</v>
      </c>
      <c r="I3158" t="s">
        <v>18</v>
      </c>
      <c r="J3158" s="2" t="str">
        <f>HYPERLINK("https://www.nba.com/stats/events?CFID=&amp;CFPARAMS=&amp;GameEventID=149&amp;GameID=0021601170&amp;Season=2016-17&amp;flag=1&amp;title=Leonard%2011'%20Fadeaway%20Jumper%20(6%20PTS)%20(Forbes%201%20AST)", "Leonard 11' Fadeaway Jumper (6 PTS) (Forbes 1 AST)")</f>
        <v>Leonard 11' Fadeaway Jumper (6 PTS) (Forbes 1 AST)</v>
      </c>
      <c r="K3158" s="2" t="str">
        <f>HYPERLINK("https://www.nba.com/game/...-vs-...-0021601170/play-by-play?watchFullGame=true", "SAS vs LAL - Q2 07:28.00")</f>
        <v>SAS vs LAL - Q2 07:28.00</v>
      </c>
      <c r="L3158">
        <v>11</v>
      </c>
      <c r="M3158">
        <v>30</v>
      </c>
      <c r="N3158">
        <v>101</v>
      </c>
      <c r="O3158">
        <v>30</v>
      </c>
      <c r="P3158">
        <v>101</v>
      </c>
    </row>
    <row r="3159" spans="1:16" x14ac:dyDescent="0.25">
      <c r="A3159">
        <v>41800404</v>
      </c>
      <c r="B3159" t="s">
        <v>20</v>
      </c>
      <c r="C3159" t="s">
        <v>32</v>
      </c>
      <c r="D3159" t="s">
        <v>34</v>
      </c>
      <c r="E3159">
        <v>23</v>
      </c>
      <c r="F3159">
        <v>14</v>
      </c>
      <c r="G3159">
        <v>1</v>
      </c>
      <c r="H3159" s="1">
        <v>5.1157407407407412E-4</v>
      </c>
      <c r="I3159" t="s">
        <v>21</v>
      </c>
      <c r="J3159" s="2" t="str">
        <f>HYPERLINK("https://www.nba.com/stats/events?CFID=&amp;CFPARAMS=&amp;GameEventID=139&amp;GameID=0041800404&amp;Season=2018-19&amp;flag=1&amp;title=Leonard%2011'%20Turnaround%20Fadeaway%20(11%20PTS)", "Leonard 11' Turnaround Fadeaway (11 PTS)")</f>
        <v>Leonard 11' Turnaround Fadeaway (11 PTS)</v>
      </c>
      <c r="K3159" s="2" t="str">
        <f>HYPERLINK("https://www.nba.com/game/...-vs-...-0041800404/play-by-play?watchFullGame=true", "TOR vs GSW - Q1 00:44.20")</f>
        <v>TOR vs GSW - Q1 00:44.20</v>
      </c>
      <c r="L3159">
        <v>11</v>
      </c>
      <c r="M3159">
        <v>30</v>
      </c>
      <c r="N3159">
        <v>109</v>
      </c>
      <c r="O3159">
        <v>30</v>
      </c>
      <c r="P3159">
        <v>109</v>
      </c>
    </row>
    <row r="3160" spans="1:16" x14ac:dyDescent="0.25">
      <c r="A3160">
        <v>22000239</v>
      </c>
      <c r="B3160">
        <v>2020</v>
      </c>
      <c r="C3160" t="s">
        <v>32</v>
      </c>
      <c r="D3160" t="s">
        <v>19</v>
      </c>
      <c r="E3160">
        <v>81</v>
      </c>
      <c r="F3160">
        <v>58</v>
      </c>
      <c r="G3160">
        <v>3</v>
      </c>
      <c r="H3160" s="1">
        <v>5.3356481481481484E-3</v>
      </c>
      <c r="I3160" t="s">
        <v>23</v>
      </c>
      <c r="J3160" s="2" t="str">
        <f>HYPERLINK("https://www.nba.com/stats/events?CFID=&amp;CFPARAMS=&amp;GameEventID=363&amp;GameID=0022000239&amp;Season=2020-21&amp;flag=1&amp;title=Leonard%2011'%20turnaround%20Jump%20Shot%20(21%20PTS)", "11' turnaround Jump Shot (21 PTS)")</f>
        <v>11' turnaround Jump Shot (21 PTS)</v>
      </c>
      <c r="K3160" s="2" t="str">
        <f>HYPERLINK("https://www.nba.com/game/...-vs-...-0022000239/play-by-play?watchFullGame=true", "LAC vs OKC - Q3 07:41.00")</f>
        <v>LAC vs OKC - Q3 07:41.00</v>
      </c>
      <c r="L3160">
        <v>11.78</v>
      </c>
      <c r="M3160">
        <v>17.690000000000001</v>
      </c>
      <c r="N3160">
        <v>43.94</v>
      </c>
      <c r="O3160">
        <v>30</v>
      </c>
      <c r="P3160">
        <v>114</v>
      </c>
    </row>
    <row r="3161" spans="1:16" x14ac:dyDescent="0.25">
      <c r="A3161">
        <v>21900145</v>
      </c>
      <c r="B3161">
        <v>2019</v>
      </c>
      <c r="C3161" t="s">
        <v>32</v>
      </c>
      <c r="D3161" t="s">
        <v>22</v>
      </c>
      <c r="E3161">
        <v>89</v>
      </c>
      <c r="F3161">
        <v>84</v>
      </c>
      <c r="G3161">
        <v>4</v>
      </c>
      <c r="H3161" s="1">
        <v>4.2476851851851851E-3</v>
      </c>
      <c r="I3161" t="s">
        <v>23</v>
      </c>
      <c r="J3161" s="2" t="str">
        <f>HYPERLINK("https://www.nba.com/stats/events?CFID=&amp;CFPARAMS=&amp;GameEventID=589&amp;GameID=0021900145&amp;Season=2019-20&amp;flag=1&amp;title=[LAC]%20Leonard%20jumpshot:%20Made%20(9%20PTS)%20assist:%20Green%20(1%20AST)", "[LAC] Leonard jumpshot: Made (9 PTS) assist: Green (1 AST)")</f>
        <v>[LAC] Leonard jumpshot: Made (9 PTS) assist: Green (1 AST)</v>
      </c>
      <c r="K3161" s="2" t="str">
        <f>HYPERLINK("https://www.nba.com/game/...-vs-...-0021900145/play-by-play?watchFullGame=true", "LAC vs TOR - Q4 06:07.00")</f>
        <v>LAC vs TOR - Q4 06:07.00</v>
      </c>
      <c r="L3161">
        <v>13.59</v>
      </c>
      <c r="M3161">
        <v>19.100000000000001</v>
      </c>
      <c r="N3161">
        <v>44.05</v>
      </c>
      <c r="O3161">
        <v>30</v>
      </c>
      <c r="P3161">
        <v>127</v>
      </c>
    </row>
    <row r="3162" spans="1:16" x14ac:dyDescent="0.25">
      <c r="A3162">
        <v>21501140</v>
      </c>
      <c r="B3162">
        <v>2015</v>
      </c>
      <c r="C3162" t="s">
        <v>32</v>
      </c>
      <c r="D3162" t="s">
        <v>29</v>
      </c>
      <c r="E3162">
        <v>94</v>
      </c>
      <c r="F3162">
        <v>86</v>
      </c>
      <c r="G3162">
        <v>4</v>
      </c>
      <c r="H3162" s="1">
        <v>4.6064814814814813E-4</v>
      </c>
      <c r="I3162" t="s">
        <v>18</v>
      </c>
      <c r="J3162" s="2" t="str">
        <f>HYPERLINK("https://www.nba.com/stats/events?CFID=&amp;CFPARAMS=&amp;GameEventID=434&amp;GameID=0021501140&amp;Season=2015-16&amp;flag=1&amp;title=Leonard%2016'%20Pullup%20Jump%20Shot%20(29%20PTS)", "Leonard 16' Pullup Jump Shot (29 PTS)")</f>
        <v>Leonard 16' Pullup Jump Shot (29 PTS)</v>
      </c>
      <c r="K3162" s="2" t="str">
        <f>HYPERLINK("https://www.nba.com/game/...-vs-...-0021501140/play-by-play?watchFullGame=true", "SAS vs TOR - Q4 00:39.80")</f>
        <v>SAS vs TOR - Q4 00:39.80</v>
      </c>
      <c r="L3162">
        <v>16</v>
      </c>
      <c r="M3162">
        <v>30</v>
      </c>
      <c r="N3162">
        <v>156</v>
      </c>
      <c r="O3162">
        <v>30</v>
      </c>
      <c r="P3162">
        <v>156</v>
      </c>
    </row>
    <row r="3163" spans="1:16" x14ac:dyDescent="0.25">
      <c r="A3163">
        <v>41800303</v>
      </c>
      <c r="B3163" t="s">
        <v>20</v>
      </c>
      <c r="C3163" t="s">
        <v>16</v>
      </c>
      <c r="D3163" t="s">
        <v>29</v>
      </c>
      <c r="E3163">
        <v>55</v>
      </c>
      <c r="F3163">
        <v>48</v>
      </c>
      <c r="G3163">
        <v>2</v>
      </c>
      <c r="H3163" s="1">
        <v>3.5185185185185184E-4</v>
      </c>
      <c r="I3163" t="s">
        <v>21</v>
      </c>
      <c r="J3163" s="2" t="str">
        <f>HYPERLINK("https://www.nba.com/stats/events?CFID=&amp;CFPARAMS=&amp;GameEventID=337&amp;GameID=0041800303&amp;Season=2018-19&amp;flag=1&amp;title=Leonard%2024'%203PT%20Pullup%20Jump%20Shot%20(15%20PTS)", "Leonard 24' 3PT Pullup Jump Shot (15 PTS)")</f>
        <v>Leonard 24' 3PT Pullup Jump Shot (15 PTS)</v>
      </c>
      <c r="K3163" s="2" t="str">
        <f>HYPERLINK("https://www.nba.com/game/...-vs-...-0041800303/play-by-play?watchFullGame=true", "TOR vs MIL - Q2 00:30.40")</f>
        <v>TOR vs MIL - Q2 00:30.40</v>
      </c>
      <c r="L3163">
        <v>24</v>
      </c>
      <c r="M3163">
        <v>30</v>
      </c>
      <c r="N3163">
        <v>243</v>
      </c>
      <c r="O3163">
        <v>30</v>
      </c>
      <c r="P3163">
        <v>243</v>
      </c>
    </row>
    <row r="3164" spans="1:16" x14ac:dyDescent="0.25">
      <c r="A3164">
        <v>21900618</v>
      </c>
      <c r="B3164">
        <v>2019</v>
      </c>
      <c r="C3164" t="s">
        <v>16</v>
      </c>
      <c r="D3164" t="s">
        <v>22</v>
      </c>
      <c r="E3164">
        <v>67</v>
      </c>
      <c r="F3164">
        <v>44</v>
      </c>
      <c r="G3164">
        <v>2</v>
      </c>
      <c r="H3164" s="1">
        <v>1.3310185185185185E-3</v>
      </c>
      <c r="I3164" t="s">
        <v>23</v>
      </c>
      <c r="J3164" s="2" t="str">
        <f>HYPERLINK("https://www.nba.com/stats/events?CFID=&amp;CFPARAMS=&amp;GameEventID=283&amp;GameID=0021900618&amp;Season=2019-20&amp;flag=1&amp;title=Leonard%2026'%203PT%20%20(22%20PTS)%20(P.%20Beverley%207%20AST)", "26' 3PT  (22 PTS) (P. Beverley 7 AST)")</f>
        <v>26' 3PT  (22 PTS) (P. Beverley 7 AST)</v>
      </c>
      <c r="K3164" s="2" t="str">
        <f>HYPERLINK("https://www.nba.com/game/...-vs-...-0021900618/play-by-play?watchFullGame=true", "LAC vs ORL - Q2 01:55.00")</f>
        <v>LAC vs ORL - Q2 01:55.00</v>
      </c>
      <c r="L3164">
        <v>25.82</v>
      </c>
      <c r="M3164">
        <v>67.72</v>
      </c>
      <c r="N3164">
        <v>56.06</v>
      </c>
      <c r="O3164">
        <v>30</v>
      </c>
      <c r="P3164">
        <v>251</v>
      </c>
    </row>
    <row r="3165" spans="1:16" x14ac:dyDescent="0.25">
      <c r="A3165">
        <v>22300473</v>
      </c>
      <c r="B3165">
        <v>2023</v>
      </c>
      <c r="C3165" t="s">
        <v>32</v>
      </c>
      <c r="D3165" t="s">
        <v>47</v>
      </c>
      <c r="E3165">
        <v>76</v>
      </c>
      <c r="F3165">
        <v>95</v>
      </c>
      <c r="G3165">
        <v>3</v>
      </c>
      <c r="H3165" s="1">
        <v>3.0324074074074073E-3</v>
      </c>
      <c r="I3165" t="s">
        <v>23</v>
      </c>
      <c r="J3165" s="2" t="str">
        <f>HYPERLINK("https://www.nba.com/stats/events?CFID=&amp;CFPARAMS=&amp;GameEventID=428&amp;GameID=0022300473&amp;Season=2023-24&amp;flag=1&amp;title=Leonard%20driving%20Layup%20(22%20PTS)", "Driving Layup (22 PTS)")</f>
        <v>Driving Layup (22 PTS)</v>
      </c>
      <c r="K3165" s="2" t="str">
        <f>HYPERLINK("https://www.nba.com/game/...-vs-...-0022300473/play-by-play?watchFullGame=true", "LAC vs PHX - Q3 04:22.00")</f>
        <v>LAC vs PHX - Q3 04:22.00</v>
      </c>
      <c r="L3165">
        <v>3.1</v>
      </c>
      <c r="M3165">
        <v>6.13</v>
      </c>
      <c r="N3165">
        <v>43.87</v>
      </c>
      <c r="O3165">
        <v>31</v>
      </c>
      <c r="P3165">
        <v>5</v>
      </c>
    </row>
    <row r="3166" spans="1:16" x14ac:dyDescent="0.25">
      <c r="A3166">
        <v>21400220</v>
      </c>
      <c r="B3166">
        <v>2014</v>
      </c>
      <c r="C3166" t="s">
        <v>32</v>
      </c>
      <c r="D3166" t="s">
        <v>19</v>
      </c>
      <c r="E3166">
        <v>88</v>
      </c>
      <c r="F3166">
        <v>91</v>
      </c>
      <c r="G3166">
        <v>4</v>
      </c>
      <c r="H3166" s="1">
        <v>4.5601851851851853E-3</v>
      </c>
      <c r="I3166" t="s">
        <v>18</v>
      </c>
      <c r="J3166" s="2" t="str">
        <f>HYPERLINK("https://www.nba.com/stats/events?CFID=&amp;CFPARAMS=&amp;GameEventID=427&amp;GameID=0021400220&amp;Season=2014-15&amp;flag=1&amp;title=Leonard%203'%20Jump%20Shot%20(15%20PTS)", "Leonard 3' Jump Shot (15 PTS)")</f>
        <v>Leonard 3' Jump Shot (15 PTS)</v>
      </c>
      <c r="K3166" s="2" t="str">
        <f>HYPERLINK("https://www.nba.com/game/...-vs-...-0021400220/play-by-play?watchFullGame=true", "SAS vs IND - Q4 06:34.00")</f>
        <v>SAS vs IND - Q4 06:34.00</v>
      </c>
      <c r="L3166">
        <v>3</v>
      </c>
      <c r="M3166">
        <v>31</v>
      </c>
      <c r="N3166">
        <v>6</v>
      </c>
      <c r="O3166">
        <v>31</v>
      </c>
      <c r="P3166">
        <v>6</v>
      </c>
    </row>
    <row r="3167" spans="1:16" x14ac:dyDescent="0.25">
      <c r="A3167">
        <v>41200404</v>
      </c>
      <c r="B3167" t="s">
        <v>27</v>
      </c>
      <c r="C3167" t="s">
        <v>32</v>
      </c>
      <c r="D3167" t="s">
        <v>49</v>
      </c>
      <c r="E3167">
        <v>65</v>
      </c>
      <c r="F3167">
        <v>69</v>
      </c>
      <c r="G3167">
        <v>3</v>
      </c>
      <c r="H3167" s="1">
        <v>2.7314814814814814E-3</v>
      </c>
      <c r="I3167" t="s">
        <v>18</v>
      </c>
      <c r="J3167" s="2" t="str">
        <f>HYPERLINK("https://www.nba.com/stats/events?CFID=&amp;CFPARAMS=&amp;GameEventID=330&amp;GameID=0041200404&amp;Season=2012-13&amp;flag=1&amp;title=Leonard%203'%20Driving%20Layup%20(11%20PTS)%20(Joseph%201%20AST)", "Leonard 3' Driving Layup (11 PTS) (Joseph 1 AST)")</f>
        <v>Leonard 3' Driving Layup (11 PTS) (Joseph 1 AST)</v>
      </c>
      <c r="K3167" s="2" t="str">
        <f>HYPERLINK("https://www.nba.com/game/...-vs-...-0041200404/play-by-play?watchFullGame=true", "SAS vs MIA - Q3 03:56.00")</f>
        <v>SAS vs MIA - Q3 03:56.00</v>
      </c>
      <c r="L3167">
        <v>3</v>
      </c>
      <c r="M3167">
        <v>31</v>
      </c>
      <c r="N3167">
        <v>7</v>
      </c>
      <c r="O3167">
        <v>31</v>
      </c>
      <c r="P3167">
        <v>7</v>
      </c>
    </row>
    <row r="3168" spans="1:16" x14ac:dyDescent="0.25">
      <c r="A3168">
        <v>22000775</v>
      </c>
      <c r="B3168">
        <v>2020</v>
      </c>
      <c r="C3168" t="s">
        <v>32</v>
      </c>
      <c r="D3168" t="s">
        <v>47</v>
      </c>
      <c r="E3168">
        <v>22</v>
      </c>
      <c r="F3168">
        <v>12</v>
      </c>
      <c r="G3168">
        <v>1</v>
      </c>
      <c r="H3168" s="1">
        <v>5.1967592592592595E-3</v>
      </c>
      <c r="I3168" t="s">
        <v>23</v>
      </c>
      <c r="J3168" s="2" t="str">
        <f>HYPERLINK("https://www.nba.com/stats/events?CFID=&amp;CFPARAMS=&amp;GameEventID=46&amp;GameID=0022000775&amp;Season=2020-21&amp;flag=1&amp;title=Leonard%20driving%20Layup%20(4%20PTS)", "Driving Layup (4 PTS)")</f>
        <v>Driving Layup (4 PTS)</v>
      </c>
      <c r="K3168" s="2" t="str">
        <f>HYPERLINK("https://www.nba.com/game/...-vs-...-0022000775/play-by-play?watchFullGame=true", "LAC vs POR - Q1 07:29.00")</f>
        <v>LAC vs POR - Q1 07:29.00</v>
      </c>
      <c r="L3168">
        <v>3.25</v>
      </c>
      <c r="M3168">
        <v>93.38</v>
      </c>
      <c r="N3168">
        <v>56.2</v>
      </c>
      <c r="O3168">
        <v>31</v>
      </c>
      <c r="P3168">
        <v>10</v>
      </c>
    </row>
    <row r="3169" spans="1:16" x14ac:dyDescent="0.25">
      <c r="A3169">
        <v>22400859</v>
      </c>
      <c r="B3169">
        <v>2024</v>
      </c>
      <c r="C3169" t="s">
        <v>32</v>
      </c>
      <c r="D3169" t="s">
        <v>47</v>
      </c>
      <c r="E3169">
        <v>106</v>
      </c>
      <c r="F3169">
        <v>102</v>
      </c>
      <c r="G3169">
        <v>4</v>
      </c>
      <c r="H3169" s="1">
        <v>4.3634259259259261E-4</v>
      </c>
      <c r="I3169" t="s">
        <v>23</v>
      </c>
      <c r="J3169" s="2" t="str">
        <f>HYPERLINK("https://www.nba.com/stats/events?CFID=&amp;CFPARAMS=&amp;GameEventID=614&amp;GameID=0022400859&amp;Season=2024-25&amp;flag=1&amp;title=Leonard%20driving%20Layup%20(21%20PTS)", "Driving Layup (21 PTS)")</f>
        <v>Driving Layup (21 PTS)</v>
      </c>
      <c r="K3169" s="2" t="str">
        <f>HYPERLINK("https://www.nba.com/game/...-vs-...-0022400859/play-by-play?watchFullGame=true", "LAC vs LAL - Q4 00:37.70")</f>
        <v>LAC vs LAL - Q4 00:37.70</v>
      </c>
      <c r="L3169">
        <v>3.29</v>
      </c>
      <c r="M3169">
        <v>6.88</v>
      </c>
      <c r="N3169">
        <v>43.87</v>
      </c>
      <c r="O3169">
        <v>31</v>
      </c>
      <c r="P3169">
        <v>12</v>
      </c>
    </row>
    <row r="3170" spans="1:16" x14ac:dyDescent="0.25">
      <c r="A3170">
        <v>22400983</v>
      </c>
      <c r="B3170">
        <v>2024</v>
      </c>
      <c r="C3170" t="s">
        <v>32</v>
      </c>
      <c r="D3170" t="s">
        <v>47</v>
      </c>
      <c r="E3170">
        <v>69</v>
      </c>
      <c r="F3170">
        <v>44</v>
      </c>
      <c r="G3170">
        <v>3</v>
      </c>
      <c r="H3170" s="1">
        <v>7.6041666666666671E-3</v>
      </c>
      <c r="I3170" t="s">
        <v>23</v>
      </c>
      <c r="J3170" s="2" t="str">
        <f>HYPERLINK("https://www.nba.com/stats/events?CFID=&amp;CFPARAMS=&amp;GameEventID=331&amp;GameID=0022400983&amp;Season=2024-25&amp;flag=1&amp;title=Leonard%20driving%20Layup%20(13%20PTS)%20(I.%20Zubac%202%20AST)", "Driving Layup (13 PTS) (I. Zubac 2 AST)")</f>
        <v>Driving Layup (13 PTS) (I. Zubac 2 AST)</v>
      </c>
      <c r="K3170" s="2" t="str">
        <f>HYPERLINK("https://www.nba.com/game/...-vs-...-0022400983/play-by-play?watchFullGame=true", "LAC vs WAS - Q3 10:57.00")</f>
        <v>LAC vs WAS - Q3 10:57.00</v>
      </c>
      <c r="L3170">
        <v>3.86</v>
      </c>
      <c r="M3170">
        <v>8.1</v>
      </c>
      <c r="N3170">
        <v>43.87</v>
      </c>
      <c r="O3170">
        <v>31</v>
      </c>
      <c r="P3170">
        <v>24</v>
      </c>
    </row>
    <row r="3171" spans="1:16" x14ac:dyDescent="0.25">
      <c r="A3171">
        <v>21300965</v>
      </c>
      <c r="B3171">
        <v>2013</v>
      </c>
      <c r="C3171" t="s">
        <v>32</v>
      </c>
      <c r="D3171" t="s">
        <v>42</v>
      </c>
      <c r="E3171">
        <v>90</v>
      </c>
      <c r="F3171">
        <v>73</v>
      </c>
      <c r="G3171">
        <v>4</v>
      </c>
      <c r="H3171" s="1">
        <v>4.0972222222222226E-3</v>
      </c>
      <c r="I3171" t="s">
        <v>18</v>
      </c>
      <c r="J3171" s="2" t="str">
        <f>HYPERLINK("https://www.nba.com/stats/events?CFID=&amp;CFPARAMS=&amp;GameEventID=484&amp;GameID=0021300965&amp;Season=2013-14&amp;flag=1&amp;title=Leonard%205'%20Driving%20Jump%20Shot%20(12%20PTS)%20(Mills%202%20AST)", "Leonard 5' Driving Jump Shot (12 PTS) (Mills 2 AST)")</f>
        <v>Leonard 5' Driving Jump Shot (12 PTS) (Mills 2 AST)</v>
      </c>
      <c r="K3171" s="2" t="str">
        <f>HYPERLINK("https://www.nba.com/game/...-vs-...-0021300965/play-by-play?watchFullGame=true", "SAS vs POR - Q4 05:54.00")</f>
        <v>SAS vs POR - Q4 05:54.00</v>
      </c>
      <c r="L3171">
        <v>5</v>
      </c>
      <c r="M3171">
        <v>31</v>
      </c>
      <c r="N3171">
        <v>42</v>
      </c>
      <c r="O3171">
        <v>31</v>
      </c>
      <c r="P3171">
        <v>42</v>
      </c>
    </row>
    <row r="3172" spans="1:16" x14ac:dyDescent="0.25">
      <c r="A3172">
        <v>42000173</v>
      </c>
      <c r="B3172" t="s">
        <v>83</v>
      </c>
      <c r="C3172" t="s">
        <v>16</v>
      </c>
      <c r="D3172" t="s">
        <v>19</v>
      </c>
      <c r="E3172">
        <v>91</v>
      </c>
      <c r="F3172">
        <v>97</v>
      </c>
      <c r="G3172">
        <v>4</v>
      </c>
      <c r="H3172" s="1">
        <v>5.5092592592592589E-3</v>
      </c>
      <c r="I3172" t="s">
        <v>23</v>
      </c>
      <c r="J3172" s="2" t="str">
        <f>HYPERLINK("https://www.nba.com/stats/events?CFID=&amp;CFPARAMS=&amp;GameEventID=491&amp;GameID=0042000173&amp;Season=2020-21&amp;flag=1&amp;title=Leonard%2024'%203PT%20%20(30%20PTS)%20(R.%20Rondo%207%20AST)", "24' 3PT  (30 PTS) (R. Rondo 7 AST)")</f>
        <v>24' 3PT  (30 PTS) (R. Rondo 7 AST)</v>
      </c>
      <c r="K3172" s="2" t="str">
        <f>HYPERLINK("https://www.nba.com/game/...-vs-...-0042000173/play-by-play?watchFullGame=true", "LAC vs DAL - Q4 07:56.00")</f>
        <v>LAC vs DAL - Q4 07:56.00</v>
      </c>
      <c r="L3172">
        <v>24.61</v>
      </c>
      <c r="M3172">
        <v>31.75</v>
      </c>
      <c r="N3172">
        <v>48.84</v>
      </c>
      <c r="O3172">
        <v>31</v>
      </c>
      <c r="P3172">
        <v>48</v>
      </c>
    </row>
    <row r="3173" spans="1:16" x14ac:dyDescent="0.25">
      <c r="A3173">
        <v>22300553</v>
      </c>
      <c r="B3173">
        <v>2023</v>
      </c>
      <c r="C3173" t="s">
        <v>32</v>
      </c>
      <c r="D3173" t="s">
        <v>19</v>
      </c>
      <c r="E3173">
        <v>57</v>
      </c>
      <c r="F3173">
        <v>49</v>
      </c>
      <c r="G3173">
        <v>3</v>
      </c>
      <c r="H3173" s="1">
        <v>5.9837962962962961E-3</v>
      </c>
      <c r="I3173" t="s">
        <v>23</v>
      </c>
      <c r="J3173" s="2" t="str">
        <f>HYPERLINK("https://www.nba.com/stats/events?CFID=&amp;CFPARAMS=&amp;GameEventID=331&amp;GameID=0022300553&amp;Season=2023-24&amp;flag=1&amp;title=Leonard%206'%20driving%20floating%20Jump%20Shot%20(16%20PTS)%20(J.%20Harden%205%20AST)", "6' driving floating Jump Shot (16 PTS) (J. Harden 5 AST)")</f>
        <v>6' driving floating Jump Shot (16 PTS) (J. Harden 5 AST)</v>
      </c>
      <c r="K3173" s="2" t="str">
        <f>HYPERLINK("https://www.nba.com/game/...-vs-...-0022300553/play-by-play?watchFullGame=true", "LAC vs MIN - Q3 08:37.00")</f>
        <v>LAC vs MIN - Q3 08:37.00</v>
      </c>
      <c r="L3173">
        <v>6.33</v>
      </c>
      <c r="M3173">
        <v>88.52</v>
      </c>
      <c r="N3173">
        <v>56.13</v>
      </c>
      <c r="O3173">
        <v>31</v>
      </c>
      <c r="P3173">
        <v>55</v>
      </c>
    </row>
    <row r="3174" spans="1:16" x14ac:dyDescent="0.25">
      <c r="A3174">
        <v>42000176</v>
      </c>
      <c r="B3174" t="s">
        <v>83</v>
      </c>
      <c r="C3174" t="s">
        <v>16</v>
      </c>
      <c r="D3174" t="s">
        <v>19</v>
      </c>
      <c r="E3174">
        <v>67</v>
      </c>
      <c r="F3174">
        <v>65</v>
      </c>
      <c r="G3174">
        <v>3</v>
      </c>
      <c r="H3174" s="1">
        <v>3.6226851851851854E-3</v>
      </c>
      <c r="I3174" t="s">
        <v>23</v>
      </c>
      <c r="J3174" s="2" t="str">
        <f>HYPERLINK("https://www.nba.com/stats/events?CFID=&amp;CFPARAMS=&amp;GameEventID=393&amp;GameID=0042000176&amp;Season=2020-21&amp;flag=1&amp;title=Leonard%2025'%203PT%20pullup%20(25%20PTS)", "25' 3PT pullup (25 PTS)")</f>
        <v>25' 3PT pullup (25 PTS)</v>
      </c>
      <c r="K3174" s="2" t="str">
        <f>HYPERLINK("https://www.nba.com/game/...-vs-...-0042000176/play-by-play?watchFullGame=true", "LAC vs DAL - Q3 05:13.00")</f>
        <v>LAC vs DAL - Q3 05:13.00</v>
      </c>
      <c r="L3174">
        <v>25.91</v>
      </c>
      <c r="M3174">
        <v>31.88</v>
      </c>
      <c r="N3174">
        <v>65.510000000000005</v>
      </c>
      <c r="O3174">
        <v>31</v>
      </c>
      <c r="P3174">
        <v>65</v>
      </c>
    </row>
    <row r="3175" spans="1:16" x14ac:dyDescent="0.25">
      <c r="A3175">
        <v>42000224</v>
      </c>
      <c r="B3175" t="s">
        <v>85</v>
      </c>
      <c r="C3175" t="s">
        <v>16</v>
      </c>
      <c r="D3175" t="s">
        <v>19</v>
      </c>
      <c r="E3175">
        <v>58</v>
      </c>
      <c r="F3175">
        <v>34</v>
      </c>
      <c r="G3175">
        <v>2</v>
      </c>
      <c r="H3175" s="1">
        <v>1.8865740740740742E-3</v>
      </c>
      <c r="I3175" t="s">
        <v>23</v>
      </c>
      <c r="J3175" s="2" t="str">
        <f>HYPERLINK("https://www.nba.com/stats/events?CFID=&amp;CFPARAMS=&amp;GameEventID=273&amp;GameID=0042000224&amp;Season=2020-21&amp;flag=1&amp;title=Leonard%2026'%203PT%20step%20back%20(17%20PTS)", "26' 3PT step back (17 PTS)")</f>
        <v>26' 3PT step back (17 PTS)</v>
      </c>
      <c r="K3175" s="2" t="str">
        <f>HYPERLINK("https://www.nba.com/game/...-vs-...-0042000224/play-by-play?watchFullGame=true", "LAC vs UTA - Q2 02:43.00")</f>
        <v>LAC vs UTA - Q2 02:43.00</v>
      </c>
      <c r="L3175">
        <v>26.75</v>
      </c>
      <c r="M3175">
        <v>31.59</v>
      </c>
      <c r="N3175">
        <v>71.739999999999995</v>
      </c>
      <c r="O3175">
        <v>31</v>
      </c>
      <c r="P3175">
        <v>71</v>
      </c>
    </row>
    <row r="3176" spans="1:16" x14ac:dyDescent="0.25">
      <c r="A3176">
        <v>22300799</v>
      </c>
      <c r="B3176">
        <v>2023</v>
      </c>
      <c r="C3176" t="s">
        <v>32</v>
      </c>
      <c r="D3176" t="s">
        <v>44</v>
      </c>
      <c r="E3176">
        <v>28</v>
      </c>
      <c r="F3176">
        <v>27</v>
      </c>
      <c r="G3176">
        <v>1</v>
      </c>
      <c r="H3176" s="1">
        <v>1.5393518518518519E-3</v>
      </c>
      <c r="I3176" t="s">
        <v>23</v>
      </c>
      <c r="J3176" s="2" t="str">
        <f>HYPERLINK("https://www.nba.com/stats/events?CFID=&amp;CFPARAMS=&amp;GameEventID=119&amp;GameID=0022300799&amp;Season=2023-24&amp;flag=1&amp;title=Leonard%2012'%20driving%20Hook%20(8%20PTS)%20(A.%20Coffey%201%20AST)", "12' driving Hook (8 PTS) (A. Coffey 1 AST)")</f>
        <v>12' driving Hook (8 PTS) (A. Coffey 1 AST)</v>
      </c>
      <c r="K3176" s="2" t="str">
        <f>HYPERLINK("https://www.nba.com/game/...-vs-...-0022300799/play-by-play?watchFullGame=true", "LAC vs OKC - Q1 02:13.00")</f>
        <v>LAC vs OKC - Q1 02:13.00</v>
      </c>
      <c r="L3176">
        <v>12.03</v>
      </c>
      <c r="M3176">
        <v>17.95</v>
      </c>
      <c r="N3176">
        <v>43.87</v>
      </c>
      <c r="O3176">
        <v>31</v>
      </c>
      <c r="P3176">
        <v>116</v>
      </c>
    </row>
    <row r="3177" spans="1:16" x14ac:dyDescent="0.25">
      <c r="A3177">
        <v>21400089</v>
      </c>
      <c r="B3177">
        <v>2014</v>
      </c>
      <c r="C3177" t="s">
        <v>32</v>
      </c>
      <c r="D3177" t="s">
        <v>72</v>
      </c>
      <c r="E3177">
        <v>92</v>
      </c>
      <c r="F3177">
        <v>96</v>
      </c>
      <c r="G3177">
        <v>4</v>
      </c>
      <c r="H3177" s="1">
        <v>2.0138888888888888E-3</v>
      </c>
      <c r="I3177" t="s">
        <v>18</v>
      </c>
      <c r="J3177" s="2" t="str">
        <f>HYPERLINK("https://www.nba.com/stats/events?CFID=&amp;CFPARAMS=&amp;GameEventID=484&amp;GameID=0021400089&amp;Season=2014-15&amp;flag=1&amp;title=Leonard%203'%20Tip%20Shot%20(12%20PTS)", "Leonard 3' Tip Shot (12 PTS)")</f>
        <v>Leonard 3' Tip Shot (12 PTS)</v>
      </c>
      <c r="K3177" s="2" t="str">
        <f>HYPERLINK("https://www.nba.com/game/...-vs-...-0021400089/play-by-play?watchFullGame=true", "SAS vs NOP - Q4 02:54.00")</f>
        <v>SAS vs NOP - Q4 02:54.00</v>
      </c>
      <c r="L3177">
        <v>3</v>
      </c>
      <c r="M3177">
        <v>32</v>
      </c>
      <c r="N3177">
        <v>0</v>
      </c>
      <c r="O3177">
        <v>32</v>
      </c>
      <c r="P3177">
        <v>0</v>
      </c>
    </row>
    <row r="3178" spans="1:16" x14ac:dyDescent="0.25">
      <c r="A3178">
        <v>21600639</v>
      </c>
      <c r="B3178">
        <v>2016</v>
      </c>
      <c r="C3178" t="s">
        <v>32</v>
      </c>
      <c r="D3178" t="s">
        <v>61</v>
      </c>
      <c r="E3178">
        <v>76</v>
      </c>
      <c r="F3178">
        <v>60</v>
      </c>
      <c r="G3178">
        <v>3</v>
      </c>
      <c r="H3178" s="1">
        <v>5.8101851851851856E-3</v>
      </c>
      <c r="I3178" t="s">
        <v>18</v>
      </c>
      <c r="J3178" s="2" t="str">
        <f>HYPERLINK("https://www.nba.com/stats/events?CFID=&amp;CFPARAMS=&amp;GameEventID=306&amp;GameID=0021600639&amp;Season=2016-17&amp;flag=1&amp;title=Leonard%203'%20Driving%20Finger%20Roll%20Layup%20(19%20PTS)", "Leonard 3' Driving Finger Roll Layup (19 PTS)")</f>
        <v>Leonard 3' Driving Finger Roll Layup (19 PTS)</v>
      </c>
      <c r="K3178" s="2" t="str">
        <f>HYPERLINK("https://www.nba.com/game/...-vs-...-0021600639/play-by-play?watchFullGame=true", "SAS vs DEN - Q3 08:22.00")</f>
        <v>SAS vs DEN - Q3 08:22.00</v>
      </c>
      <c r="L3178">
        <v>3</v>
      </c>
      <c r="M3178">
        <v>32</v>
      </c>
      <c r="N3178">
        <v>11</v>
      </c>
      <c r="O3178">
        <v>32</v>
      </c>
      <c r="P3178">
        <v>11</v>
      </c>
    </row>
    <row r="3179" spans="1:16" x14ac:dyDescent="0.25">
      <c r="A3179">
        <v>41200404</v>
      </c>
      <c r="B3179" t="s">
        <v>27</v>
      </c>
      <c r="C3179" t="s">
        <v>32</v>
      </c>
      <c r="D3179" t="s">
        <v>42</v>
      </c>
      <c r="E3179">
        <v>55</v>
      </c>
      <c r="F3179">
        <v>56</v>
      </c>
      <c r="G3179">
        <v>3</v>
      </c>
      <c r="H3179" s="1">
        <v>6.0069444444444441E-3</v>
      </c>
      <c r="I3179" t="s">
        <v>18</v>
      </c>
      <c r="J3179" s="2" t="str">
        <f>HYPERLINK("https://www.nba.com/stats/events?CFID=&amp;CFPARAMS=&amp;GameEventID=277&amp;GameID=0041200404&amp;Season=2012-13&amp;flag=1&amp;title=Leonard%204'%20Driving%20Jump%20Shot%20(9%20PTS)", "Leonard 4' Driving Jump Shot (9 PTS)")</f>
        <v>Leonard 4' Driving Jump Shot (9 PTS)</v>
      </c>
      <c r="K3179" s="2" t="str">
        <f>HYPERLINK("https://www.nba.com/game/...-vs-...-0041200404/play-by-play?watchFullGame=true", "SAS vs MIA - Q3 08:39.00")</f>
        <v>SAS vs MIA - Q3 08:39.00</v>
      </c>
      <c r="L3179">
        <v>4</v>
      </c>
      <c r="M3179">
        <v>32</v>
      </c>
      <c r="N3179">
        <v>31</v>
      </c>
      <c r="O3179">
        <v>32</v>
      </c>
      <c r="P3179">
        <v>31</v>
      </c>
    </row>
    <row r="3180" spans="1:16" x14ac:dyDescent="0.25">
      <c r="A3180">
        <v>42000224</v>
      </c>
      <c r="B3180" t="s">
        <v>85</v>
      </c>
      <c r="C3180" t="s">
        <v>16</v>
      </c>
      <c r="D3180" t="s">
        <v>19</v>
      </c>
      <c r="E3180">
        <v>26</v>
      </c>
      <c r="F3180">
        <v>10</v>
      </c>
      <c r="G3180">
        <v>1</v>
      </c>
      <c r="H3180" s="1">
        <v>1.4814814814814814E-3</v>
      </c>
      <c r="I3180" t="s">
        <v>23</v>
      </c>
      <c r="J3180" s="2" t="str">
        <f>HYPERLINK("https://www.nba.com/stats/events?CFID=&amp;CFPARAMS=&amp;GameEventID=117&amp;GameID=0042000224&amp;Season=2020-21&amp;flag=1&amp;title=Leonard%2026'%203PT%20pullup%20(10%20PTS)", "26' 3PT pullup (10 PTS)")</f>
        <v>26' 3PT pullup (10 PTS)</v>
      </c>
      <c r="K3180" s="2" t="str">
        <f>HYPERLINK("https://www.nba.com/game/...-vs-...-0042000224/play-by-play?watchFullGame=true", "LAC vs UTA - Q1 02:08.00")</f>
        <v>LAC vs UTA - Q1 02:08.00</v>
      </c>
      <c r="L3180">
        <v>26.59</v>
      </c>
      <c r="M3180">
        <v>32.9</v>
      </c>
      <c r="N3180">
        <v>36.21</v>
      </c>
      <c r="O3180">
        <v>32</v>
      </c>
      <c r="P3180">
        <v>36</v>
      </c>
    </row>
    <row r="3181" spans="1:16" x14ac:dyDescent="0.25">
      <c r="A3181">
        <v>42000174</v>
      </c>
      <c r="B3181" t="s">
        <v>83</v>
      </c>
      <c r="C3181" t="s">
        <v>16</v>
      </c>
      <c r="D3181" t="s">
        <v>19</v>
      </c>
      <c r="E3181">
        <v>45</v>
      </c>
      <c r="F3181">
        <v>66</v>
      </c>
      <c r="G3181">
        <v>3</v>
      </c>
      <c r="H3181" s="1">
        <v>7.6851851851851855E-3</v>
      </c>
      <c r="I3181" t="s">
        <v>23</v>
      </c>
      <c r="J3181" s="2" t="str">
        <f>HYPERLINK("https://www.nba.com/stats/events?CFID=&amp;CFPARAMS=&amp;GameEventID=362&amp;GameID=0042000174&amp;Season=2020-21&amp;flag=1&amp;title=Leonard%2025'%203PT%20pullup%20(20%20PTS)%20(P.%20George%202%20AST)", "25' 3PT pullup (20 PTS) (P. George 2 AST)")</f>
        <v>25' 3PT pullup (20 PTS) (P. George 2 AST)</v>
      </c>
      <c r="K3181" s="2" t="str">
        <f>HYPERLINK("https://www.nba.com/game/...-vs-...-0042000174/play-by-play?watchFullGame=true", "LAC vs DAL - Q3 11:04.00")</f>
        <v>LAC vs DAL - Q3 11:04.00</v>
      </c>
      <c r="L3181">
        <v>25.46</v>
      </c>
      <c r="M3181">
        <v>32.28</v>
      </c>
      <c r="N3181">
        <v>58.65</v>
      </c>
      <c r="O3181">
        <v>32</v>
      </c>
      <c r="P3181">
        <v>58</v>
      </c>
    </row>
    <row r="3182" spans="1:16" x14ac:dyDescent="0.25">
      <c r="A3182">
        <v>21600225</v>
      </c>
      <c r="B3182">
        <v>2016</v>
      </c>
      <c r="C3182" t="s">
        <v>32</v>
      </c>
      <c r="D3182" t="s">
        <v>34</v>
      </c>
      <c r="E3182">
        <v>94</v>
      </c>
      <c r="F3182">
        <v>100</v>
      </c>
      <c r="G3182">
        <v>4</v>
      </c>
      <c r="H3182" s="1">
        <v>2.3842592592592591E-3</v>
      </c>
      <c r="I3182" t="s">
        <v>18</v>
      </c>
      <c r="J3182" s="2" t="str">
        <f>HYPERLINK("https://www.nba.com/stats/events?CFID=&amp;CFPARAMS=&amp;GameEventID=458&amp;GameID=0021600225&amp;Season=2016-17&amp;flag=1&amp;title=Leonard%207'%20Turnaround%20Fadeaway%20(21%20PTS)", "Leonard 7' Turnaround Fadeaway (21 PTS)")</f>
        <v>Leonard 7' Turnaround Fadeaway (21 PTS)</v>
      </c>
      <c r="K3182" s="2" t="str">
        <f>HYPERLINK("https://www.nba.com/game/...-vs-...-0021600225/play-by-play?watchFullGame=true", "SAS vs BOS - Q4 03:26.00")</f>
        <v>SAS vs BOS - Q4 03:26.00</v>
      </c>
      <c r="L3182">
        <v>7</v>
      </c>
      <c r="M3182">
        <v>32</v>
      </c>
      <c r="N3182">
        <v>65</v>
      </c>
      <c r="O3182">
        <v>32</v>
      </c>
      <c r="P3182">
        <v>65</v>
      </c>
    </row>
    <row r="3183" spans="1:16" x14ac:dyDescent="0.25">
      <c r="A3183">
        <v>22000002</v>
      </c>
      <c r="B3183">
        <v>2020</v>
      </c>
      <c r="C3183" t="s">
        <v>32</v>
      </c>
      <c r="D3183" t="s">
        <v>44</v>
      </c>
      <c r="E3183">
        <v>75</v>
      </c>
      <c r="F3183">
        <v>77</v>
      </c>
      <c r="G3183">
        <v>3</v>
      </c>
      <c r="H3183" s="1">
        <v>3.3449074074074076E-3</v>
      </c>
      <c r="I3183" t="s">
        <v>23</v>
      </c>
      <c r="J3183" s="2" t="str">
        <f>HYPERLINK("https://www.nba.com/stats/events?CFID=&amp;CFPARAMS=&amp;GameEventID=475&amp;GameID=0022000002&amp;Season=2020-21&amp;flag=1&amp;title=Leonard%208'%20Hook%20(22%20PTS)", "8' Hook (22 PTS)")</f>
        <v>8' Hook (22 PTS)</v>
      </c>
      <c r="K3183" s="2" t="str">
        <f>HYPERLINK("https://www.nba.com/game/...-vs-...-0022000002/play-by-play?watchFullGame=true", "LAC vs LAL - Q3 04:49.00")</f>
        <v>LAC vs LAL - Q3 04:49.00</v>
      </c>
      <c r="L3183">
        <v>8.8699999999999992</v>
      </c>
      <c r="M3183">
        <v>85.63</v>
      </c>
      <c r="N3183">
        <v>56.44</v>
      </c>
      <c r="O3183">
        <v>32</v>
      </c>
      <c r="P3183">
        <v>83</v>
      </c>
    </row>
    <row r="3184" spans="1:16" x14ac:dyDescent="0.25">
      <c r="A3184">
        <v>22000324</v>
      </c>
      <c r="B3184">
        <v>2020</v>
      </c>
      <c r="C3184" t="s">
        <v>32</v>
      </c>
      <c r="D3184" t="s">
        <v>19</v>
      </c>
      <c r="E3184">
        <v>8</v>
      </c>
      <c r="F3184">
        <v>20</v>
      </c>
      <c r="G3184">
        <v>1</v>
      </c>
      <c r="H3184" s="1">
        <v>4.2013888888888891E-3</v>
      </c>
      <c r="I3184" t="s">
        <v>23</v>
      </c>
      <c r="J3184" s="2" t="str">
        <f>HYPERLINK("https://www.nba.com/stats/events?CFID=&amp;CFPARAMS=&amp;GameEventID=54&amp;GameID=0022000324&amp;Season=2020-21&amp;flag=1&amp;title=Leonard%208'%20fadeaway%20Jump%20Shot%20(8%20PTS)", "8' fadeaway Jump Shot (8 PTS)")</f>
        <v>8' fadeaway Jump Shot (8 PTS)</v>
      </c>
      <c r="K3184" s="2" t="str">
        <f>HYPERLINK("https://www.nba.com/game/...-vs-...-0022000324/play-by-play?watchFullGame=true", "LAC vs BKN - Q1 06:03.00")</f>
        <v>LAC vs BKN - Q1 06:03.00</v>
      </c>
      <c r="L3184">
        <v>8.8699999999999992</v>
      </c>
      <c r="M3184">
        <v>14.41</v>
      </c>
      <c r="N3184">
        <v>43.7</v>
      </c>
      <c r="O3184">
        <v>32</v>
      </c>
      <c r="P3184">
        <v>83</v>
      </c>
    </row>
    <row r="3185" spans="1:16" x14ac:dyDescent="0.25">
      <c r="A3185">
        <v>22201041</v>
      </c>
      <c r="B3185">
        <v>2022</v>
      </c>
      <c r="C3185" t="s">
        <v>32</v>
      </c>
      <c r="D3185" t="s">
        <v>19</v>
      </c>
      <c r="E3185">
        <v>3</v>
      </c>
      <c r="F3185">
        <v>8</v>
      </c>
      <c r="G3185">
        <v>1</v>
      </c>
      <c r="H3185" s="1">
        <v>6.1574074074074074E-3</v>
      </c>
      <c r="I3185" t="s">
        <v>23</v>
      </c>
      <c r="J3185" s="2" t="str">
        <f>HYPERLINK("https://www.nba.com/stats/events?CFID=&amp;CFPARAMS=&amp;GameEventID=41&amp;GameID=0022201041&amp;Season=2022-23&amp;flag=1&amp;title=Leonard%2010'%20step%20back%20Jump%20Shot%20(2%20PTS)", "10' step back Jump Shot (2 PTS)")</f>
        <v>10' step back Jump Shot (2 PTS)</v>
      </c>
      <c r="K3185" s="2" t="str">
        <f>HYPERLINK("https://www.nba.com/game/...-vs-...-0022201041/play-by-play?watchFullGame=true", "LAC vs GSW - Q1 08:52.00")</f>
        <v>LAC vs GSW - Q1 08:52.00</v>
      </c>
      <c r="L3185">
        <v>10.6</v>
      </c>
      <c r="M3185">
        <v>16.34</v>
      </c>
      <c r="N3185">
        <v>43.63</v>
      </c>
      <c r="O3185">
        <v>32</v>
      </c>
      <c r="P3185">
        <v>101</v>
      </c>
    </row>
    <row r="3186" spans="1:16" x14ac:dyDescent="0.25">
      <c r="A3186">
        <v>21900292</v>
      </c>
      <c r="B3186">
        <v>2019</v>
      </c>
      <c r="C3186" t="s">
        <v>32</v>
      </c>
      <c r="D3186" t="s">
        <v>22</v>
      </c>
      <c r="E3186">
        <v>60</v>
      </c>
      <c r="F3186">
        <v>45</v>
      </c>
      <c r="G3186">
        <v>2</v>
      </c>
      <c r="H3186" s="1">
        <v>4.5486111111111109E-3</v>
      </c>
      <c r="I3186" t="s">
        <v>23</v>
      </c>
      <c r="J3186" s="2" t="str">
        <f>HYPERLINK("https://www.nba.com/stats/events?CFID=&amp;CFPARAMS=&amp;GameEventID=277&amp;GameID=0021900292&amp;Season=2019-20&amp;flag=1&amp;title=Leonard%2011'%20jumpshot%20(10%20PTS)", "11' jumpshot (10 PTS)")</f>
        <v>11' jumpshot (10 PTS)</v>
      </c>
      <c r="K3186" s="2" t="str">
        <f>HYPERLINK("https://www.nba.com/game/...-vs-...-0021900292/play-by-play?watchFullGame=true", "LAC vs WAS - Q2 06:33.00")</f>
        <v>LAC vs WAS - Q2 06:33.00</v>
      </c>
      <c r="L3186">
        <v>11.27</v>
      </c>
      <c r="M3186">
        <v>83.49</v>
      </c>
      <c r="N3186">
        <v>56.3</v>
      </c>
      <c r="O3186">
        <v>32</v>
      </c>
      <c r="P3186">
        <v>103</v>
      </c>
    </row>
    <row r="3187" spans="1:16" x14ac:dyDescent="0.25">
      <c r="A3187">
        <v>22300873</v>
      </c>
      <c r="B3187">
        <v>2023</v>
      </c>
      <c r="C3187" t="s">
        <v>32</v>
      </c>
      <c r="D3187" t="s">
        <v>19</v>
      </c>
      <c r="E3187">
        <v>9</v>
      </c>
      <c r="F3187">
        <v>2</v>
      </c>
      <c r="G3187">
        <v>1</v>
      </c>
      <c r="H3187" s="1">
        <v>6.076388888888889E-3</v>
      </c>
      <c r="I3187" t="s">
        <v>23</v>
      </c>
      <c r="J3187" s="2" t="str">
        <f>HYPERLINK("https://www.nba.com/stats/events?CFID=&amp;CFPARAMS=&amp;GameEventID=31&amp;GameID=0022300873&amp;Season=2023-24&amp;flag=1&amp;title=Leonard%2011'%20turnaround%20fadeaway%20Jump%20Shot%20(2%20PTS)", "11' turnaround fadeaway Jump Shot (2 PTS)")</f>
        <v>11' turnaround fadeaway Jump Shot (2 PTS)</v>
      </c>
      <c r="K3187" s="2" t="str">
        <f>HYPERLINK("https://www.nba.com/game/...-vs-...-0022300873/play-by-play?watchFullGame=true", "LAC vs MIN - Q1 08:45.00")</f>
        <v>LAC vs MIN - Q1 08:45.00</v>
      </c>
      <c r="L3187">
        <v>11.58</v>
      </c>
      <c r="M3187">
        <v>17.43</v>
      </c>
      <c r="N3187">
        <v>43.63</v>
      </c>
      <c r="O3187">
        <v>32</v>
      </c>
      <c r="P3187">
        <v>111</v>
      </c>
    </row>
    <row r="3188" spans="1:16" x14ac:dyDescent="0.25">
      <c r="A3188">
        <v>41400165</v>
      </c>
      <c r="B3188" t="s">
        <v>28</v>
      </c>
      <c r="C3188" t="s">
        <v>32</v>
      </c>
      <c r="D3188" t="s">
        <v>29</v>
      </c>
      <c r="E3188">
        <v>12</v>
      </c>
      <c r="F3188">
        <v>7</v>
      </c>
      <c r="G3188">
        <v>1</v>
      </c>
      <c r="H3188" s="1">
        <v>4.9305555555555552E-3</v>
      </c>
      <c r="I3188" t="s">
        <v>18</v>
      </c>
      <c r="J3188" s="2" t="str">
        <f>HYPERLINK("https://www.nba.com/stats/events?CFID=&amp;CFPARAMS=&amp;GameEventID=47&amp;GameID=0041400165&amp;Season=2014-15&amp;flag=1&amp;title=Leonard%2012'%20Pullup%20Jump%20Shot%20(6%20PTS)%20(Green%202%20AST)", "Leonard 12' Pullup Jump Shot (6 PTS) (Green 2 AST)")</f>
        <v>Leonard 12' Pullup Jump Shot (6 PTS) (Green 2 AST)</v>
      </c>
      <c r="K3188" s="2" t="str">
        <f>HYPERLINK("https://www.nba.com/game/...-vs-...-0041400165/play-by-play?watchFullGame=true", "SAS vs LAC - Q1 07:06.00")</f>
        <v>SAS vs LAC - Q1 07:06.00</v>
      </c>
      <c r="L3188">
        <v>12</v>
      </c>
      <c r="M3188">
        <v>32</v>
      </c>
      <c r="N3188">
        <v>116</v>
      </c>
      <c r="O3188">
        <v>32</v>
      </c>
      <c r="P3188">
        <v>116</v>
      </c>
    </row>
    <row r="3189" spans="1:16" x14ac:dyDescent="0.25">
      <c r="A3189">
        <v>22000799</v>
      </c>
      <c r="B3189">
        <v>2020</v>
      </c>
      <c r="C3189" t="s">
        <v>32</v>
      </c>
      <c r="D3189" t="s">
        <v>19</v>
      </c>
      <c r="E3189">
        <v>73</v>
      </c>
      <c r="F3189">
        <v>61</v>
      </c>
      <c r="G3189">
        <v>3</v>
      </c>
      <c r="H3189" s="1">
        <v>4.6296296296296294E-3</v>
      </c>
      <c r="I3189" t="s">
        <v>23</v>
      </c>
      <c r="J3189" s="2" t="str">
        <f>HYPERLINK("https://www.nba.com/stats/events?CFID=&amp;CFPARAMS=&amp;GameEventID=411&amp;GameID=0022000799&amp;Season=2020-21&amp;flag=1&amp;title=Leonard%2013'%20fadeaway%20Jump%20Shot%20(17%20PTS)", "13' fadeaway Jump Shot (17 PTS)")</f>
        <v>13' fadeaway Jump Shot (17 PTS)</v>
      </c>
      <c r="K3189" s="2" t="str">
        <f>HYPERLINK("https://www.nba.com/game/...-vs-...-0022000799/play-by-play?watchFullGame=true", "LAC vs HOU - Q3 06:40.00")</f>
        <v>LAC vs HOU - Q3 06:40.00</v>
      </c>
      <c r="L3189">
        <v>13.84</v>
      </c>
      <c r="M3189">
        <v>19.920000000000002</v>
      </c>
      <c r="N3189">
        <v>43.7</v>
      </c>
      <c r="O3189">
        <v>32</v>
      </c>
      <c r="P3189">
        <v>135</v>
      </c>
    </row>
    <row r="3190" spans="1:16" x14ac:dyDescent="0.25">
      <c r="A3190">
        <v>21600625</v>
      </c>
      <c r="B3190">
        <v>2016</v>
      </c>
      <c r="C3190" t="s">
        <v>32</v>
      </c>
      <c r="D3190" t="s">
        <v>29</v>
      </c>
      <c r="E3190">
        <v>115</v>
      </c>
      <c r="F3190">
        <v>105</v>
      </c>
      <c r="G3190">
        <v>4</v>
      </c>
      <c r="H3190" s="1">
        <v>1.8287037037037037E-3</v>
      </c>
      <c r="I3190" t="s">
        <v>18</v>
      </c>
      <c r="J3190" s="2" t="str">
        <f>HYPERLINK("https://www.nba.com/stats/events?CFID=&amp;CFPARAMS=&amp;GameEventID=542&amp;GameID=0021600625&amp;Season=2016-17&amp;flag=1&amp;title=Leonard%2015'%20Pullup%20Jump%20Shot%20(34%20PTS)%20(Aldridge%203%20AST)", "Leonard 15' Pullup Jump Shot (34 PTS) (Aldridge 3 AST)")</f>
        <v>Leonard 15' Pullup Jump Shot (34 PTS) (Aldridge 3 AST)</v>
      </c>
      <c r="K3190" s="2" t="str">
        <f>HYPERLINK("https://www.nba.com/game/...-vs-...-0021600625/play-by-play?watchFullGame=true", "SAS vs MIN - Q4 02:38.00")</f>
        <v>SAS vs MIN - Q4 02:38.00</v>
      </c>
      <c r="L3190">
        <v>15</v>
      </c>
      <c r="M3190">
        <v>32</v>
      </c>
      <c r="N3190">
        <v>146</v>
      </c>
      <c r="O3190">
        <v>32</v>
      </c>
      <c r="P3190">
        <v>146</v>
      </c>
    </row>
    <row r="3191" spans="1:16" x14ac:dyDescent="0.25">
      <c r="A3191">
        <v>21401098</v>
      </c>
      <c r="B3191">
        <v>2014</v>
      </c>
      <c r="C3191" t="s">
        <v>32</v>
      </c>
      <c r="D3191" t="s">
        <v>29</v>
      </c>
      <c r="E3191">
        <v>80</v>
      </c>
      <c r="F3191">
        <v>71</v>
      </c>
      <c r="G3191">
        <v>4</v>
      </c>
      <c r="H3191" s="1">
        <v>6.2962962962962964E-3</v>
      </c>
      <c r="I3191" t="s">
        <v>18</v>
      </c>
      <c r="J3191" s="2" t="str">
        <f>HYPERLINK("https://www.nba.com/stats/events?CFID=&amp;CFPARAMS=&amp;GameEventID=376&amp;GameID=0021401098&amp;Season=2014-15&amp;flag=1&amp;title=Leonard%2015'%20Pullup%20Jump%20Shot%20(20%20PTS)%20(Green%205%20AST)", "Leonard 15' Pullup Jump Shot (20 PTS) (Green 5 AST)")</f>
        <v>Leonard 15' Pullup Jump Shot (20 PTS) (Green 5 AST)</v>
      </c>
      <c r="K3191" s="2" t="str">
        <f>HYPERLINK("https://www.nba.com/game/...-vs-...-0021401098/play-by-play?watchFullGame=true", "SAS vs MEM - Q4 09:04.00")</f>
        <v>SAS vs MEM - Q4 09:04.00</v>
      </c>
      <c r="L3191">
        <v>15</v>
      </c>
      <c r="M3191">
        <v>32</v>
      </c>
      <c r="N3191">
        <v>151</v>
      </c>
      <c r="O3191">
        <v>32</v>
      </c>
      <c r="P3191">
        <v>151</v>
      </c>
    </row>
    <row r="3192" spans="1:16" x14ac:dyDescent="0.25">
      <c r="A3192">
        <v>21600016</v>
      </c>
      <c r="B3192">
        <v>2016</v>
      </c>
      <c r="C3192" t="s">
        <v>32</v>
      </c>
      <c r="D3192" t="s">
        <v>29</v>
      </c>
      <c r="E3192">
        <v>94</v>
      </c>
      <c r="F3192">
        <v>102</v>
      </c>
      <c r="G3192">
        <v>4</v>
      </c>
      <c r="H3192" s="1">
        <v>3.2986111111111112E-4</v>
      </c>
      <c r="I3192" t="s">
        <v>18</v>
      </c>
      <c r="J3192" s="2" t="str">
        <f>HYPERLINK("https://www.nba.com/stats/events?CFID=&amp;CFPARAMS=&amp;GameEventID=548&amp;GameID=0021600016&amp;Season=2016-17&amp;flag=1&amp;title=Leonard%2022'%20Pullup%20Jump%20Shot%20(30%20PTS)", "Leonard 22' Pullup Jump Shot (30 PTS)")</f>
        <v>Leonard 22' Pullup Jump Shot (30 PTS)</v>
      </c>
      <c r="K3192" s="2" t="str">
        <f>HYPERLINK("https://www.nba.com/game/...-vs-...-0021600016/play-by-play?watchFullGame=true", "SAS vs SAC - Q4 00:28.50")</f>
        <v>SAS vs SAC - Q4 00:28.50</v>
      </c>
      <c r="L3192">
        <v>22</v>
      </c>
      <c r="M3192">
        <v>32</v>
      </c>
      <c r="N3192">
        <v>219</v>
      </c>
      <c r="O3192">
        <v>32</v>
      </c>
      <c r="P3192">
        <v>219</v>
      </c>
    </row>
    <row r="3193" spans="1:16" x14ac:dyDescent="0.25">
      <c r="A3193">
        <v>21500872</v>
      </c>
      <c r="B3193">
        <v>2015</v>
      </c>
      <c r="C3193" t="s">
        <v>16</v>
      </c>
      <c r="D3193" t="s">
        <v>29</v>
      </c>
      <c r="E3193">
        <v>31</v>
      </c>
      <c r="F3193">
        <v>51</v>
      </c>
      <c r="G3193">
        <v>2</v>
      </c>
      <c r="H3193" s="1">
        <v>4.5486111111111107E-4</v>
      </c>
      <c r="I3193" t="s">
        <v>18</v>
      </c>
      <c r="J3193" s="2" t="str">
        <f>HYPERLINK("https://www.nba.com/stats/events?CFID=&amp;CFPARAMS=&amp;GameEventID=220&amp;GameID=0021500872&amp;Season=2015-16&amp;flag=1&amp;title=Leonard%2024'%203PT%20Pullup%20Jump%20Shot%20(15%20PTS)", "Leonard 24' 3PT Pullup Jump Shot (15 PTS)")</f>
        <v>Leonard 24' 3PT Pullup Jump Shot (15 PTS)</v>
      </c>
      <c r="K3193" s="2" t="str">
        <f>HYPERLINK("https://www.nba.com/game/...-vs-...-0021500872/play-by-play?watchFullGame=true", "SAS vs HOU - Q2 00:39.30")</f>
        <v>SAS vs HOU - Q2 00:39.30</v>
      </c>
      <c r="L3193">
        <v>24</v>
      </c>
      <c r="M3193">
        <v>32</v>
      </c>
      <c r="N3193">
        <v>242</v>
      </c>
      <c r="O3193">
        <v>32</v>
      </c>
      <c r="P3193">
        <v>242</v>
      </c>
    </row>
    <row r="3194" spans="1:16" x14ac:dyDescent="0.25">
      <c r="A3194">
        <v>21600454</v>
      </c>
      <c r="B3194">
        <v>2016</v>
      </c>
      <c r="C3194" t="s">
        <v>16</v>
      </c>
      <c r="D3194" t="s">
        <v>29</v>
      </c>
      <c r="E3194">
        <v>84</v>
      </c>
      <c r="F3194">
        <v>103</v>
      </c>
      <c r="G3194">
        <v>4</v>
      </c>
      <c r="H3194" s="1">
        <v>3.1018518518518517E-3</v>
      </c>
      <c r="I3194" t="s">
        <v>18</v>
      </c>
      <c r="J3194" s="2" t="str">
        <f>HYPERLINK("https://www.nba.com/stats/events?CFID=&amp;CFPARAMS=&amp;GameEventID=469&amp;GameID=0021600454&amp;Season=2016-17&amp;flag=1&amp;title=Leonard%2025'%203PT%20Pullup%20Jump%20Shot%20(31%20PTS)", "Leonard 25' 3PT Pullup Jump Shot (31 PTS)")</f>
        <v>Leonard 25' 3PT Pullup Jump Shot (31 PTS)</v>
      </c>
      <c r="K3194" s="2" t="str">
        <f>HYPERLINK("https://www.nba.com/game/...-vs-...-0021600454/play-by-play?watchFullGame=true", "SAS vs POR - Q4 04:28.00")</f>
        <v>SAS vs POR - Q4 04:28.00</v>
      </c>
      <c r="L3194">
        <v>25</v>
      </c>
      <c r="M3194">
        <v>32</v>
      </c>
      <c r="N3194">
        <v>244</v>
      </c>
      <c r="O3194">
        <v>32</v>
      </c>
      <c r="P3194">
        <v>244</v>
      </c>
    </row>
    <row r="3195" spans="1:16" x14ac:dyDescent="0.25">
      <c r="A3195">
        <v>22000142</v>
      </c>
      <c r="B3195">
        <v>2020</v>
      </c>
      <c r="C3195" t="s">
        <v>16</v>
      </c>
      <c r="D3195" t="s">
        <v>19</v>
      </c>
      <c r="E3195">
        <v>70</v>
      </c>
      <c r="F3195">
        <v>74</v>
      </c>
      <c r="G3195">
        <v>3</v>
      </c>
      <c r="H3195" s="1">
        <v>5.6018518518518518E-3</v>
      </c>
      <c r="I3195" t="s">
        <v>23</v>
      </c>
      <c r="J3195" s="2" t="str">
        <f>HYPERLINK("https://www.nba.com/stats/events?CFID=&amp;CFPARAMS=&amp;GameEventID=365&amp;GameID=0022000142&amp;Season=2020-21&amp;flag=1&amp;title=Leonard%2026'%203PT%20%20(20%20PTS)%20(P.%20George%207%20AST)", "26' 3PT  (20 PTS) (P. George 7 AST)")</f>
        <v>26' 3PT  (20 PTS) (P. George 7 AST)</v>
      </c>
      <c r="K3195" s="2" t="str">
        <f>HYPERLINK("https://www.nba.com/game/...-vs-...-0022000142/play-by-play?watchFullGame=true", "LAC vs CHI - Q3 08:04.00")</f>
        <v>LAC vs CHI - Q3 08:04.00</v>
      </c>
      <c r="L3195">
        <v>26.37</v>
      </c>
      <c r="M3195">
        <v>66.569999999999993</v>
      </c>
      <c r="N3195">
        <v>56.44</v>
      </c>
      <c r="O3195">
        <v>32</v>
      </c>
      <c r="P3195">
        <v>262</v>
      </c>
    </row>
    <row r="3196" spans="1:16" x14ac:dyDescent="0.25">
      <c r="A3196">
        <v>21500860</v>
      </c>
      <c r="B3196">
        <v>2015</v>
      </c>
      <c r="C3196" t="s">
        <v>32</v>
      </c>
      <c r="D3196" t="s">
        <v>77</v>
      </c>
      <c r="E3196">
        <v>0</v>
      </c>
      <c r="F3196">
        <v>2</v>
      </c>
      <c r="G3196">
        <v>1</v>
      </c>
      <c r="H3196" s="1">
        <v>7.8009259259259256E-3</v>
      </c>
      <c r="I3196" t="s">
        <v>18</v>
      </c>
      <c r="J3196" s="2" t="str">
        <f>HYPERLINK("https://www.nba.com/stats/events?CFID=&amp;CFPARAMS=&amp;GameEventID=5&amp;GameID=0021500860&amp;Season=2015-16&amp;flag=1&amp;title=Leonard%203'%20Finger%20Roll%20Layup%20(2%20PTS)", "Leonard 3' Finger Roll Layup (2 PTS)")</f>
        <v>Leonard 3' Finger Roll Layup (2 PTS)</v>
      </c>
      <c r="K3196" s="2" t="str">
        <f>HYPERLINK("https://www.nba.com/game/...-vs-...-0021500860/play-by-play?watchFullGame=true", "SAS vs UTA - Q1 11:14.00")</f>
        <v>SAS vs UTA - Q1 11:14.00</v>
      </c>
      <c r="L3196">
        <v>3</v>
      </c>
      <c r="M3196">
        <v>33</v>
      </c>
      <c r="N3196">
        <v>-1</v>
      </c>
      <c r="O3196">
        <v>33</v>
      </c>
      <c r="P3196">
        <v>-1</v>
      </c>
    </row>
    <row r="3197" spans="1:16" x14ac:dyDescent="0.25">
      <c r="A3197">
        <v>22400659</v>
      </c>
      <c r="B3197">
        <v>2024</v>
      </c>
      <c r="C3197" t="s">
        <v>32</v>
      </c>
      <c r="D3197" t="s">
        <v>48</v>
      </c>
      <c r="E3197">
        <v>66</v>
      </c>
      <c r="F3197">
        <v>67</v>
      </c>
      <c r="G3197">
        <v>3</v>
      </c>
      <c r="H3197" s="1">
        <v>3.8078703703703703E-3</v>
      </c>
      <c r="I3197" t="s">
        <v>23</v>
      </c>
      <c r="J3197" s="2" t="str">
        <f>HYPERLINK("https://www.nba.com/stats/events?CFID=&amp;CFPARAMS=&amp;GameEventID=373&amp;GameID=0022400659&amp;Season=2024-25&amp;flag=1&amp;title=Leonard%20running%20DUNK%20(11%20PTS)%20(J.%20Harden%207%20AST)", "Running DUNK (11 PTS) (J. Harden 7 AST)")</f>
        <v>Running DUNK (11 PTS) (J. Harden 7 AST)</v>
      </c>
      <c r="K3197" s="2" t="str">
        <f>HYPERLINK("https://www.nba.com/game/...-vs-...-0022400659/play-by-play?watchFullGame=true", "LAC vs PHX - Q3 05:29.00")</f>
        <v>LAC vs PHX - Q3 05:29.00</v>
      </c>
      <c r="L3197">
        <v>3.4</v>
      </c>
      <c r="M3197">
        <v>6.39</v>
      </c>
      <c r="N3197">
        <v>43.38</v>
      </c>
      <c r="O3197">
        <v>33</v>
      </c>
      <c r="P3197">
        <v>8</v>
      </c>
    </row>
    <row r="3198" spans="1:16" x14ac:dyDescent="0.25">
      <c r="A3198">
        <v>22300688</v>
      </c>
      <c r="B3198">
        <v>2023</v>
      </c>
      <c r="C3198" t="s">
        <v>32</v>
      </c>
      <c r="D3198" t="s">
        <v>47</v>
      </c>
      <c r="E3198">
        <v>22</v>
      </c>
      <c r="F3198">
        <v>10</v>
      </c>
      <c r="G3198">
        <v>1</v>
      </c>
      <c r="H3198" s="1">
        <v>3.2870370370370371E-3</v>
      </c>
      <c r="I3198" t="s">
        <v>23</v>
      </c>
      <c r="J3198" s="2" t="str">
        <f>HYPERLINK("https://www.nba.com/stats/events?CFID=&amp;CFPARAMS=&amp;GameEventID=82&amp;GameID=0022300688&amp;Season=2023-24&amp;flag=1&amp;title=Leonard%20driving%20Layup%20(4%20PTS)%20(R.%20Westbrook%202%20AST)", "Driving Layup (4 PTS) (R. Westbrook 2 AST)")</f>
        <v>Driving Layup (4 PTS) (R. Westbrook 2 AST)</v>
      </c>
      <c r="K3198" s="2" t="str">
        <f>HYPERLINK("https://www.nba.com/game/...-vs-...-0022300688/play-by-play?watchFullGame=true", "LAC vs DET - Q1 04:44.00")</f>
        <v>LAC vs DET - Q1 04:44.00</v>
      </c>
      <c r="L3198">
        <v>3.49</v>
      </c>
      <c r="M3198">
        <v>93.25</v>
      </c>
      <c r="N3198">
        <v>56.62</v>
      </c>
      <c r="O3198">
        <v>33</v>
      </c>
      <c r="P3198">
        <v>11</v>
      </c>
    </row>
    <row r="3199" spans="1:16" x14ac:dyDescent="0.25">
      <c r="A3199">
        <v>22300085</v>
      </c>
      <c r="B3199">
        <v>2023</v>
      </c>
      <c r="C3199" t="s">
        <v>32</v>
      </c>
      <c r="D3199" t="s">
        <v>47</v>
      </c>
      <c r="E3199">
        <v>10</v>
      </c>
      <c r="F3199">
        <v>6</v>
      </c>
      <c r="G3199">
        <v>1</v>
      </c>
      <c r="H3199" s="1">
        <v>6.0648148148148145E-3</v>
      </c>
      <c r="I3199" t="s">
        <v>23</v>
      </c>
      <c r="J3199" s="2" t="str">
        <f>HYPERLINK("https://www.nba.com/stats/events?CFID=&amp;CFPARAMS=&amp;GameEventID=40&amp;GameID=0022300085&amp;Season=2023-24&amp;flag=1&amp;title=Leonard%20driving%20Layup%20(2%20PTS)", "Driving Layup (2 PTS)")</f>
        <v>Driving Layup (2 PTS)</v>
      </c>
      <c r="K3199" s="2" t="str">
        <f>HYPERLINK("https://www.nba.com/game/...-vs-...-0022300085/play-by-play?watchFullGame=true", "LAC vs UTA - Q1 08:44.00")</f>
        <v>LAC vs UTA - Q1 08:44.00</v>
      </c>
      <c r="L3199">
        <v>3.53</v>
      </c>
      <c r="M3199">
        <v>93.12</v>
      </c>
      <c r="N3199">
        <v>56.62</v>
      </c>
      <c r="O3199">
        <v>33</v>
      </c>
      <c r="P3199">
        <v>12</v>
      </c>
    </row>
    <row r="3200" spans="1:16" x14ac:dyDescent="0.25">
      <c r="A3200">
        <v>22000105</v>
      </c>
      <c r="B3200">
        <v>2020</v>
      </c>
      <c r="C3200" t="s">
        <v>32</v>
      </c>
      <c r="D3200" t="s">
        <v>19</v>
      </c>
      <c r="E3200">
        <v>38</v>
      </c>
      <c r="F3200">
        <v>60</v>
      </c>
      <c r="G3200">
        <v>2</v>
      </c>
      <c r="H3200" s="1">
        <v>2.476851851851852E-3</v>
      </c>
      <c r="I3200" t="s">
        <v>23</v>
      </c>
      <c r="J3200" s="2" t="str">
        <f>HYPERLINK("https://www.nba.com/stats/events?CFID=&amp;CFPARAMS=&amp;GameEventID=271&amp;GameID=0022000105&amp;Season=2020-21&amp;flag=1&amp;title=Leonard%20fadeaway%20Jump%20Shot%20(11%20PTS)%20(Ibaka%201%20AST)", "Fadeaway Jump Shot (11 PTS) (S. Ibaka 1 AST)")</f>
        <v>Fadeaway Jump Shot (11 PTS) (S. Ibaka 1 AST)</v>
      </c>
      <c r="K3200" s="2" t="str">
        <f>HYPERLINK("https://www.nba.com/game/...-vs-...-0022000105/play-by-play?watchFullGame=true", "LAC vs SAS - Q2 03:34.00")</f>
        <v>LAC vs SAS - Q2 03:34.00</v>
      </c>
      <c r="L3200">
        <v>4.03</v>
      </c>
      <c r="M3200">
        <v>8.1</v>
      </c>
      <c r="N3200">
        <v>43.45</v>
      </c>
      <c r="O3200">
        <v>33</v>
      </c>
      <c r="P3200">
        <v>24</v>
      </c>
    </row>
    <row r="3201" spans="1:16" x14ac:dyDescent="0.25">
      <c r="A3201">
        <v>41800215</v>
      </c>
      <c r="B3201" t="s">
        <v>20</v>
      </c>
      <c r="C3201" t="s">
        <v>32</v>
      </c>
      <c r="D3201" t="s">
        <v>35</v>
      </c>
      <c r="E3201">
        <v>70</v>
      </c>
      <c r="F3201">
        <v>55</v>
      </c>
      <c r="G3201">
        <v>3</v>
      </c>
      <c r="H3201" s="1">
        <v>5.1967592592592595E-3</v>
      </c>
      <c r="I3201" t="s">
        <v>21</v>
      </c>
      <c r="J3201" s="2" t="str">
        <f>HYPERLINK("https://www.nba.com/stats/events?CFID=&amp;CFPARAMS=&amp;GameEventID=402&amp;GameID=0041800215&amp;Season=2018-19&amp;flag=1&amp;title=Leonard%204'%20Driving%20Floating%20Jump%20Shot%20(17%20PTS)", "Leonard 4' Driving Floating Jump Shot (17 PTS)")</f>
        <v>Leonard 4' Driving Floating Jump Shot (17 PTS)</v>
      </c>
      <c r="K3201" s="2" t="str">
        <f>HYPERLINK("https://www.nba.com/game/...-vs-...-0041800215/play-by-play?watchFullGame=true", "TOR vs PHI - Q3 07:29.00")</f>
        <v>TOR vs PHI - Q3 07:29.00</v>
      </c>
      <c r="L3201">
        <v>4</v>
      </c>
      <c r="M3201">
        <v>33</v>
      </c>
      <c r="N3201">
        <v>27</v>
      </c>
      <c r="O3201">
        <v>33</v>
      </c>
      <c r="P3201">
        <v>27</v>
      </c>
    </row>
    <row r="3202" spans="1:16" x14ac:dyDescent="0.25">
      <c r="A3202">
        <v>42200172</v>
      </c>
      <c r="B3202" t="s">
        <v>86</v>
      </c>
      <c r="C3202" t="s">
        <v>16</v>
      </c>
      <c r="D3202" t="s">
        <v>19</v>
      </c>
      <c r="E3202">
        <v>115</v>
      </c>
      <c r="F3202">
        <v>107</v>
      </c>
      <c r="G3202">
        <v>4</v>
      </c>
      <c r="H3202" s="1">
        <v>2.685185185185185E-3</v>
      </c>
      <c r="I3202" t="s">
        <v>23</v>
      </c>
      <c r="J3202" s="2" t="str">
        <f>HYPERLINK("https://www.nba.com/stats/events?CFID=&amp;CFPARAMS=&amp;GameEventID=578&amp;GameID=0042200172&amp;Season=2022-23&amp;flag=1&amp;title=Leonard%2026'%203PT%20pullup%20(31%20PTS)", "26' 3PT pullup (31 PTS)")</f>
        <v>26' 3PT pullup (31 PTS)</v>
      </c>
      <c r="K3202" s="2" t="str">
        <f>HYPERLINK("https://www.nba.com/game/...-vs-...-0042200172/play-by-play?watchFullGame=true", "LAC vs PHX - Q4 03:52.00")</f>
        <v>LAC vs PHX - Q4 03:52.00</v>
      </c>
      <c r="L3202">
        <v>26.75</v>
      </c>
      <c r="M3202">
        <v>33.85</v>
      </c>
      <c r="N3202">
        <v>43.87</v>
      </c>
      <c r="O3202">
        <v>33</v>
      </c>
      <c r="P3202">
        <v>43</v>
      </c>
    </row>
    <row r="3203" spans="1:16" x14ac:dyDescent="0.25">
      <c r="A3203">
        <v>21900589</v>
      </c>
      <c r="B3203">
        <v>2019</v>
      </c>
      <c r="C3203" t="s">
        <v>32</v>
      </c>
      <c r="D3203" t="s">
        <v>22</v>
      </c>
      <c r="E3203">
        <v>50</v>
      </c>
      <c r="F3203">
        <v>42</v>
      </c>
      <c r="G3203">
        <v>2</v>
      </c>
      <c r="H3203" s="1">
        <v>4.1550925925925922E-3</v>
      </c>
      <c r="I3203" t="s">
        <v>23</v>
      </c>
      <c r="J3203" s="2" t="str">
        <f>HYPERLINK("https://www.nba.com/stats/events?CFID=&amp;CFPARAMS=&amp;GameEventID=236&amp;GameID=0021900589&amp;Season=2019-20&amp;flag=1&amp;title=Leonard%208'%20jumpshot%20(8%20PTS)%20(P.%20Beverley%205%20AST)", "8' jumpshot (8 PTS) (P. Beverley 5 AST)")</f>
        <v>8' jumpshot (8 PTS) (P. Beverley 5 AST)</v>
      </c>
      <c r="K3203" s="2" t="str">
        <f>HYPERLINK("https://www.nba.com/game/...-vs-...-0021900589/play-by-play?watchFullGame=true", "LAC vs DEN - Q2 05:59.00")</f>
        <v>LAC vs DEN - Q2 05:59.00</v>
      </c>
      <c r="L3203">
        <v>8.2799999999999994</v>
      </c>
      <c r="M3203">
        <v>13.09</v>
      </c>
      <c r="N3203">
        <v>43.45</v>
      </c>
      <c r="O3203">
        <v>33</v>
      </c>
      <c r="P3203">
        <v>71</v>
      </c>
    </row>
    <row r="3204" spans="1:16" x14ac:dyDescent="0.25">
      <c r="A3204">
        <v>21501001</v>
      </c>
      <c r="B3204">
        <v>2015</v>
      </c>
      <c r="C3204" t="s">
        <v>32</v>
      </c>
      <c r="D3204" t="s">
        <v>29</v>
      </c>
      <c r="E3204">
        <v>6</v>
      </c>
      <c r="F3204">
        <v>6</v>
      </c>
      <c r="G3204">
        <v>1</v>
      </c>
      <c r="H3204" s="1">
        <v>6.2037037037037035E-3</v>
      </c>
      <c r="I3204" t="s">
        <v>18</v>
      </c>
      <c r="J3204" s="2" t="str">
        <f>HYPERLINK("https://www.nba.com/stats/events?CFID=&amp;CFPARAMS=&amp;GameEventID=24&amp;GameID=0021501001&amp;Season=2015-16&amp;flag=1&amp;title=Leonard%208'%20Pullup%20Jump%20Shot%20(2%20PTS)%20(Parker%201%20AST)", "Leonard 8' Pullup Jump Shot (2 PTS) (Parker 1 AST)")</f>
        <v>Leonard 8' Pullup Jump Shot (2 PTS) (Parker 1 AST)</v>
      </c>
      <c r="K3204" s="2" t="str">
        <f>HYPERLINK("https://www.nba.com/game/...-vs-...-0021501001/play-by-play?watchFullGame=true", "SAS vs LAC - Q1 08:56.00")</f>
        <v>SAS vs LAC - Q1 08:56.00</v>
      </c>
      <c r="L3204">
        <v>8</v>
      </c>
      <c r="M3204">
        <v>33</v>
      </c>
      <c r="N3204">
        <v>77</v>
      </c>
      <c r="O3204">
        <v>33</v>
      </c>
      <c r="P3204">
        <v>77</v>
      </c>
    </row>
    <row r="3205" spans="1:16" x14ac:dyDescent="0.25">
      <c r="A3205">
        <v>22000324</v>
      </c>
      <c r="B3205">
        <v>2020</v>
      </c>
      <c r="C3205" t="s">
        <v>32</v>
      </c>
      <c r="D3205" t="s">
        <v>19</v>
      </c>
      <c r="E3205">
        <v>2</v>
      </c>
      <c r="F3205">
        <v>10</v>
      </c>
      <c r="G3205">
        <v>1</v>
      </c>
      <c r="H3205" s="1">
        <v>6.2615740740740739E-3</v>
      </c>
      <c r="I3205" t="s">
        <v>23</v>
      </c>
      <c r="J3205" s="2" t="str">
        <f>HYPERLINK("https://www.nba.com/stats/events?CFID=&amp;CFPARAMS=&amp;GameEventID=33&amp;GameID=0022000324&amp;Season=2020-21&amp;flag=1&amp;title=Leonard%208'%20turnaround%20Jump%20Shot%20(4%20PTS)", "8' turnaround Jump Shot (4 PTS)")</f>
        <v>8' turnaround Jump Shot (4 PTS)</v>
      </c>
      <c r="K3205" s="2" t="str">
        <f>HYPERLINK("https://www.nba.com/game/...-vs-...-0022000324/play-by-play?watchFullGame=true", "LAC vs BKN - Q1 09:01.00")</f>
        <v>LAC vs BKN - Q1 09:01.00</v>
      </c>
      <c r="L3205">
        <v>8.4600000000000009</v>
      </c>
      <c r="M3205">
        <v>13.88</v>
      </c>
      <c r="N3205">
        <v>43.45</v>
      </c>
      <c r="O3205">
        <v>33</v>
      </c>
      <c r="P3205">
        <v>78</v>
      </c>
    </row>
    <row r="3206" spans="1:16" x14ac:dyDescent="0.25">
      <c r="A3206">
        <v>21600994</v>
      </c>
      <c r="B3206">
        <v>2016</v>
      </c>
      <c r="C3206" t="s">
        <v>32</v>
      </c>
      <c r="D3206" t="s">
        <v>29</v>
      </c>
      <c r="E3206">
        <v>71</v>
      </c>
      <c r="F3206">
        <v>61</v>
      </c>
      <c r="G3206">
        <v>3</v>
      </c>
      <c r="H3206" s="1">
        <v>3.4027777777777776E-3</v>
      </c>
      <c r="I3206" t="s">
        <v>18</v>
      </c>
      <c r="J3206" s="2" t="str">
        <f>HYPERLINK("https://www.nba.com/stats/events?CFID=&amp;CFPARAMS=&amp;GameEventID=344&amp;GameID=0021600994&amp;Season=2016-17&amp;flag=1&amp;title=Leonard%209'%20Pullup%20Jump%20Shot%20(23%20PTS)%20(Mills%207%20AST)", "Leonard 9' Pullup Jump Shot (23 PTS) (Mills 7 AST)")</f>
        <v>Leonard 9' Pullup Jump Shot (23 PTS) (Mills 7 AST)</v>
      </c>
      <c r="K3206" s="2" t="str">
        <f>HYPERLINK("https://www.nba.com/game/...-vs-...-0021600994/play-by-play?watchFullGame=true", "SAS vs ATL - Q3 04:54.00")</f>
        <v>SAS vs ATL - Q3 04:54.00</v>
      </c>
      <c r="L3206">
        <v>9</v>
      </c>
      <c r="M3206">
        <v>33</v>
      </c>
      <c r="N3206">
        <v>85</v>
      </c>
      <c r="O3206">
        <v>33</v>
      </c>
      <c r="P3206">
        <v>85</v>
      </c>
    </row>
    <row r="3207" spans="1:16" x14ac:dyDescent="0.25">
      <c r="A3207">
        <v>22300257</v>
      </c>
      <c r="B3207">
        <v>2023</v>
      </c>
      <c r="C3207" t="s">
        <v>32</v>
      </c>
      <c r="D3207" t="s">
        <v>19</v>
      </c>
      <c r="E3207">
        <v>15</v>
      </c>
      <c r="F3207">
        <v>13</v>
      </c>
      <c r="G3207">
        <v>1</v>
      </c>
      <c r="H3207" s="1">
        <v>4.2708333333333331E-3</v>
      </c>
      <c r="I3207" t="s">
        <v>23</v>
      </c>
      <c r="J3207" s="2" t="str">
        <f>HYPERLINK("https://www.nba.com/stats/events?CFID=&amp;CFPARAMS=&amp;GameEventID=79&amp;GameID=0022300257&amp;Season=2023-24&amp;flag=1&amp;title=Leonard%209'%20fadeaway%20Jump%20Shot%20(4%20PTS)", "9' fadeaway Jump Shot (4 PTS)")</f>
        <v>9' fadeaway Jump Shot (4 PTS)</v>
      </c>
      <c r="K3207" s="2" t="str">
        <f>HYPERLINK("https://www.nba.com/game/...-vs-...-0022300257/play-by-play?watchFullGame=true", "LAC vs DEN - Q1 06:09.00")</f>
        <v>LAC vs DEN - Q1 06:09.00</v>
      </c>
      <c r="L3207">
        <v>9.31</v>
      </c>
      <c r="M3207">
        <v>85.15</v>
      </c>
      <c r="N3207">
        <v>56.59</v>
      </c>
      <c r="O3207">
        <v>33</v>
      </c>
      <c r="P3207">
        <v>87</v>
      </c>
    </row>
    <row r="3208" spans="1:16" x14ac:dyDescent="0.25">
      <c r="A3208">
        <v>22000720</v>
      </c>
      <c r="B3208">
        <v>2020</v>
      </c>
      <c r="C3208" t="s">
        <v>32</v>
      </c>
      <c r="D3208" t="s">
        <v>19</v>
      </c>
      <c r="E3208">
        <v>44</v>
      </c>
      <c r="F3208">
        <v>28</v>
      </c>
      <c r="G3208">
        <v>2</v>
      </c>
      <c r="H3208" s="1">
        <v>2.627314814814815E-3</v>
      </c>
      <c r="I3208" t="s">
        <v>23</v>
      </c>
      <c r="J3208" s="2" t="str">
        <f>HYPERLINK("https://www.nba.com/stats/events?CFID=&amp;CFPARAMS=&amp;GameEventID=232&amp;GameID=0022000720&amp;Season=2020-21&amp;flag=1&amp;title=Leonard%209'%20turnaround%20fadeaway%20Jump%20Shot%20(11%20PTS)", "9' turnaround fadeaway Jump Shot (11 PTS)")</f>
        <v>9' turnaround fadeaway Jump Shot (11 PTS)</v>
      </c>
      <c r="K3208" s="2" t="str">
        <f>HYPERLINK("https://www.nba.com/game/...-vs-...-0022000720/play-by-play?watchFullGame=true", "LAC vs ORL - Q2 03:47.00")</f>
        <v>LAC vs ORL - Q2 03:47.00</v>
      </c>
      <c r="L3208">
        <v>9.84</v>
      </c>
      <c r="M3208">
        <v>15.46</v>
      </c>
      <c r="N3208">
        <v>43.45</v>
      </c>
      <c r="O3208">
        <v>33</v>
      </c>
      <c r="P3208">
        <v>93</v>
      </c>
    </row>
    <row r="3209" spans="1:16" x14ac:dyDescent="0.25">
      <c r="A3209">
        <v>22200829</v>
      </c>
      <c r="B3209">
        <v>2022</v>
      </c>
      <c r="C3209" t="s">
        <v>32</v>
      </c>
      <c r="D3209" t="s">
        <v>19</v>
      </c>
      <c r="E3209">
        <v>72</v>
      </c>
      <c r="F3209">
        <v>75</v>
      </c>
      <c r="G3209">
        <v>3</v>
      </c>
      <c r="H3209" s="1">
        <v>3.1481481481481482E-3</v>
      </c>
      <c r="I3209" t="s">
        <v>23</v>
      </c>
      <c r="J3209" s="2" t="str">
        <f>HYPERLINK("https://www.nba.com/stats/events?CFID=&amp;CFPARAMS=&amp;GameEventID=390&amp;GameID=0022200829&amp;Season=2022-23&amp;flag=1&amp;title=Leonard%2010'%20pullup%20Jump%20Shot%20(11%20PTS)%20(P.%20George%204%20AST)", "10' pullup Jump Shot (11 PTS) (P. George 4 AST)")</f>
        <v>10' pullup Jump Shot (11 PTS) (P. George 4 AST)</v>
      </c>
      <c r="K3209" s="2" t="str">
        <f>HYPERLINK("https://www.nba.com/game/...-vs-...-0022200829/play-by-play?watchFullGame=true", "LAC vs DAL - Q3 04:32.00")</f>
        <v>LAC vs DAL - Q3 04:32.00</v>
      </c>
      <c r="L3209">
        <v>10.17</v>
      </c>
      <c r="M3209">
        <v>15.82</v>
      </c>
      <c r="N3209">
        <v>43.38</v>
      </c>
      <c r="O3209">
        <v>33</v>
      </c>
      <c r="P3209">
        <v>96</v>
      </c>
    </row>
    <row r="3210" spans="1:16" x14ac:dyDescent="0.25">
      <c r="A3210">
        <v>21900276</v>
      </c>
      <c r="B3210">
        <v>2019</v>
      </c>
      <c r="C3210" t="s">
        <v>32</v>
      </c>
      <c r="D3210" t="s">
        <v>22</v>
      </c>
      <c r="E3210">
        <v>51</v>
      </c>
      <c r="F3210">
        <v>51</v>
      </c>
      <c r="G3210">
        <v>2</v>
      </c>
      <c r="H3210" s="1">
        <v>1.7476851851851852E-3</v>
      </c>
      <c r="I3210" t="s">
        <v>23</v>
      </c>
      <c r="J3210" s="2" t="str">
        <f>HYPERLINK("https://www.nba.com/stats/events?CFID=&amp;CFPARAMS=&amp;GameEventID=285&amp;GameID=0021900276&amp;Season=2019-20&amp;flag=1&amp;title=Leonard%2011'%20jumpshot%20(11%20PTS)", "11' jumpshot (11 PTS)")</f>
        <v>11' jumpshot (11 PTS)</v>
      </c>
      <c r="K3210" s="2" t="str">
        <f>HYPERLINK("https://www.nba.com/game/...-vs-...-0021900276/play-by-play?watchFullGame=true", "LAC vs SAS - Q2 02:31.00")</f>
        <v>LAC vs SAS - Q2 02:31.00</v>
      </c>
      <c r="L3210">
        <v>10.71</v>
      </c>
      <c r="M3210">
        <v>15.85</v>
      </c>
      <c r="N3210">
        <v>43.45</v>
      </c>
      <c r="O3210">
        <v>33</v>
      </c>
      <c r="P3210">
        <v>96</v>
      </c>
    </row>
    <row r="3211" spans="1:16" x14ac:dyDescent="0.25">
      <c r="A3211">
        <v>21600053</v>
      </c>
      <c r="B3211">
        <v>2016</v>
      </c>
      <c r="C3211" t="s">
        <v>32</v>
      </c>
      <c r="D3211" t="s">
        <v>37</v>
      </c>
      <c r="E3211">
        <v>52</v>
      </c>
      <c r="F3211">
        <v>54</v>
      </c>
      <c r="G3211">
        <v>3</v>
      </c>
      <c r="H3211" s="1">
        <v>7.858796296296296E-3</v>
      </c>
      <c r="I3211" t="s">
        <v>18</v>
      </c>
      <c r="J3211" s="2" t="str">
        <f>HYPERLINK("https://www.nba.com/stats/events?CFID=&amp;CFPARAMS=&amp;GameEventID=242&amp;GameID=0021600053&amp;Season=2016-17&amp;flag=1&amp;title=Leonard%2010'%20Floating%20Jump%20Shot%20(20%20PTS)", "Leonard 10' Floating Jump Shot (20 PTS)")</f>
        <v>Leonard 10' Floating Jump Shot (20 PTS)</v>
      </c>
      <c r="K3211" s="2" t="str">
        <f>HYPERLINK("https://www.nba.com/game/...-vs-...-0021600053/play-by-play?watchFullGame=true", "SAS vs UTA - Q3 11:19.00")</f>
        <v>SAS vs UTA - Q3 11:19.00</v>
      </c>
      <c r="L3211">
        <v>10</v>
      </c>
      <c r="M3211">
        <v>33</v>
      </c>
      <c r="N3211">
        <v>97</v>
      </c>
      <c r="O3211">
        <v>33</v>
      </c>
      <c r="P3211">
        <v>97</v>
      </c>
    </row>
    <row r="3212" spans="1:16" x14ac:dyDescent="0.25">
      <c r="A3212">
        <v>21500416</v>
      </c>
      <c r="B3212">
        <v>2015</v>
      </c>
      <c r="C3212" t="s">
        <v>32</v>
      </c>
      <c r="D3212" t="s">
        <v>29</v>
      </c>
      <c r="E3212">
        <v>83</v>
      </c>
      <c r="F3212">
        <v>73</v>
      </c>
      <c r="G3212">
        <v>4</v>
      </c>
      <c r="H3212" s="1">
        <v>7.2453703703703708E-3</v>
      </c>
      <c r="I3212" t="s">
        <v>18</v>
      </c>
      <c r="J3212" s="2" t="str">
        <f>HYPERLINK("https://www.nba.com/stats/events?CFID=&amp;CFPARAMS=&amp;GameEventID=364&amp;GameID=0021500416&amp;Season=2015-16&amp;flag=1&amp;title=Leonard%2011'%20Pullup%20Jump%20Shot%20(23%20PTS)", "Leonard 11' Pullup Jump Shot (23 PTS)")</f>
        <v>Leonard 11' Pullup Jump Shot (23 PTS)</v>
      </c>
      <c r="K3212" s="2" t="str">
        <f>HYPERLINK("https://www.nba.com/game/...-vs-...-0021500416/play-by-play?watchFullGame=true", "SAS vs IND - Q4 10:26.00")</f>
        <v>SAS vs IND - Q4 10:26.00</v>
      </c>
      <c r="L3212">
        <v>11</v>
      </c>
      <c r="M3212">
        <v>33</v>
      </c>
      <c r="N3212">
        <v>100</v>
      </c>
      <c r="O3212">
        <v>33</v>
      </c>
      <c r="P3212">
        <v>100</v>
      </c>
    </row>
    <row r="3213" spans="1:16" x14ac:dyDescent="0.25">
      <c r="A3213">
        <v>22000605</v>
      </c>
      <c r="B3213">
        <v>2020</v>
      </c>
      <c r="C3213" t="s">
        <v>16</v>
      </c>
      <c r="D3213" t="s">
        <v>19</v>
      </c>
      <c r="E3213">
        <v>65</v>
      </c>
      <c r="F3213">
        <v>75</v>
      </c>
      <c r="G3213">
        <v>3</v>
      </c>
      <c r="H3213" s="1">
        <v>3.2291666666666666E-3</v>
      </c>
      <c r="I3213" t="s">
        <v>23</v>
      </c>
      <c r="J3213" s="2" t="str">
        <f>HYPERLINK("https://www.nba.com/stats/events?CFID=&amp;CFPARAMS=&amp;GameEventID=342&amp;GameID=0022000605&amp;Season=2020-21&amp;flag=1&amp;title=Leonard%2024'%203PT%20%20(13%20PTS)", "24' 3PT  (13 PTS)")</f>
        <v>24' 3PT  (13 PTS)</v>
      </c>
      <c r="K3213" s="2" t="str">
        <f>HYPERLINK("https://www.nba.com/game/...-vs-...-0022000605/play-by-play?watchFullGame=true", "LAC vs DAL - Q3 04:39.00")</f>
        <v>LAC vs DAL - Q3 04:39.00</v>
      </c>
      <c r="L3213">
        <v>24.57</v>
      </c>
      <c r="M3213">
        <v>31.49</v>
      </c>
      <c r="N3213">
        <v>43.45</v>
      </c>
      <c r="O3213">
        <v>33</v>
      </c>
      <c r="P3213">
        <v>243</v>
      </c>
    </row>
    <row r="3214" spans="1:16" x14ac:dyDescent="0.25">
      <c r="A3214">
        <v>22200784</v>
      </c>
      <c r="B3214">
        <v>2022</v>
      </c>
      <c r="C3214" t="s">
        <v>16</v>
      </c>
      <c r="D3214" t="s">
        <v>19</v>
      </c>
      <c r="E3214">
        <v>34</v>
      </c>
      <c r="F3214">
        <v>34</v>
      </c>
      <c r="G3214">
        <v>2</v>
      </c>
      <c r="H3214" s="1">
        <v>4.0625000000000001E-3</v>
      </c>
      <c r="I3214" t="s">
        <v>23</v>
      </c>
      <c r="J3214" s="2" t="str">
        <f>HYPERLINK("https://www.nba.com/stats/events?CFID=&amp;CFPARAMS=&amp;GameEventID=235&amp;GameID=0022200784&amp;Season=2022-23&amp;flag=1&amp;title=Leonard%2026'%203PT%20%20(9%20PTS)", "26' 3PT  (9 PTS)")</f>
        <v>26' 3PT  (9 PTS)</v>
      </c>
      <c r="K3214" s="2" t="str">
        <f>HYPERLINK("https://www.nba.com/game/...-vs-...-0022200784/play-by-play?watchFullGame=true", "LAC vs MIL - Q2 05:51.00")</f>
        <v>LAC vs MIL - Q2 05:51.00</v>
      </c>
      <c r="L3214">
        <v>26.16</v>
      </c>
      <c r="M3214">
        <v>33.200000000000003</v>
      </c>
      <c r="N3214">
        <v>43.38</v>
      </c>
      <c r="O3214">
        <v>33</v>
      </c>
      <c r="P3214">
        <v>260</v>
      </c>
    </row>
    <row r="3215" spans="1:16" x14ac:dyDescent="0.25">
      <c r="A3215">
        <v>41400161</v>
      </c>
      <c r="B3215" t="s">
        <v>28</v>
      </c>
      <c r="C3215" t="s">
        <v>32</v>
      </c>
      <c r="D3215" t="s">
        <v>19</v>
      </c>
      <c r="E3215">
        <v>45</v>
      </c>
      <c r="F3215">
        <v>39</v>
      </c>
      <c r="G3215">
        <v>2</v>
      </c>
      <c r="H3215" s="1">
        <v>1.1226851851851851E-3</v>
      </c>
      <c r="I3215" t="s">
        <v>18</v>
      </c>
      <c r="J3215" s="2" t="str">
        <f>HYPERLINK("https://www.nba.com/stats/events?CFID=&amp;CFPARAMS=&amp;GameEventID=269&amp;GameID=0041400161&amp;Season=2014-15&amp;flag=1&amp;title=Leonard%204'%20Jump%20Shot%20(7%20PTS)", "Leonard 4' Jump Shot (7 PTS)")</f>
        <v>Leonard 4' Jump Shot (7 PTS)</v>
      </c>
      <c r="K3215" s="2" t="str">
        <f>HYPERLINK("https://www.nba.com/game/...-vs-...-0041400161/play-by-play?watchFullGame=true", "SAS vs LAC - Q2 01:37.00")</f>
        <v>SAS vs LAC - Q2 01:37.00</v>
      </c>
      <c r="L3215">
        <v>4</v>
      </c>
      <c r="M3215">
        <v>34</v>
      </c>
      <c r="N3215">
        <v>11</v>
      </c>
      <c r="O3215">
        <v>34</v>
      </c>
      <c r="P3215">
        <v>11</v>
      </c>
    </row>
    <row r="3216" spans="1:16" x14ac:dyDescent="0.25">
      <c r="A3216">
        <v>22300458</v>
      </c>
      <c r="B3216">
        <v>2023</v>
      </c>
      <c r="C3216" t="s">
        <v>32</v>
      </c>
      <c r="D3216" t="s">
        <v>47</v>
      </c>
      <c r="E3216">
        <v>75</v>
      </c>
      <c r="F3216">
        <v>67</v>
      </c>
      <c r="G3216">
        <v>3</v>
      </c>
      <c r="H3216" s="1">
        <v>4.5370370370370373E-3</v>
      </c>
      <c r="I3216" t="s">
        <v>23</v>
      </c>
      <c r="J3216" s="2" t="str">
        <f>HYPERLINK("https://www.nba.com/stats/events?CFID=&amp;CFPARAMS=&amp;GameEventID=361&amp;GameID=0022300458&amp;Season=2023-24&amp;flag=1&amp;title=Leonard%20Layup%20(17%20PTS)", "Layup (17 PTS)")</f>
        <v>Layup (17 PTS)</v>
      </c>
      <c r="K3216" s="2" t="str">
        <f>HYPERLINK("https://www.nba.com/game/...-vs-...-0022300458/play-by-play?watchFullGame=true", "LAC vs MIA - Q3 06:32.00")</f>
        <v>LAC vs MIA - Q3 06:32.00</v>
      </c>
      <c r="L3216">
        <v>4.1500000000000004</v>
      </c>
      <c r="M3216">
        <v>8.07</v>
      </c>
      <c r="N3216">
        <v>43.14</v>
      </c>
      <c r="O3216">
        <v>34</v>
      </c>
      <c r="P3216">
        <v>23</v>
      </c>
    </row>
    <row r="3217" spans="1:16" x14ac:dyDescent="0.25">
      <c r="A3217">
        <v>41400164</v>
      </c>
      <c r="B3217" t="s">
        <v>28</v>
      </c>
      <c r="C3217" t="s">
        <v>32</v>
      </c>
      <c r="D3217" t="s">
        <v>17</v>
      </c>
      <c r="E3217">
        <v>88</v>
      </c>
      <c r="F3217">
        <v>93</v>
      </c>
      <c r="G3217">
        <v>4</v>
      </c>
      <c r="H3217" s="1">
        <v>5.2893518518518515E-3</v>
      </c>
      <c r="I3217" t="s">
        <v>18</v>
      </c>
      <c r="J3217" s="2" t="str">
        <f>HYPERLINK("https://www.nba.com/stats/events?CFID=&amp;CFPARAMS=&amp;GameEventID=455&amp;GameID=0041400164&amp;Season=2014-15&amp;flag=1&amp;title=Leonard%204'%20Running%20Jump%20Shot%20(20%20PTS)%20(Duncan%203%20AST)", "Leonard 4' Running Jump Shot (20 PTS) (Duncan 3 AST)")</f>
        <v>Leonard 4' Running Jump Shot (20 PTS) (Duncan 3 AST)</v>
      </c>
      <c r="K3217" s="2" t="str">
        <f>HYPERLINK("https://www.nba.com/game/...-vs-...-0041400164/play-by-play?watchFullGame=true", "SAS vs LAC - Q4 07:37.00")</f>
        <v>SAS vs LAC - Q4 07:37.00</v>
      </c>
      <c r="L3217">
        <v>4</v>
      </c>
      <c r="M3217">
        <v>34</v>
      </c>
      <c r="N3217">
        <v>23</v>
      </c>
      <c r="O3217">
        <v>34</v>
      </c>
      <c r="P3217">
        <v>23</v>
      </c>
    </row>
    <row r="3218" spans="1:16" x14ac:dyDescent="0.25">
      <c r="A3218">
        <v>41200404</v>
      </c>
      <c r="B3218" t="s">
        <v>27</v>
      </c>
      <c r="C3218" t="s">
        <v>32</v>
      </c>
      <c r="D3218" t="s">
        <v>41</v>
      </c>
      <c r="E3218">
        <v>36</v>
      </c>
      <c r="F3218">
        <v>41</v>
      </c>
      <c r="G3218">
        <v>2</v>
      </c>
      <c r="H3218" s="1">
        <v>3.5300925925925925E-3</v>
      </c>
      <c r="I3218" t="s">
        <v>18</v>
      </c>
      <c r="J3218" s="2" t="str">
        <f>HYPERLINK("https://www.nba.com/stats/events?CFID=&amp;CFPARAMS=&amp;GameEventID=209&amp;GameID=0041200404&amp;Season=2012-13&amp;flag=1&amp;title=Leonard%204'%20Turnaround%20Bank%20Shot%20(5%20PTS)%20(Parker%204%20AST)", "Leonard 4' Turnaround Bank Shot (5 PTS) (Parker 4 AST)")</f>
        <v>Leonard 4' Turnaround Bank Shot (5 PTS) (Parker 4 AST)</v>
      </c>
      <c r="K3218" s="2" t="str">
        <f>HYPERLINK("https://www.nba.com/game/...-vs-...-0041200404/play-by-play?watchFullGame=true", "SAS vs MIA - Q2 05:05.00")</f>
        <v>SAS vs MIA - Q2 05:05.00</v>
      </c>
      <c r="L3218">
        <v>4</v>
      </c>
      <c r="M3218">
        <v>34</v>
      </c>
      <c r="N3218">
        <v>28</v>
      </c>
      <c r="O3218">
        <v>34</v>
      </c>
      <c r="P3218">
        <v>28</v>
      </c>
    </row>
    <row r="3219" spans="1:16" x14ac:dyDescent="0.25">
      <c r="A3219">
        <v>21400867</v>
      </c>
      <c r="B3219">
        <v>2014</v>
      </c>
      <c r="C3219" t="s">
        <v>32</v>
      </c>
      <c r="D3219" t="s">
        <v>17</v>
      </c>
      <c r="E3219">
        <v>12</v>
      </c>
      <c r="F3219">
        <v>10</v>
      </c>
      <c r="G3219">
        <v>1</v>
      </c>
      <c r="H3219" s="1">
        <v>5.6481481481481478E-3</v>
      </c>
      <c r="I3219" t="s">
        <v>18</v>
      </c>
      <c r="J3219" s="2" t="str">
        <f>HYPERLINK("https://www.nba.com/stats/events?CFID=&amp;CFPARAMS=&amp;GameEventID=34&amp;GameID=0021400867&amp;Season=2014-15&amp;flag=1&amp;title=Leonard%207'%20Running%20Jump%20Shot%20(5%20PTS)", "Leonard 7' Running Jump Shot (5 PTS)")</f>
        <v>Leonard 7' Running Jump Shot (5 PTS)</v>
      </c>
      <c r="K3219" s="2" t="str">
        <f>HYPERLINK("https://www.nba.com/game/...-vs-...-0021400867/play-by-play?watchFullGame=true", "SAS vs SAC - Q1 08:08.00")</f>
        <v>SAS vs SAC - Q1 08:08.00</v>
      </c>
      <c r="L3219">
        <v>7</v>
      </c>
      <c r="M3219">
        <v>34</v>
      </c>
      <c r="N3219">
        <v>66</v>
      </c>
      <c r="O3219">
        <v>34</v>
      </c>
      <c r="P3219">
        <v>66</v>
      </c>
    </row>
    <row r="3220" spans="1:16" x14ac:dyDescent="0.25">
      <c r="A3220">
        <v>22300037</v>
      </c>
      <c r="B3220">
        <v>2023</v>
      </c>
      <c r="C3220" t="s">
        <v>32</v>
      </c>
      <c r="D3220" t="s">
        <v>19</v>
      </c>
      <c r="E3220">
        <v>41</v>
      </c>
      <c r="F3220">
        <v>48</v>
      </c>
      <c r="G3220">
        <v>2</v>
      </c>
      <c r="H3220" s="1">
        <v>2.6041666666666665E-3</v>
      </c>
      <c r="I3220" t="s">
        <v>23</v>
      </c>
      <c r="J3220" s="2" t="str">
        <f>HYPERLINK("https://www.nba.com/stats/events?CFID=&amp;CFPARAMS=&amp;GameEventID=277&amp;GameID=0022300037&amp;Season=2023-24&amp;flag=1&amp;title=Leonard%208'%20fadeaway%20Jump%20Shot%20(8%20PTS)%20(I.%20Zubac%201%20AST)", "8' fadeaway Jump Shot (8 PTS) (I. Zubac 1 AST)")</f>
        <v>8' fadeaway Jump Shot (8 PTS) (I. Zubac 1 AST)</v>
      </c>
      <c r="K3220" s="2" t="str">
        <f>HYPERLINK("https://www.nba.com/game/...-vs-...-0022300037/play-by-play?watchFullGame=true", "LAC vs HOU - Q2 03:45.00")</f>
        <v>LAC vs HOU - Q2 03:45.00</v>
      </c>
      <c r="L3220">
        <v>8.0399999999999991</v>
      </c>
      <c r="M3220">
        <v>13.32</v>
      </c>
      <c r="N3220">
        <v>43.14</v>
      </c>
      <c r="O3220">
        <v>34</v>
      </c>
      <c r="P3220">
        <v>73</v>
      </c>
    </row>
    <row r="3221" spans="1:16" x14ac:dyDescent="0.25">
      <c r="A3221">
        <v>22200408</v>
      </c>
      <c r="B3221">
        <v>2022</v>
      </c>
      <c r="C3221" t="s">
        <v>32</v>
      </c>
      <c r="D3221" t="s">
        <v>19</v>
      </c>
      <c r="E3221">
        <v>104</v>
      </c>
      <c r="F3221">
        <v>80</v>
      </c>
      <c r="G3221">
        <v>4</v>
      </c>
      <c r="H3221" s="1">
        <v>4.6759259259259263E-3</v>
      </c>
      <c r="I3221" t="s">
        <v>23</v>
      </c>
      <c r="J3221" s="2" t="str">
        <f>HYPERLINK("https://www.nba.com/stats/events?CFID=&amp;CFPARAMS=&amp;GameEventID=565&amp;GameID=0022200408&amp;Season=2022-23&amp;flag=1&amp;title=Leonard%2012'%20turnaround%20fadeaway%20Jump%20Shot%20(25%20PTS)", "12' turnaround fadeaway Jump Shot (25 PTS)")</f>
        <v>12' turnaround fadeaway Jump Shot (25 PTS)</v>
      </c>
      <c r="K3221" s="2" t="str">
        <f>HYPERLINK("https://www.nba.com/game/...-vs-...-0022200408/play-by-play?watchFullGame=true", "LAC vs BOS - Q4 06:44.00")</f>
        <v>LAC vs BOS - Q4 06:44.00</v>
      </c>
      <c r="L3221">
        <v>12.21</v>
      </c>
      <c r="M3221">
        <v>18.05</v>
      </c>
      <c r="N3221">
        <v>43.14</v>
      </c>
      <c r="O3221">
        <v>34</v>
      </c>
      <c r="P3221">
        <v>117</v>
      </c>
    </row>
    <row r="3222" spans="1:16" x14ac:dyDescent="0.25">
      <c r="A3222">
        <v>22201004</v>
      </c>
      <c r="B3222">
        <v>2022</v>
      </c>
      <c r="C3222" t="s">
        <v>32</v>
      </c>
      <c r="D3222" t="s">
        <v>19</v>
      </c>
      <c r="E3222">
        <v>99</v>
      </c>
      <c r="F3222">
        <v>85</v>
      </c>
      <c r="G3222">
        <v>4</v>
      </c>
      <c r="H3222" s="1">
        <v>2.7314814814814814E-3</v>
      </c>
      <c r="I3222" t="s">
        <v>23</v>
      </c>
      <c r="J3222" s="2" t="str">
        <f>HYPERLINK("https://www.nba.com/stats/events?CFID=&amp;CFPARAMS=&amp;GameEventID=568&amp;GameID=0022201004&amp;Season=2022-23&amp;flag=1&amp;title=Leonard%2013'%20Jump%20Shot%20(34%20PTS)", "13' Jump Shot (34 PTS)")</f>
        <v>13' Jump Shot (34 PTS)</v>
      </c>
      <c r="K3222" s="2" t="str">
        <f>HYPERLINK("https://www.nba.com/game/...-vs-...-0022201004/play-by-play?watchFullGame=true", "LAC vs NYK - Q4 03:56.00")</f>
        <v>LAC vs NYK - Q4 03:56.00</v>
      </c>
      <c r="L3222">
        <v>13.04</v>
      </c>
      <c r="M3222">
        <v>18.97</v>
      </c>
      <c r="N3222">
        <v>43.14</v>
      </c>
      <c r="O3222">
        <v>34</v>
      </c>
      <c r="P3222">
        <v>126</v>
      </c>
    </row>
    <row r="3223" spans="1:16" x14ac:dyDescent="0.25">
      <c r="A3223">
        <v>21900115</v>
      </c>
      <c r="B3223">
        <v>2019</v>
      </c>
      <c r="C3223" t="s">
        <v>32</v>
      </c>
      <c r="D3223" t="s">
        <v>22</v>
      </c>
      <c r="E3223">
        <v>72</v>
      </c>
      <c r="F3223">
        <v>78</v>
      </c>
      <c r="G3223">
        <v>4</v>
      </c>
      <c r="H3223" s="1">
        <v>7.9629629629629634E-3</v>
      </c>
      <c r="I3223" t="s">
        <v>23</v>
      </c>
      <c r="J3223" s="2" t="str">
        <f>HYPERLINK("https://www.nba.com/stats/events?CFID=&amp;CFPARAMS=&amp;GameEventID=531&amp;GameID=0021900115&amp;Season=2019-20&amp;flag=1&amp;title=[LAC]%20Leonard%20jumpshot:%20Made%20(11%20PTS)%20assist:%20Williams%20(6%20AST)", "[LAC] Leonard jumpshot: Made (11 PTS) assist: Williams (6 AST)")</f>
        <v>[LAC] Leonard jumpshot: Made (11 PTS) assist: Williams (6 AST)</v>
      </c>
      <c r="K3223" s="2" t="str">
        <f>HYPERLINK("https://www.nba.com/game/...-vs-...-0021900115/play-by-play?watchFullGame=true", "LAC vs POR - Q4 11:28.00")</f>
        <v>LAC vs POR - Q4 11:28.00</v>
      </c>
      <c r="L3223">
        <v>14.68</v>
      </c>
      <c r="M3223">
        <v>79.81</v>
      </c>
      <c r="N3223">
        <v>56.79</v>
      </c>
      <c r="O3223">
        <v>34</v>
      </c>
      <c r="P3223">
        <v>137</v>
      </c>
    </row>
    <row r="3224" spans="1:16" x14ac:dyDescent="0.25">
      <c r="A3224">
        <v>41400163</v>
      </c>
      <c r="B3224" t="s">
        <v>28</v>
      </c>
      <c r="C3224" t="s">
        <v>32</v>
      </c>
      <c r="D3224" t="s">
        <v>24</v>
      </c>
      <c r="E3224">
        <v>61</v>
      </c>
      <c r="F3224">
        <v>45</v>
      </c>
      <c r="G3224">
        <v>3</v>
      </c>
      <c r="H3224" s="1">
        <v>3.449074074074074E-3</v>
      </c>
      <c r="I3224" t="s">
        <v>18</v>
      </c>
      <c r="J3224" s="2" t="str">
        <f>HYPERLINK("https://www.nba.com/stats/events?CFID=&amp;CFPARAMS=&amp;GameEventID=296&amp;GameID=0041400163&amp;Season=2014-15&amp;flag=1&amp;title=Leonard%2014'%20Turnaround%20Jump%20Shot%20(29%20PTS)%20(Ginobili%202%20AST)", "Leonard 14' Turnaround Jump Shot (29 PTS) (Ginobili 2 AST)")</f>
        <v>Leonard 14' Turnaround Jump Shot (29 PTS) (Ginobili 2 AST)</v>
      </c>
      <c r="K3224" s="2" t="str">
        <f>HYPERLINK("https://www.nba.com/game/...-vs-...-0041400163/play-by-play?watchFullGame=true", "SAS vs LAC - Q3 04:58.00")</f>
        <v>SAS vs LAC - Q3 04:58.00</v>
      </c>
      <c r="L3224">
        <v>14</v>
      </c>
      <c r="M3224">
        <v>34</v>
      </c>
      <c r="N3224">
        <v>137</v>
      </c>
      <c r="O3224">
        <v>34</v>
      </c>
      <c r="P3224">
        <v>137</v>
      </c>
    </row>
    <row r="3225" spans="1:16" x14ac:dyDescent="0.25">
      <c r="A3225">
        <v>41800306</v>
      </c>
      <c r="B3225" t="s">
        <v>20</v>
      </c>
      <c r="C3225" t="s">
        <v>32</v>
      </c>
      <c r="D3225" t="s">
        <v>31</v>
      </c>
      <c r="E3225">
        <v>23</v>
      </c>
      <c r="F3225">
        <v>33</v>
      </c>
      <c r="G3225">
        <v>2</v>
      </c>
      <c r="H3225" s="1">
        <v>7.4884259259259262E-3</v>
      </c>
      <c r="I3225" t="s">
        <v>21</v>
      </c>
      <c r="J3225" s="2" t="str">
        <f>HYPERLINK("https://www.nba.com/stats/events?CFID=&amp;CFPARAMS=&amp;GameEventID=166&amp;GameID=0041800306&amp;Season=2018-19&amp;flag=1&amp;title=Leonard%2021'%20Step%20Back%20Jump%20Shot%20(6%20PTS)", "Leonard 21' Step Back Jump Shot (6 PTS)")</f>
        <v>Leonard 21' Step Back Jump Shot (6 PTS)</v>
      </c>
      <c r="K3225" s="2" t="str">
        <f>HYPERLINK("https://www.nba.com/game/...-vs-...-0041800306/play-by-play?watchFullGame=true", "TOR vs MIL - Q2 10:47.00")</f>
        <v>TOR vs MIL - Q2 10:47.00</v>
      </c>
      <c r="L3225">
        <v>21</v>
      </c>
      <c r="M3225">
        <v>34</v>
      </c>
      <c r="N3225">
        <v>204</v>
      </c>
      <c r="O3225">
        <v>34</v>
      </c>
      <c r="P3225">
        <v>204</v>
      </c>
    </row>
    <row r="3226" spans="1:16" x14ac:dyDescent="0.25">
      <c r="A3226">
        <v>21900212</v>
      </c>
      <c r="B3226">
        <v>2019</v>
      </c>
      <c r="C3226" t="s">
        <v>32</v>
      </c>
      <c r="D3226" t="s">
        <v>22</v>
      </c>
      <c r="E3226">
        <v>71</v>
      </c>
      <c r="F3226">
        <v>75</v>
      </c>
      <c r="G3226">
        <v>4</v>
      </c>
      <c r="H3226" s="1">
        <v>7.743055555555556E-3</v>
      </c>
      <c r="I3226" t="s">
        <v>23</v>
      </c>
      <c r="J3226" s="2" t="str">
        <f>HYPERLINK("https://www.nba.com/stats/events?CFID=&amp;CFPARAMS=&amp;GameEventID=514&amp;GameID=0021900212&amp;Season=2019-20&amp;flag=1&amp;title=Leonard%20jumpshot%20(15%20PTS)", "Jumpshot (15 PTS)")</f>
        <v>Jumpshot (15 PTS)</v>
      </c>
      <c r="K3226" s="2" t="str">
        <f>HYPERLINK("https://www.nba.com/game/...-vs-...-0021900212/play-by-play?watchFullGame=true", "LAC vs BOS - Q4 11:09.00")</f>
        <v>LAC vs BOS - Q4 11:09.00</v>
      </c>
      <c r="L3226">
        <v>3.52</v>
      </c>
      <c r="M3226">
        <v>95.06</v>
      </c>
      <c r="N3226">
        <v>57.04</v>
      </c>
      <c r="O3226">
        <v>35</v>
      </c>
      <c r="P3226">
        <v>-6</v>
      </c>
    </row>
    <row r="3227" spans="1:16" x14ac:dyDescent="0.25">
      <c r="A3227">
        <v>21600543</v>
      </c>
      <c r="B3227">
        <v>2016</v>
      </c>
      <c r="C3227" t="s">
        <v>32</v>
      </c>
      <c r="D3227" t="s">
        <v>40</v>
      </c>
      <c r="E3227">
        <v>55</v>
      </c>
      <c r="F3227">
        <v>68</v>
      </c>
      <c r="G3227">
        <v>3</v>
      </c>
      <c r="H3227" s="1">
        <v>6.5277777777777782E-3</v>
      </c>
      <c r="I3227" t="s">
        <v>18</v>
      </c>
      <c r="J3227" s="2" t="str">
        <f>HYPERLINK("https://www.nba.com/stats/events?CFID=&amp;CFPARAMS=&amp;GameEventID=249&amp;GameID=0021600543&amp;Season=2016-17&amp;flag=1&amp;title=Leonard%204'%20Hook%20Shot%20(13%20PTS)", "Leonard 4' Hook Shot (13 PTS)")</f>
        <v>Leonard 4' Hook Shot (13 PTS)</v>
      </c>
      <c r="K3227" s="2" t="str">
        <f>HYPERLINK("https://www.nba.com/game/...-vs-...-0021600543/play-by-play?watchFullGame=true", "SAS vs DEN - Q3 09:24.00")</f>
        <v>SAS vs DEN - Q3 09:24.00</v>
      </c>
      <c r="L3227">
        <v>4</v>
      </c>
      <c r="M3227">
        <v>35</v>
      </c>
      <c r="N3227">
        <v>11</v>
      </c>
      <c r="O3227">
        <v>35</v>
      </c>
      <c r="P3227">
        <v>11</v>
      </c>
    </row>
    <row r="3228" spans="1:16" x14ac:dyDescent="0.25">
      <c r="A3228">
        <v>22000788</v>
      </c>
      <c r="B3228">
        <v>2020</v>
      </c>
      <c r="C3228" t="s">
        <v>32</v>
      </c>
      <c r="D3228" t="s">
        <v>44</v>
      </c>
      <c r="E3228">
        <v>18</v>
      </c>
      <c r="F3228">
        <v>16</v>
      </c>
      <c r="G3228">
        <v>1</v>
      </c>
      <c r="H3228" s="1">
        <v>2.7430555555555554E-3</v>
      </c>
      <c r="I3228" t="s">
        <v>23</v>
      </c>
      <c r="J3228" s="2" t="str">
        <f>HYPERLINK("https://www.nba.com/stats/events?CFID=&amp;CFPARAMS=&amp;GameEventID=80&amp;GameID=0022000788&amp;Season=2020-21&amp;flag=1&amp;title=Leonard%20turnaround%20Hook%20(2%20PTS)", "Turnaround Hook (2 PTS)")</f>
        <v>Turnaround Hook (2 PTS)</v>
      </c>
      <c r="K3228" s="2" t="str">
        <f>HYPERLINK("https://www.nba.com/game/...-vs-...-0022000788/play-by-play?watchFullGame=true", "LAC vs PHX - Q1 03:57.00")</f>
        <v>LAC vs PHX - Q1 03:57.00</v>
      </c>
      <c r="L3228">
        <v>4.38</v>
      </c>
      <c r="M3228">
        <v>8.36</v>
      </c>
      <c r="N3228">
        <v>42.96</v>
      </c>
      <c r="O3228">
        <v>35</v>
      </c>
      <c r="P3228">
        <v>26</v>
      </c>
    </row>
    <row r="3229" spans="1:16" x14ac:dyDescent="0.25">
      <c r="A3229">
        <v>21900436</v>
      </c>
      <c r="B3229">
        <v>2019</v>
      </c>
      <c r="C3229" t="s">
        <v>32</v>
      </c>
      <c r="D3229" t="s">
        <v>22</v>
      </c>
      <c r="E3229">
        <v>52</v>
      </c>
      <c r="F3229">
        <v>64</v>
      </c>
      <c r="G3229">
        <v>2</v>
      </c>
      <c r="H3229" s="1">
        <v>2.4074074074074076E-3</v>
      </c>
      <c r="I3229" t="s">
        <v>23</v>
      </c>
      <c r="J3229" s="2" t="str">
        <f>HYPERLINK("https://www.nba.com/stats/events?CFID=&amp;CFPARAMS=&amp;GameEventID=274&amp;GameID=0021900436&amp;Season=2019-20&amp;flag=1&amp;title=Leonard%209'%20jumpshot%20(16%20PTS)%20(P.%20George%202%20AST)", "9' jumpshot (16 PTS) (P. George 2 AST)")</f>
        <v>9' jumpshot (16 PTS) (P. George 2 AST)</v>
      </c>
      <c r="K3229" s="2" t="str">
        <f>HYPERLINK("https://www.nba.com/game/...-vs-...-0021900436/play-by-play?watchFullGame=true", "LAC vs SAS - Q2 03:28.00")</f>
        <v>LAC vs SAS - Q2 03:28.00</v>
      </c>
      <c r="L3229">
        <v>9.4</v>
      </c>
      <c r="M3229">
        <v>14.27</v>
      </c>
      <c r="N3229">
        <v>42.96</v>
      </c>
      <c r="O3229">
        <v>35</v>
      </c>
      <c r="P3229">
        <v>82</v>
      </c>
    </row>
    <row r="3230" spans="1:16" x14ac:dyDescent="0.25">
      <c r="A3230">
        <v>41800211</v>
      </c>
      <c r="B3230" t="s">
        <v>20</v>
      </c>
      <c r="C3230" t="s">
        <v>32</v>
      </c>
      <c r="D3230" t="s">
        <v>34</v>
      </c>
      <c r="E3230">
        <v>30</v>
      </c>
      <c r="F3230">
        <v>18</v>
      </c>
      <c r="G3230">
        <v>1</v>
      </c>
      <c r="H3230" s="1">
        <v>2.4074074074074076E-3</v>
      </c>
      <c r="I3230" t="s">
        <v>21</v>
      </c>
      <c r="J3230" s="2" t="str">
        <f>HYPERLINK("https://www.nba.com/stats/events?CFID=&amp;CFPARAMS=&amp;GameEventID=87&amp;GameID=0041800211&amp;Season=2018-19&amp;flag=1&amp;title=Leonard%2010'%20Turnaround%20Fadeaway%20(15%20PTS)", "Leonard 10' Turnaround Fadeaway (15 PTS)")</f>
        <v>Leonard 10' Turnaround Fadeaway (15 PTS)</v>
      </c>
      <c r="K3230" s="2" t="str">
        <f>HYPERLINK("https://www.nba.com/game/...-vs-...-0041800211/play-by-play?watchFullGame=true", "TOR vs PHI - Q1 03:28.00")</f>
        <v>TOR vs PHI - Q1 03:28.00</v>
      </c>
      <c r="L3230">
        <v>10</v>
      </c>
      <c r="M3230">
        <v>35</v>
      </c>
      <c r="N3230">
        <v>95</v>
      </c>
      <c r="O3230">
        <v>35</v>
      </c>
      <c r="P3230">
        <v>95</v>
      </c>
    </row>
    <row r="3231" spans="1:16" x14ac:dyDescent="0.25">
      <c r="A3231">
        <v>22000736</v>
      </c>
      <c r="B3231">
        <v>2020</v>
      </c>
      <c r="C3231" t="s">
        <v>32</v>
      </c>
      <c r="D3231" t="s">
        <v>19</v>
      </c>
      <c r="E3231">
        <v>53</v>
      </c>
      <c r="F3231">
        <v>67</v>
      </c>
      <c r="G3231">
        <v>3</v>
      </c>
      <c r="H3231" s="1">
        <v>5.9027777777777776E-3</v>
      </c>
      <c r="I3231" t="s">
        <v>23</v>
      </c>
      <c r="J3231" s="2" t="str">
        <f>HYPERLINK("https://www.nba.com/stats/events?CFID=&amp;CFPARAMS=&amp;GameEventID=328&amp;GameID=0022000736&amp;Season=2020-21&amp;flag=1&amp;title=Leonard%2010'%20turnaround%20Jump%20Shot%20(13%20PTS)", "10' turnaround Jump Shot (13 PTS)")</f>
        <v>10' turnaround Jump Shot (13 PTS)</v>
      </c>
      <c r="K3231" s="2" t="str">
        <f>HYPERLINK("https://www.nba.com/game/...-vs-...-0022000736/play-by-play?watchFullGame=true", "LAC vs DEN - Q3 08:30.00")</f>
        <v>LAC vs DEN - Q3 08:30.00</v>
      </c>
      <c r="L3231">
        <v>10.97</v>
      </c>
      <c r="M3231">
        <v>16.64</v>
      </c>
      <c r="N3231">
        <v>42.96</v>
      </c>
      <c r="O3231">
        <v>35</v>
      </c>
      <c r="P3231">
        <v>104</v>
      </c>
    </row>
    <row r="3232" spans="1:16" x14ac:dyDescent="0.25">
      <c r="A3232">
        <v>22000091</v>
      </c>
      <c r="B3232">
        <v>2020</v>
      </c>
      <c r="C3232" t="s">
        <v>32</v>
      </c>
      <c r="D3232" t="s">
        <v>19</v>
      </c>
      <c r="E3232">
        <v>67</v>
      </c>
      <c r="F3232">
        <v>84</v>
      </c>
      <c r="G3232">
        <v>3</v>
      </c>
      <c r="H3232" s="1">
        <v>2.673611111111111E-3</v>
      </c>
      <c r="I3232" t="s">
        <v>23</v>
      </c>
      <c r="J3232" s="2" t="str">
        <f>HYPERLINK("https://www.nba.com/stats/events?CFID=&amp;CFPARAMS=&amp;GameEventID=381&amp;GameID=0022000091&amp;Season=2020-21&amp;flag=1&amp;title=Leonard%2014'%20pullup%20Jump%20Shot%20(13%20PTS)", "14' pullup Jump Shot (13 PTS)")</f>
        <v>14' pullup Jump Shot (13 PTS)</v>
      </c>
      <c r="K3232" s="2" t="str">
        <f>HYPERLINK("https://www.nba.com/game/...-vs-...-0022000091/play-by-play?watchFullGame=true", "LAC vs PHX - Q3 03:51.00")</f>
        <v>LAC vs PHX - Q3 03:51.00</v>
      </c>
      <c r="L3232">
        <v>14.49</v>
      </c>
      <c r="M3232">
        <v>79.45</v>
      </c>
      <c r="N3232">
        <v>56.93</v>
      </c>
      <c r="O3232">
        <v>35</v>
      </c>
      <c r="P3232">
        <v>141</v>
      </c>
    </row>
    <row r="3233" spans="1:16" x14ac:dyDescent="0.25">
      <c r="A3233">
        <v>21500759</v>
      </c>
      <c r="B3233">
        <v>2015</v>
      </c>
      <c r="C3233" t="s">
        <v>32</v>
      </c>
      <c r="D3233" t="s">
        <v>33</v>
      </c>
      <c r="E3233">
        <v>22</v>
      </c>
      <c r="F3233">
        <v>54</v>
      </c>
      <c r="G3233">
        <v>2</v>
      </c>
      <c r="H3233" s="1">
        <v>2.1064814814814813E-3</v>
      </c>
      <c r="I3233" t="s">
        <v>18</v>
      </c>
      <c r="J3233" s="2" t="str">
        <f>HYPERLINK("https://www.nba.com/stats/events?CFID=&amp;CFPARAMS=&amp;GameEventID=211&amp;GameID=0021500759&amp;Season=2015-16&amp;flag=1&amp;title=Leonard%2015'%20Fadeaway%20Jumper%20(16%20PTS)", "Leonard 15' Fadeaway Jumper (16 PTS)")</f>
        <v>Leonard 15' Fadeaway Jumper (16 PTS)</v>
      </c>
      <c r="K3233" s="2" t="str">
        <f>HYPERLINK("https://www.nba.com/game/...-vs-...-0021500759/play-by-play?watchFullGame=true", "SAS vs DAL - Q2 03:02.00")</f>
        <v>SAS vs DAL - Q2 03:02.00</v>
      </c>
      <c r="L3233">
        <v>15</v>
      </c>
      <c r="M3233">
        <v>35</v>
      </c>
      <c r="N3233">
        <v>149</v>
      </c>
      <c r="O3233">
        <v>35</v>
      </c>
      <c r="P3233">
        <v>149</v>
      </c>
    </row>
    <row r="3234" spans="1:16" x14ac:dyDescent="0.25">
      <c r="A3234">
        <v>21600016</v>
      </c>
      <c r="B3234">
        <v>2016</v>
      </c>
      <c r="C3234" t="s">
        <v>32</v>
      </c>
      <c r="D3234" t="s">
        <v>19</v>
      </c>
      <c r="E3234">
        <v>87</v>
      </c>
      <c r="F3234">
        <v>96</v>
      </c>
      <c r="G3234">
        <v>4</v>
      </c>
      <c r="H3234" s="1">
        <v>1.736111111111111E-3</v>
      </c>
      <c r="I3234" t="s">
        <v>18</v>
      </c>
      <c r="J3234" s="2" t="str">
        <f>HYPERLINK("https://www.nba.com/stats/events?CFID=&amp;CFPARAMS=&amp;GameEventID=530&amp;GameID=0021600016&amp;Season=2016-17&amp;flag=1&amp;title=Leonard%2019'%20Jump%20Shot%20(26%20PTS)%20(Parker%202%20AST)", "Leonard 19' Jump Shot (26 PTS) (Parker 2 AST)")</f>
        <v>Leonard 19' Jump Shot (26 PTS) (Parker 2 AST)</v>
      </c>
      <c r="K3234" s="2" t="str">
        <f>HYPERLINK("https://www.nba.com/game/...-vs-...-0021600016/play-by-play?watchFullGame=true", "SAS vs SAC - Q4 02:30.00")</f>
        <v>SAS vs SAC - Q4 02:30.00</v>
      </c>
      <c r="L3234">
        <v>19</v>
      </c>
      <c r="M3234">
        <v>35</v>
      </c>
      <c r="N3234">
        <v>185</v>
      </c>
      <c r="O3234">
        <v>35</v>
      </c>
      <c r="P3234">
        <v>185</v>
      </c>
    </row>
    <row r="3235" spans="1:16" x14ac:dyDescent="0.25">
      <c r="A3235">
        <v>21900068</v>
      </c>
      <c r="B3235">
        <v>2019</v>
      </c>
      <c r="C3235" t="s">
        <v>16</v>
      </c>
      <c r="D3235" t="s">
        <v>22</v>
      </c>
      <c r="E3235">
        <v>55</v>
      </c>
      <c r="F3235">
        <v>50</v>
      </c>
      <c r="G3235">
        <v>3</v>
      </c>
      <c r="H3235" s="1">
        <v>6.9560185185185185E-3</v>
      </c>
      <c r="I3235" t="s">
        <v>23</v>
      </c>
      <c r="J3235" s="2" t="str">
        <f>HYPERLINK("https://www.nba.com/stats/events?CFID=&amp;CFPARAMS=&amp;GameEventID=352&amp;GameID=0021900068&amp;Season=2019-20&amp;flag=1&amp;title=[LAC]%20Leonard%203pt%20shot:%20Made%20(16%20PTS)%20assist:%20Patterson%20(2%20AST)", "[LAC] Leonard 3pt shot: Made (16 PTS) assist: Patterson (2 AST)")</f>
        <v>[LAC] Leonard 3pt shot: Made (16 PTS) assist: Patterson (2 AST)</v>
      </c>
      <c r="K3235" s="2" t="str">
        <f>HYPERLINK("https://www.nba.com/game/...-vs-...-0021900068/play-by-play?watchFullGame=true", "LAC vs SAS - Q3 10:01.00")</f>
        <v>LAC vs SAS - Q3 10:01.00</v>
      </c>
      <c r="L3235">
        <v>26.98</v>
      </c>
      <c r="M3235">
        <v>66.540000000000006</v>
      </c>
      <c r="N3235">
        <v>57.04</v>
      </c>
      <c r="O3235">
        <v>35</v>
      </c>
      <c r="P3235">
        <v>262</v>
      </c>
    </row>
    <row r="3236" spans="1:16" x14ac:dyDescent="0.25">
      <c r="A3236">
        <v>22200735</v>
      </c>
      <c r="B3236">
        <v>2022</v>
      </c>
      <c r="C3236" t="s">
        <v>32</v>
      </c>
      <c r="D3236" t="s">
        <v>19</v>
      </c>
      <c r="E3236">
        <v>62</v>
      </c>
      <c r="F3236">
        <v>44</v>
      </c>
      <c r="G3236">
        <v>2</v>
      </c>
      <c r="H3236" s="1">
        <v>3.3449074074074076E-3</v>
      </c>
      <c r="I3236" t="s">
        <v>23</v>
      </c>
      <c r="J3236" s="2" t="str">
        <f>HYPERLINK("https://www.nba.com/stats/events?CFID=&amp;CFPARAMS=&amp;GameEventID=260&amp;GameID=0022200735&amp;Season=2022-23&amp;flag=1&amp;title=Leonard%20floating%20Jump%20Shot%20(16%20PTS)", "Floating Jump Shot (16 PTS)")</f>
        <v>Floating Jump Shot (16 PTS)</v>
      </c>
      <c r="K3236" s="2" t="str">
        <f>HYPERLINK("https://www.nba.com/game/...-vs-...-0022200735/play-by-play?watchFullGame=true", "LAC vs SAS - Q2 04:49.00")</f>
        <v>LAC vs SAS - Q2 04:49.00</v>
      </c>
      <c r="L3236">
        <v>4.88</v>
      </c>
      <c r="M3236">
        <v>90.85</v>
      </c>
      <c r="N3236">
        <v>57.11</v>
      </c>
      <c r="O3236">
        <v>36</v>
      </c>
      <c r="P3236">
        <v>34</v>
      </c>
    </row>
    <row r="3237" spans="1:16" x14ac:dyDescent="0.25">
      <c r="A3237">
        <v>21400921</v>
      </c>
      <c r="B3237">
        <v>2014</v>
      </c>
      <c r="C3237" t="s">
        <v>32</v>
      </c>
      <c r="D3237" t="s">
        <v>19</v>
      </c>
      <c r="E3237">
        <v>53</v>
      </c>
      <c r="F3237">
        <v>51</v>
      </c>
      <c r="G3237">
        <v>2</v>
      </c>
      <c r="H3237" s="1">
        <v>2.0949074074074073E-3</v>
      </c>
      <c r="I3237" t="s">
        <v>18</v>
      </c>
      <c r="J3237" s="2" t="str">
        <f>HYPERLINK("https://www.nba.com/stats/events?CFID=&amp;CFPARAMS=&amp;GameEventID=223&amp;GameID=0021400921&amp;Season=2014-15&amp;flag=1&amp;title=Leonard%208'%20Jump%20Shot%20(13%20PTS)", "Leonard 8' Jump Shot (13 PTS)")</f>
        <v>Leonard 8' Jump Shot (13 PTS)</v>
      </c>
      <c r="K3237" s="2" t="str">
        <f>HYPERLINK("https://www.nba.com/game/...-vs-...-0021400921/play-by-play?watchFullGame=true", "SAS vs DEN - Q2 03:01.00")</f>
        <v>SAS vs DEN - Q2 03:01.00</v>
      </c>
      <c r="L3237">
        <v>8</v>
      </c>
      <c r="M3237">
        <v>36</v>
      </c>
      <c r="N3237">
        <v>66</v>
      </c>
      <c r="O3237">
        <v>36</v>
      </c>
      <c r="P3237">
        <v>66</v>
      </c>
    </row>
    <row r="3238" spans="1:16" x14ac:dyDescent="0.25">
      <c r="A3238">
        <v>22000172</v>
      </c>
      <c r="B3238">
        <v>2020</v>
      </c>
      <c r="C3238" t="s">
        <v>32</v>
      </c>
      <c r="D3238" t="s">
        <v>19</v>
      </c>
      <c r="E3238">
        <v>89</v>
      </c>
      <c r="F3238">
        <v>83</v>
      </c>
      <c r="G3238">
        <v>4</v>
      </c>
      <c r="H3238" s="1">
        <v>5.9375000000000001E-3</v>
      </c>
      <c r="I3238" t="s">
        <v>23</v>
      </c>
      <c r="J3238" s="2" t="str">
        <f>HYPERLINK("https://www.nba.com/stats/events?CFID=&amp;CFPARAMS=&amp;GameEventID=475&amp;GameID=0022000172&amp;Season=2020-21&amp;flag=1&amp;title=Leonard%208'%20pullup%20Jump%20Shot%20(18%20PTS)", "8' pullup Jump Shot (18 PTS)")</f>
        <v>8' pullup Jump Shot (18 PTS)</v>
      </c>
      <c r="K3238" s="2" t="str">
        <f>HYPERLINK("https://www.nba.com/game/...-vs-...-0022000172/play-by-play?watchFullGame=true", "LAC vs NOP - Q4 08:33.00")</f>
        <v>LAC vs NOP - Q4 08:33.00</v>
      </c>
      <c r="L3238">
        <v>8.61</v>
      </c>
      <c r="M3238">
        <v>86.12</v>
      </c>
      <c r="N3238">
        <v>57.28</v>
      </c>
      <c r="O3238">
        <v>36</v>
      </c>
      <c r="P3238">
        <v>78</v>
      </c>
    </row>
    <row r="3239" spans="1:16" x14ac:dyDescent="0.25">
      <c r="A3239">
        <v>22301079</v>
      </c>
      <c r="B3239">
        <v>2023</v>
      </c>
      <c r="C3239" t="s">
        <v>32</v>
      </c>
      <c r="D3239" t="s">
        <v>19</v>
      </c>
      <c r="E3239">
        <v>10</v>
      </c>
      <c r="F3239">
        <v>13</v>
      </c>
      <c r="G3239">
        <v>1</v>
      </c>
      <c r="H3239" s="1">
        <v>4.3287037037037035E-3</v>
      </c>
      <c r="I3239" t="s">
        <v>23</v>
      </c>
      <c r="J3239" s="2" t="str">
        <f>HYPERLINK("https://www.nba.com/stats/events?CFID=&amp;CFPARAMS=&amp;GameEventID=57&amp;GameID=0022301079&amp;Season=2023-24&amp;flag=1&amp;title=Leonard%2011'%20pullup%20Jump%20Shot%20(4%20PTS)", "11' pullup Jump Shot (4 PTS)")</f>
        <v>11' pullup Jump Shot (4 PTS)</v>
      </c>
      <c r="K3239" s="2" t="str">
        <f>HYPERLINK("https://www.nba.com/game/...-vs-...-0022301079/play-by-play?watchFullGame=true", "LAC vs CHA - Q1 06:14.00")</f>
        <v>LAC vs CHA - Q1 06:14.00</v>
      </c>
      <c r="L3239">
        <v>11.19</v>
      </c>
      <c r="M3239">
        <v>83.13</v>
      </c>
      <c r="N3239">
        <v>57.11</v>
      </c>
      <c r="O3239">
        <v>36</v>
      </c>
      <c r="P3239">
        <v>106</v>
      </c>
    </row>
    <row r="3240" spans="1:16" x14ac:dyDescent="0.25">
      <c r="A3240">
        <v>22000077</v>
      </c>
      <c r="B3240">
        <v>2020</v>
      </c>
      <c r="C3240" t="s">
        <v>32</v>
      </c>
      <c r="D3240" t="s">
        <v>19</v>
      </c>
      <c r="E3240">
        <v>91</v>
      </c>
      <c r="F3240">
        <v>77</v>
      </c>
      <c r="G3240">
        <v>4</v>
      </c>
      <c r="H3240" s="1">
        <v>5.9722222222222225E-3</v>
      </c>
      <c r="I3240" t="s">
        <v>23</v>
      </c>
      <c r="J3240" s="2" t="str">
        <f>HYPERLINK("https://www.nba.com/stats/events?CFID=&amp;CFPARAMS=&amp;GameEventID=532&amp;GameID=0022000077&amp;Season=2020-21&amp;flag=1&amp;title=Leonard%2013'%20pullup%20Jump%20Shot%20(16%20PTS)", "13' pullup Jump Shot (16 PTS)")</f>
        <v>13' pullup Jump Shot (16 PTS)</v>
      </c>
      <c r="K3240" s="2" t="str">
        <f>HYPERLINK("https://www.nba.com/game/...-vs-...-0022000077/play-by-play?watchFullGame=true", "LAC vs UTA - Q4 08:36.00")</f>
        <v>LAC vs UTA - Q4 08:36.00</v>
      </c>
      <c r="L3240">
        <v>13.68</v>
      </c>
      <c r="M3240">
        <v>80.37</v>
      </c>
      <c r="N3240">
        <v>57.18</v>
      </c>
      <c r="O3240">
        <v>36</v>
      </c>
      <c r="P3240">
        <v>132</v>
      </c>
    </row>
    <row r="3241" spans="1:16" x14ac:dyDescent="0.25">
      <c r="A3241">
        <v>22400553</v>
      </c>
      <c r="B3241">
        <v>2024</v>
      </c>
      <c r="C3241" t="s">
        <v>32</v>
      </c>
      <c r="D3241" t="s">
        <v>19</v>
      </c>
      <c r="E3241">
        <v>16</v>
      </c>
      <c r="F3241">
        <v>20</v>
      </c>
      <c r="G3241">
        <v>1</v>
      </c>
      <c r="H3241" s="1">
        <v>3.7962962962962963E-3</v>
      </c>
      <c r="I3241" t="s">
        <v>23</v>
      </c>
      <c r="J3241" s="2" t="str">
        <f>HYPERLINK("https://www.nba.com/stats/events?CFID=&amp;CFPARAMS=&amp;GameEventID=67&amp;GameID=0022400553&amp;Season=2024-25&amp;flag=1&amp;title=Leonard%2014'%20pullup%20Jump%20Shot%20(4%20PTS)", "14' pullup Jump Shot (4 PTS)")</f>
        <v>14' pullup Jump Shot (4 PTS)</v>
      </c>
      <c r="K3241" s="2" t="str">
        <f>HYPERLINK("https://www.nba.com/game/...-vs-...-0022400553/play-by-play?watchFullGame=true", "LAC vs MIA - Q1 05:28.00")</f>
        <v>LAC vs MIA - Q1 05:28.00</v>
      </c>
      <c r="L3241">
        <v>14.38</v>
      </c>
      <c r="M3241">
        <v>79.58</v>
      </c>
      <c r="N3241">
        <v>57.11</v>
      </c>
      <c r="O3241">
        <v>36</v>
      </c>
      <c r="P3241">
        <v>139</v>
      </c>
    </row>
    <row r="3242" spans="1:16" x14ac:dyDescent="0.25">
      <c r="A3242">
        <v>21401157</v>
      </c>
      <c r="B3242">
        <v>2014</v>
      </c>
      <c r="C3242" t="s">
        <v>16</v>
      </c>
      <c r="D3242" t="s">
        <v>19</v>
      </c>
      <c r="E3242">
        <v>44</v>
      </c>
      <c r="F3242">
        <v>68</v>
      </c>
      <c r="G3242">
        <v>3</v>
      </c>
      <c r="H3242" s="1">
        <v>7.4652777777777781E-3</v>
      </c>
      <c r="I3242" t="s">
        <v>18</v>
      </c>
      <c r="J3242" s="2" t="str">
        <f>HYPERLINK("https://www.nba.com/stats/events?CFID=&amp;CFPARAMS=&amp;GameEventID=271&amp;GameID=0021401157&amp;Season=2014-15&amp;flag=1&amp;title=Leonard%2024'%203PT%20Jump%20Shot%20(26%20PTS)%20(Joseph%203%20AST)", "Leonard 24' 3PT Jump Shot (26 PTS) (Joseph 3 AST)")</f>
        <v>Leonard 24' 3PT Jump Shot (26 PTS) (Joseph 3 AST)</v>
      </c>
      <c r="K3242" s="2" t="str">
        <f>HYPERLINK("https://www.nba.com/game/...-vs-...-0021401157/play-by-play?watchFullGame=true", "SAS vs OKC - Q3 10:45.00")</f>
        <v>SAS vs OKC - Q3 10:45.00</v>
      </c>
      <c r="L3242">
        <v>24</v>
      </c>
      <c r="M3242">
        <v>36</v>
      </c>
      <c r="N3242">
        <v>239</v>
      </c>
      <c r="O3242">
        <v>36</v>
      </c>
      <c r="P3242">
        <v>239</v>
      </c>
    </row>
    <row r="3243" spans="1:16" x14ac:dyDescent="0.25">
      <c r="A3243">
        <v>21300349</v>
      </c>
      <c r="B3243">
        <v>2013</v>
      </c>
      <c r="C3243" t="s">
        <v>32</v>
      </c>
      <c r="D3243" t="s">
        <v>39</v>
      </c>
      <c r="E3243">
        <v>22</v>
      </c>
      <c r="F3243">
        <v>30</v>
      </c>
      <c r="G3243">
        <v>2</v>
      </c>
      <c r="H3243" s="1">
        <v>6.6550925925925927E-3</v>
      </c>
      <c r="I3243" t="s">
        <v>18</v>
      </c>
      <c r="J3243" s="2" t="str">
        <f>HYPERLINK("https://www.nba.com/stats/events?CFID=&amp;CFPARAMS=&amp;GameEventID=140&amp;GameID=0021300349&amp;Season=2013-14&amp;flag=1&amp;title=Leonard%204'%20Running%20Bank%20Shot%20(2%20PTS)", "Leonard 4' Running Bank Shot (2 PTS)")</f>
        <v>Leonard 4' Running Bank Shot (2 PTS)</v>
      </c>
      <c r="K3243" s="2" t="str">
        <f>HYPERLINK("https://www.nba.com/game/...-vs-...-0021300349/play-by-play?watchFullGame=true", "SAS vs UTA - Q2 09:35.00")</f>
        <v>SAS vs UTA - Q2 09:35.00</v>
      </c>
      <c r="L3243">
        <v>4</v>
      </c>
      <c r="M3243">
        <v>37</v>
      </c>
      <c r="N3243">
        <v>9</v>
      </c>
      <c r="O3243">
        <v>37</v>
      </c>
      <c r="P3243">
        <v>9</v>
      </c>
    </row>
    <row r="3244" spans="1:16" x14ac:dyDescent="0.25">
      <c r="A3244">
        <v>22200701</v>
      </c>
      <c r="B3244">
        <v>2022</v>
      </c>
      <c r="C3244" t="s">
        <v>32</v>
      </c>
      <c r="D3244" t="s">
        <v>19</v>
      </c>
      <c r="E3244">
        <v>89</v>
      </c>
      <c r="F3244">
        <v>96</v>
      </c>
      <c r="G3244">
        <v>4</v>
      </c>
      <c r="H3244" s="1">
        <v>4.2245370370370371E-3</v>
      </c>
      <c r="I3244" t="s">
        <v>23</v>
      </c>
      <c r="J3244" s="2" t="str">
        <f>HYPERLINK("https://www.nba.com/stats/events?CFID=&amp;CFPARAMS=&amp;GameEventID=547&amp;GameID=0022200701&amp;Season=2022-23&amp;flag=1&amp;title=Leonard%20driving%20floating%20bank%20Jump%20Shot%20(23%20PTS)", "Driving floating bank Jump Shot (23 PTS)")</f>
        <v>Driving floating bank Jump Shot (23 PTS)</v>
      </c>
      <c r="K3244" s="2" t="str">
        <f>HYPERLINK("https://www.nba.com/game/...-vs-...-0022200701/play-by-play?watchFullGame=true", "LAC vs DAL - Q4 06:05.00")</f>
        <v>LAC vs DAL - Q4 06:05.00</v>
      </c>
      <c r="L3244">
        <v>4.4400000000000004</v>
      </c>
      <c r="M3244">
        <v>8.23</v>
      </c>
      <c r="N3244">
        <v>42.65</v>
      </c>
      <c r="O3244">
        <v>37</v>
      </c>
      <c r="P3244">
        <v>25</v>
      </c>
    </row>
    <row r="3245" spans="1:16" x14ac:dyDescent="0.25">
      <c r="A3245">
        <v>21300573</v>
      </c>
      <c r="B3245">
        <v>2013</v>
      </c>
      <c r="C3245" t="s">
        <v>32</v>
      </c>
      <c r="D3245" t="s">
        <v>24</v>
      </c>
      <c r="E3245">
        <v>8</v>
      </c>
      <c r="F3245">
        <v>5</v>
      </c>
      <c r="G3245">
        <v>1</v>
      </c>
      <c r="H3245" s="1">
        <v>6.4467592592592588E-3</v>
      </c>
      <c r="I3245" t="s">
        <v>18</v>
      </c>
      <c r="J3245" s="2" t="str">
        <f>HYPERLINK("https://www.nba.com/stats/events?CFID=&amp;CFPARAMS=&amp;GameEventID=24&amp;GameID=0021300573&amp;Season=2013-14&amp;flag=1&amp;title=Leonard%207'%20Turnaround%20Jump%20Shot%20(4%20PTS)%20(Duncan%201%20AST)", "Leonard 7' Turnaround Jump Shot (4 PTS) (Duncan 1 AST)")</f>
        <v>Leonard 7' Turnaround Jump Shot (4 PTS) (Duncan 1 AST)</v>
      </c>
      <c r="K3245" s="2" t="str">
        <f>HYPERLINK("https://www.nba.com/game/...-vs-...-0021300573/play-by-play?watchFullGame=true", "SAS vs UTA - Q1 09:17.00")</f>
        <v>SAS vs UTA - Q1 09:17.00</v>
      </c>
      <c r="L3245">
        <v>7</v>
      </c>
      <c r="M3245">
        <v>37</v>
      </c>
      <c r="N3245">
        <v>64</v>
      </c>
      <c r="O3245">
        <v>37</v>
      </c>
      <c r="P3245">
        <v>64</v>
      </c>
    </row>
    <row r="3246" spans="1:16" x14ac:dyDescent="0.25">
      <c r="A3246">
        <v>22300964</v>
      </c>
      <c r="B3246">
        <v>2023</v>
      </c>
      <c r="C3246" t="s">
        <v>32</v>
      </c>
      <c r="D3246" t="s">
        <v>19</v>
      </c>
      <c r="E3246">
        <v>20</v>
      </c>
      <c r="F3246">
        <v>22</v>
      </c>
      <c r="G3246">
        <v>1</v>
      </c>
      <c r="H3246" s="1">
        <v>1.4120370370370369E-4</v>
      </c>
      <c r="I3246" t="s">
        <v>23</v>
      </c>
      <c r="J3246" s="2" t="str">
        <f>HYPERLINK("https://www.nba.com/stats/events?CFID=&amp;CFPARAMS=&amp;GameEventID=133&amp;GameID=0022300964&amp;Season=2023-24&amp;flag=1&amp;title=Leonard%208'%20pullup%20Jump%20Shot%20(9%20PTS)", "8' pullup Jump Shot (9 PTS)")</f>
        <v>8' pullup Jump Shot (9 PTS)</v>
      </c>
      <c r="K3246" s="2" t="str">
        <f>HYPERLINK("https://www.nba.com/game/...-vs-...-0022300964/play-by-play?watchFullGame=true", "LAC vs NOP - Q1 00:12.20")</f>
        <v>LAC vs NOP - Q1 00:12.20</v>
      </c>
      <c r="L3246">
        <v>8.3699999999999992</v>
      </c>
      <c r="M3246">
        <v>86.42</v>
      </c>
      <c r="N3246">
        <v>57.35</v>
      </c>
      <c r="O3246">
        <v>37</v>
      </c>
      <c r="P3246">
        <v>75</v>
      </c>
    </row>
    <row r="3247" spans="1:16" x14ac:dyDescent="0.25">
      <c r="A3247">
        <v>21900458</v>
      </c>
      <c r="B3247">
        <v>2019</v>
      </c>
      <c r="C3247" t="s">
        <v>32</v>
      </c>
      <c r="D3247" t="s">
        <v>22</v>
      </c>
      <c r="E3247">
        <v>55</v>
      </c>
      <c r="F3247">
        <v>51</v>
      </c>
      <c r="G3247">
        <v>2</v>
      </c>
      <c r="H3247" s="1">
        <v>6.3773148148148153E-4</v>
      </c>
      <c r="I3247" t="s">
        <v>23</v>
      </c>
      <c r="J3247" s="2" t="str">
        <f>HYPERLINK("https://www.nba.com/stats/events?CFID=&amp;CFPARAMS=&amp;GameEventID=334&amp;GameID=0021900458&amp;Season=2019-20&amp;flag=1&amp;title=Leonard%2011'%20jumpshot%20(18%20PTS)", "11' jumpshot (18 PTS)")</f>
        <v>11' jumpshot (18 PTS)</v>
      </c>
      <c r="K3247" s="2" t="str">
        <f>HYPERLINK("https://www.nba.com/game/...-vs-...-0021900458/play-by-play?watchFullGame=true", "LAC vs LAL - Q2 00:55.10")</f>
        <v>LAC vs LAL - Q2 00:55.10</v>
      </c>
      <c r="L3247">
        <v>10.59</v>
      </c>
      <c r="M3247">
        <v>15.56</v>
      </c>
      <c r="N3247">
        <v>42.58</v>
      </c>
      <c r="O3247">
        <v>37</v>
      </c>
      <c r="P3247">
        <v>94</v>
      </c>
    </row>
    <row r="3248" spans="1:16" x14ac:dyDescent="0.25">
      <c r="A3248">
        <v>22200649</v>
      </c>
      <c r="B3248">
        <v>2022</v>
      </c>
      <c r="C3248" t="s">
        <v>32</v>
      </c>
      <c r="D3248" t="s">
        <v>19</v>
      </c>
      <c r="E3248">
        <v>11</v>
      </c>
      <c r="F3248">
        <v>14</v>
      </c>
      <c r="G3248">
        <v>1</v>
      </c>
      <c r="H3248" s="1">
        <v>4.8148148148148152E-3</v>
      </c>
      <c r="I3248" t="s">
        <v>23</v>
      </c>
      <c r="J3248" s="2" t="str">
        <f>HYPERLINK("https://www.nba.com/stats/events?CFID=&amp;CFPARAMS=&amp;GameEventID=53&amp;GameID=0022200649&amp;Season=2022-23&amp;flag=1&amp;title=Leonard%2011'%20pullup%20Jump%20Shot%20(4%20PTS)%20(T.%20Mann%201%20AST)", "11' pullup Jump Shot (4 PTS) (T. Mann 1 AST)")</f>
        <v>11' pullup Jump Shot (4 PTS) (T. Mann 1 AST)</v>
      </c>
      <c r="K3248" s="2" t="str">
        <f>HYPERLINK("https://www.nba.com/game/...-vs-...-0022200649/play-by-play?watchFullGame=true", "LAC vs HOU - Q1 06:56.00")</f>
        <v>LAC vs HOU - Q1 06:56.00</v>
      </c>
      <c r="L3248">
        <v>11.96</v>
      </c>
      <c r="M3248">
        <v>82.31</v>
      </c>
      <c r="N3248">
        <v>57.35</v>
      </c>
      <c r="O3248">
        <v>37</v>
      </c>
      <c r="P3248">
        <v>114</v>
      </c>
    </row>
    <row r="3249" spans="1:16" x14ac:dyDescent="0.25">
      <c r="A3249">
        <v>21501215</v>
      </c>
      <c r="B3249">
        <v>2015</v>
      </c>
      <c r="C3249" t="s">
        <v>32</v>
      </c>
      <c r="D3249" t="s">
        <v>54</v>
      </c>
      <c r="E3249">
        <v>90</v>
      </c>
      <c r="F3249">
        <v>88</v>
      </c>
      <c r="G3249">
        <v>4</v>
      </c>
      <c r="H3249" s="1">
        <v>2.673611111111111E-3</v>
      </c>
      <c r="I3249" t="s">
        <v>18</v>
      </c>
      <c r="J3249" s="2" t="str">
        <f>HYPERLINK("https://www.nba.com/stats/events?CFID=&amp;CFPARAMS=&amp;GameEventID=467&amp;GameID=0021501215&amp;Season=2015-16&amp;flag=1&amp;title=Leonard%204'%20Driving%20Bank%20Shot%20(20%20PTS)%20(Parker%203%20AST)", "Leonard 4' Driving Bank Shot (20 PTS) (Parker 3 AST)")</f>
        <v>Leonard 4' Driving Bank Shot (20 PTS) (Parker 3 AST)</v>
      </c>
      <c r="K3249" s="2" t="str">
        <f>HYPERLINK("https://www.nba.com/game/...-vs-...-0021501215/play-by-play?watchFullGame=true", "SAS vs OKC - Q4 03:51.00")</f>
        <v>SAS vs OKC - Q4 03:51.00</v>
      </c>
      <c r="L3249">
        <v>4</v>
      </c>
      <c r="M3249">
        <v>38</v>
      </c>
      <c r="N3249">
        <v>21</v>
      </c>
      <c r="O3249">
        <v>38</v>
      </c>
      <c r="P3249">
        <v>21</v>
      </c>
    </row>
    <row r="3250" spans="1:16" x14ac:dyDescent="0.25">
      <c r="A3250">
        <v>41600154</v>
      </c>
      <c r="B3250" t="s">
        <v>30</v>
      </c>
      <c r="C3250" t="s">
        <v>32</v>
      </c>
      <c r="D3250" t="s">
        <v>33</v>
      </c>
      <c r="E3250">
        <v>58</v>
      </c>
      <c r="F3250">
        <v>53</v>
      </c>
      <c r="G3250">
        <v>3</v>
      </c>
      <c r="H3250" s="1">
        <v>7.6504629629629631E-3</v>
      </c>
      <c r="I3250" t="s">
        <v>18</v>
      </c>
      <c r="J3250" s="2" t="str">
        <f>HYPERLINK("https://www.nba.com/stats/events?CFID=&amp;CFPARAMS=&amp;GameEventID=260&amp;GameID=0041600154&amp;Season=2016-17&amp;flag=1&amp;title=Leonard%205'%20Fadeaway%20Jumper%20(17%20PTS)", "Leonard 5' Fadeaway Jumper (17 PTS)")</f>
        <v>Leonard 5' Fadeaway Jumper (17 PTS)</v>
      </c>
      <c r="K3250" s="2" t="str">
        <f>HYPERLINK("https://www.nba.com/game/...-vs-...-0041600154/play-by-play?watchFullGame=true", "SAS vs MEM - Q3 11:01.00")</f>
        <v>SAS vs MEM - Q3 11:01.00</v>
      </c>
      <c r="L3250">
        <v>5</v>
      </c>
      <c r="M3250">
        <v>38</v>
      </c>
      <c r="N3250">
        <v>38</v>
      </c>
      <c r="O3250">
        <v>38</v>
      </c>
      <c r="P3250">
        <v>38</v>
      </c>
    </row>
    <row r="3251" spans="1:16" x14ac:dyDescent="0.25">
      <c r="A3251">
        <v>22300827</v>
      </c>
      <c r="B3251">
        <v>2023</v>
      </c>
      <c r="C3251" t="s">
        <v>32</v>
      </c>
      <c r="D3251" t="s">
        <v>19</v>
      </c>
      <c r="E3251">
        <v>28</v>
      </c>
      <c r="F3251">
        <v>24</v>
      </c>
      <c r="G3251">
        <v>1</v>
      </c>
      <c r="H3251" s="1">
        <v>9.0277777777777774E-4</v>
      </c>
      <c r="I3251" t="s">
        <v>23</v>
      </c>
      <c r="J3251" s="2" t="str">
        <f>HYPERLINK("https://www.nba.com/stats/events?CFID=&amp;CFPARAMS=&amp;GameEventID=134&amp;GameID=0022300827&amp;Season=2023-24&amp;flag=1&amp;title=Leonard%20driving%20floating%20bank%20Jump%20Shot%20(8%20PTS)", "Driving floating bank Jump Shot (8 PTS)")</f>
        <v>Driving floating bank Jump Shot (8 PTS)</v>
      </c>
      <c r="K3251" s="2" t="str">
        <f>HYPERLINK("https://www.nba.com/game/...-vs-...-0022300827/play-by-play?watchFullGame=true", "LAC vs SAC - Q1 01:18.00")</f>
        <v>LAC vs SAC - Q1 01:18.00</v>
      </c>
      <c r="L3251">
        <v>5.96</v>
      </c>
      <c r="M3251">
        <v>89.54</v>
      </c>
      <c r="N3251">
        <v>57.6</v>
      </c>
      <c r="O3251">
        <v>38</v>
      </c>
      <c r="P3251">
        <v>46</v>
      </c>
    </row>
    <row r="3252" spans="1:16" x14ac:dyDescent="0.25">
      <c r="A3252">
        <v>41600151</v>
      </c>
      <c r="B3252" t="s">
        <v>30</v>
      </c>
      <c r="C3252" t="s">
        <v>32</v>
      </c>
      <c r="D3252" t="s">
        <v>43</v>
      </c>
      <c r="E3252">
        <v>64</v>
      </c>
      <c r="F3252">
        <v>55</v>
      </c>
      <c r="G3252">
        <v>3</v>
      </c>
      <c r="H3252" s="1">
        <v>4.1898148148148146E-3</v>
      </c>
      <c r="I3252" t="s">
        <v>18</v>
      </c>
      <c r="J3252" s="2" t="str">
        <f>HYPERLINK("https://www.nba.com/stats/events?CFID=&amp;CFPARAMS=&amp;GameEventID=281&amp;GameID=0041600151&amp;Season=2016-17&amp;flag=1&amp;title=Leonard%208'%20Turnaround%20Hook%20Shot%20(21%20PTS)", "Leonard 8' Turnaround Hook Shot (21 PTS)")</f>
        <v>Leonard 8' Turnaround Hook Shot (21 PTS)</v>
      </c>
      <c r="K3252" s="2" t="str">
        <f>HYPERLINK("https://www.nba.com/game/...-vs-...-0041600151/play-by-play?watchFullGame=true", "SAS vs MEM - Q3 06:02.00")</f>
        <v>SAS vs MEM - Q3 06:02.00</v>
      </c>
      <c r="L3252">
        <v>8</v>
      </c>
      <c r="M3252">
        <v>38</v>
      </c>
      <c r="N3252">
        <v>65</v>
      </c>
      <c r="O3252">
        <v>38</v>
      </c>
      <c r="P3252">
        <v>65</v>
      </c>
    </row>
    <row r="3253" spans="1:16" x14ac:dyDescent="0.25">
      <c r="A3253">
        <v>22300873</v>
      </c>
      <c r="B3253">
        <v>2023</v>
      </c>
      <c r="C3253" t="s">
        <v>32</v>
      </c>
      <c r="D3253" t="s">
        <v>19</v>
      </c>
      <c r="E3253">
        <v>54</v>
      </c>
      <c r="F3253">
        <v>55</v>
      </c>
      <c r="G3253">
        <v>3</v>
      </c>
      <c r="H3253" s="1">
        <v>5.5324074074074078E-3</v>
      </c>
      <c r="I3253" t="s">
        <v>23</v>
      </c>
      <c r="J3253" s="2" t="str">
        <f>HYPERLINK("https://www.nba.com/stats/events?CFID=&amp;CFPARAMS=&amp;GameEventID=314&amp;GameID=0022300873&amp;Season=2023-24&amp;flag=1&amp;title=Leonard%207'%20driving%20floating%20bank%20Jump%20Shot%20(19%20PTS)%20(I.%20Zubac%201%20AST)", "7' driving floating bank Jump Shot (19 PTS) (I. Zubac 1 AST)")</f>
        <v>7' driving floating bank Jump Shot (19 PTS) (I. Zubac 1 AST)</v>
      </c>
      <c r="K3253" s="2" t="str">
        <f>HYPERLINK("https://www.nba.com/game/...-vs-...-0022300873/play-by-play?watchFullGame=true", "LAC vs MIN - Q3 07:58.00")</f>
        <v>LAC vs MIN - Q3 07:58.00</v>
      </c>
      <c r="L3253">
        <v>7.88</v>
      </c>
      <c r="M3253">
        <v>87.07</v>
      </c>
      <c r="N3253">
        <v>57.6</v>
      </c>
      <c r="O3253">
        <v>38</v>
      </c>
      <c r="P3253">
        <v>69</v>
      </c>
    </row>
    <row r="3254" spans="1:16" x14ac:dyDescent="0.25">
      <c r="A3254">
        <v>21500439</v>
      </c>
      <c r="B3254">
        <v>2015</v>
      </c>
      <c r="C3254" t="s">
        <v>32</v>
      </c>
      <c r="D3254" t="s">
        <v>37</v>
      </c>
      <c r="E3254">
        <v>38</v>
      </c>
      <c r="F3254">
        <v>38</v>
      </c>
      <c r="G3254">
        <v>2</v>
      </c>
      <c r="H3254" s="1">
        <v>2.2337962962962962E-3</v>
      </c>
      <c r="I3254" t="s">
        <v>18</v>
      </c>
      <c r="J3254" s="2" t="str">
        <f>HYPERLINK("https://www.nba.com/stats/events?CFID=&amp;CFPARAMS=&amp;GameEventID=207&amp;GameID=0021500439&amp;Season=2015-16&amp;flag=1&amp;title=Leonard%208'%20Floating%20Jump%20Shot%20(11%20PTS)", "Leonard 8' Floating Jump Shot (11 PTS)")</f>
        <v>Leonard 8' Floating Jump Shot (11 PTS)</v>
      </c>
      <c r="K3254" s="2" t="str">
        <f>HYPERLINK("https://www.nba.com/game/...-vs-...-0021500439/play-by-play?watchFullGame=true", "SAS vs HOU - Q2 03:13.00")</f>
        <v>SAS vs HOU - Q2 03:13.00</v>
      </c>
      <c r="L3254">
        <v>8</v>
      </c>
      <c r="M3254">
        <v>38</v>
      </c>
      <c r="N3254">
        <v>75</v>
      </c>
      <c r="O3254">
        <v>38</v>
      </c>
      <c r="P3254">
        <v>75</v>
      </c>
    </row>
    <row r="3255" spans="1:16" x14ac:dyDescent="0.25">
      <c r="A3255">
        <v>22000717</v>
      </c>
      <c r="B3255">
        <v>2020</v>
      </c>
      <c r="C3255" t="s">
        <v>32</v>
      </c>
      <c r="D3255" t="s">
        <v>19</v>
      </c>
      <c r="E3255">
        <v>64</v>
      </c>
      <c r="F3255">
        <v>59</v>
      </c>
      <c r="G3255">
        <v>3</v>
      </c>
      <c r="H3255" s="1">
        <v>6.6898148148148151E-3</v>
      </c>
      <c r="I3255" t="s">
        <v>23</v>
      </c>
      <c r="J3255" s="2" t="str">
        <f>HYPERLINK("https://www.nba.com/stats/events?CFID=&amp;CFPARAMS=&amp;GameEventID=331&amp;GameID=0022000717&amp;Season=2020-21&amp;flag=1&amp;title=Leonard%209'%20turnaround%20bank%20Jump%20Shot%20(14%20PTS)", "9' turnaround bank Jump Shot (14 PTS)")</f>
        <v>9' turnaround bank Jump Shot (14 PTS)</v>
      </c>
      <c r="K3255" s="2" t="str">
        <f>HYPERLINK("https://www.nba.com/game/...-vs-...-0022000717/play-by-play?watchFullGame=true", "LAC vs MIL - Q3 09:38.00")</f>
        <v>LAC vs MIL - Q3 09:38.00</v>
      </c>
      <c r="L3255">
        <v>9.7799999999999994</v>
      </c>
      <c r="M3255">
        <v>84.84</v>
      </c>
      <c r="N3255">
        <v>57.67</v>
      </c>
      <c r="O3255">
        <v>38</v>
      </c>
      <c r="P3255">
        <v>90</v>
      </c>
    </row>
    <row r="3256" spans="1:16" x14ac:dyDescent="0.25">
      <c r="A3256">
        <v>22201196</v>
      </c>
      <c r="B3256">
        <v>2022</v>
      </c>
      <c r="C3256" t="s">
        <v>32</v>
      </c>
      <c r="D3256" t="s">
        <v>19</v>
      </c>
      <c r="E3256">
        <v>10</v>
      </c>
      <c r="F3256">
        <v>1</v>
      </c>
      <c r="G3256">
        <v>1</v>
      </c>
      <c r="H3256" s="1">
        <v>6.7361111111111111E-3</v>
      </c>
      <c r="I3256" t="s">
        <v>23</v>
      </c>
      <c r="J3256" s="2" t="str">
        <f>HYPERLINK("https://www.nba.com/stats/events?CFID=&amp;CFPARAMS=&amp;GameEventID=29&amp;GameID=0022201196&amp;Season=2022-23&amp;flag=1&amp;title=Leonard%2014'%20pullup%20Jump%20Shot%20(2%20PTS)", "14' pullup Jump Shot (2 PTS)")</f>
        <v>14' pullup Jump Shot (2 PTS)</v>
      </c>
      <c r="K3256" s="2" t="str">
        <f>HYPERLINK("https://www.nba.com/game/...-vs-...-0022201196/play-by-play?watchFullGame=true", "LAC vs LAL - Q1 09:42.00")</f>
        <v>LAC vs LAL - Q1 09:42.00</v>
      </c>
      <c r="L3256">
        <v>14.25</v>
      </c>
      <c r="M3256">
        <v>79.81</v>
      </c>
      <c r="N3256">
        <v>57.6</v>
      </c>
      <c r="O3256">
        <v>38</v>
      </c>
      <c r="P3256">
        <v>137</v>
      </c>
    </row>
    <row r="3257" spans="1:16" x14ac:dyDescent="0.25">
      <c r="A3257">
        <v>21600942</v>
      </c>
      <c r="B3257">
        <v>2016</v>
      </c>
      <c r="C3257" t="s">
        <v>32</v>
      </c>
      <c r="D3257" t="s">
        <v>29</v>
      </c>
      <c r="E3257">
        <v>2</v>
      </c>
      <c r="F3257">
        <v>0</v>
      </c>
      <c r="G3257">
        <v>1</v>
      </c>
      <c r="H3257" s="1">
        <v>7.8472222222222224E-3</v>
      </c>
      <c r="I3257" t="s">
        <v>18</v>
      </c>
      <c r="J3257" s="2" t="str">
        <f>HYPERLINK("https://www.nba.com/stats/events?CFID=&amp;CFPARAMS=&amp;GameEventID=6&amp;GameID=0021600942&amp;Season=2016-17&amp;flag=1&amp;title=Leonard%2018'%20Pullup%20Jump%20Shot%20(2%20PTS)", "Leonard 18' Pullup Jump Shot (2 PTS)")</f>
        <v>Leonard 18' Pullup Jump Shot (2 PTS)</v>
      </c>
      <c r="K3257" s="2" t="str">
        <f>HYPERLINK("https://www.nba.com/game/...-vs-...-0021600942/play-by-play?watchFullGame=true", "SAS vs HOU - Q1 11:18.00")</f>
        <v>SAS vs HOU - Q1 11:18.00</v>
      </c>
      <c r="L3257">
        <v>18</v>
      </c>
      <c r="M3257">
        <v>38</v>
      </c>
      <c r="N3257">
        <v>178</v>
      </c>
      <c r="O3257">
        <v>38</v>
      </c>
      <c r="P3257">
        <v>178</v>
      </c>
    </row>
    <row r="3258" spans="1:16" x14ac:dyDescent="0.25">
      <c r="A3258">
        <v>22200735</v>
      </c>
      <c r="B3258">
        <v>2022</v>
      </c>
      <c r="C3258" t="s">
        <v>32</v>
      </c>
      <c r="D3258" t="s">
        <v>19</v>
      </c>
      <c r="E3258">
        <v>102</v>
      </c>
      <c r="F3258">
        <v>81</v>
      </c>
      <c r="G3258">
        <v>3</v>
      </c>
      <c r="H3258" s="1">
        <v>6.9444444444444447E-4</v>
      </c>
      <c r="I3258" t="s">
        <v>23</v>
      </c>
      <c r="J3258" s="2" t="str">
        <f>HYPERLINK("https://www.nba.com/stats/events?CFID=&amp;CFPARAMS=&amp;GameEventID=467&amp;GameID=0022200735&amp;Season=2022-23&amp;flag=1&amp;title=Leonard%2019'%20fadeaway%20Jump%20Shot%20(27%20PTS)", "19' fadeaway Jump Shot (27 PTS)")</f>
        <v>19' fadeaway Jump Shot (27 PTS)</v>
      </c>
      <c r="K3258" s="2" t="str">
        <f>HYPERLINK("https://www.nba.com/game/...-vs-...-0022200735/play-by-play?watchFullGame=true", "LAC vs SAS - Q3 01:00.00")</f>
        <v>LAC vs SAS - Q3 01:00.00</v>
      </c>
      <c r="L3258">
        <v>19.14</v>
      </c>
      <c r="M3258">
        <v>25.54</v>
      </c>
      <c r="N3258">
        <v>42.4</v>
      </c>
      <c r="O3258">
        <v>38</v>
      </c>
      <c r="P3258">
        <v>188</v>
      </c>
    </row>
    <row r="3259" spans="1:16" x14ac:dyDescent="0.25">
      <c r="A3259">
        <v>22300074</v>
      </c>
      <c r="B3259">
        <v>2023</v>
      </c>
      <c r="C3259" t="s">
        <v>16</v>
      </c>
      <c r="D3259" t="s">
        <v>19</v>
      </c>
      <c r="E3259">
        <v>77</v>
      </c>
      <c r="F3259">
        <v>54</v>
      </c>
      <c r="G3259">
        <v>3</v>
      </c>
      <c r="H3259" s="1">
        <v>6.7939814814814816E-3</v>
      </c>
      <c r="I3259" t="s">
        <v>23</v>
      </c>
      <c r="J3259" s="2" t="str">
        <f>HYPERLINK("https://www.nba.com/stats/events?CFID=&amp;CFPARAMS=&amp;GameEventID=381&amp;GameID=0022300074&amp;Season=2023-24&amp;flag=1&amp;title=Leonard%2025'%203PT%20pullup%20(13%20PTS)", "25' 3PT pullup (13 PTS)")</f>
        <v>25' 3PT pullup (13 PTS)</v>
      </c>
      <c r="K3259" s="2" t="str">
        <f>HYPERLINK("https://www.nba.com/game/...-vs-...-0022300074/play-by-play?watchFullGame=true", "LAC vs POR - Q3 09:47.00")</f>
        <v>LAC vs POR - Q3 09:47.00</v>
      </c>
      <c r="L3259">
        <v>25.83</v>
      </c>
      <c r="M3259">
        <v>32.770000000000003</v>
      </c>
      <c r="N3259">
        <v>42.4</v>
      </c>
      <c r="O3259">
        <v>38</v>
      </c>
      <c r="P3259">
        <v>256</v>
      </c>
    </row>
    <row r="3260" spans="1:16" x14ac:dyDescent="0.25">
      <c r="A3260">
        <v>41800211</v>
      </c>
      <c r="B3260" t="s">
        <v>20</v>
      </c>
      <c r="C3260" t="s">
        <v>16</v>
      </c>
      <c r="D3260" t="s">
        <v>31</v>
      </c>
      <c r="E3260">
        <v>81</v>
      </c>
      <c r="F3260">
        <v>64</v>
      </c>
      <c r="G3260">
        <v>3</v>
      </c>
      <c r="H3260" s="1">
        <v>4.1898148148148146E-3</v>
      </c>
      <c r="I3260" t="s">
        <v>21</v>
      </c>
      <c r="J3260" s="2" t="str">
        <f>HYPERLINK("https://www.nba.com/stats/events?CFID=&amp;CFPARAMS=&amp;GameEventID=384&amp;GameID=0041800211&amp;Season=2018-19&amp;flag=1&amp;title=Leonard%2026'%203PT%20Step%20Back%20Jump%20Shot%20(33%20PTS)", "Leonard 26' 3PT Step Back Jump Shot (33 PTS)")</f>
        <v>Leonard 26' 3PT Step Back Jump Shot (33 PTS)</v>
      </c>
      <c r="K3260" s="2" t="str">
        <f>HYPERLINK("https://www.nba.com/game/...-vs-...-0041800211/play-by-play?watchFullGame=true", "TOR vs PHI - Q3 06:02.00")</f>
        <v>TOR vs PHI - Q3 06:02.00</v>
      </c>
      <c r="L3260">
        <v>26</v>
      </c>
      <c r="M3260">
        <v>38</v>
      </c>
      <c r="N3260">
        <v>259</v>
      </c>
      <c r="O3260">
        <v>38</v>
      </c>
      <c r="P3260">
        <v>259</v>
      </c>
    </row>
    <row r="3261" spans="1:16" x14ac:dyDescent="0.25">
      <c r="A3261">
        <v>21900359</v>
      </c>
      <c r="B3261">
        <v>2019</v>
      </c>
      <c r="C3261" t="s">
        <v>16</v>
      </c>
      <c r="D3261" t="s">
        <v>22</v>
      </c>
      <c r="E3261">
        <v>71</v>
      </c>
      <c r="F3261">
        <v>83</v>
      </c>
      <c r="G3261">
        <v>3</v>
      </c>
      <c r="H3261" s="1">
        <v>1.1574074074074073E-3</v>
      </c>
      <c r="I3261" t="s">
        <v>23</v>
      </c>
      <c r="J3261" s="2" t="str">
        <f>HYPERLINK("https://www.nba.com/stats/events?CFID=&amp;CFPARAMS=&amp;GameEventID=511&amp;GameID=0021900359&amp;Season=2019-20&amp;flag=1&amp;title=Leonard%2027'%203PT%20%20(16%20PTS)%20(M.%20Harrell%203%20AST)", "27' 3PT  (16 PTS) (M. Harrell 3 AST)")</f>
        <v>27' 3PT  (16 PTS) (M. Harrell 3 AST)</v>
      </c>
      <c r="K3261" s="2" t="str">
        <f>HYPERLINK("https://www.nba.com/game/...-vs-...-0021900359/play-by-play?watchFullGame=true", "LAC vs TOR - Q3 01:40.00")</f>
        <v>LAC vs TOR - Q3 01:40.00</v>
      </c>
      <c r="L3261">
        <v>27.48</v>
      </c>
      <c r="M3261">
        <v>66.05</v>
      </c>
      <c r="N3261">
        <v>57.67</v>
      </c>
      <c r="O3261">
        <v>38</v>
      </c>
      <c r="P3261">
        <v>267</v>
      </c>
    </row>
    <row r="3262" spans="1:16" x14ac:dyDescent="0.25">
      <c r="A3262">
        <v>21900305</v>
      </c>
      <c r="B3262">
        <v>2019</v>
      </c>
      <c r="C3262" t="s">
        <v>16</v>
      </c>
      <c r="D3262" t="s">
        <v>22</v>
      </c>
      <c r="E3262">
        <v>73</v>
      </c>
      <c r="F3262">
        <v>62</v>
      </c>
      <c r="G3262">
        <v>3</v>
      </c>
      <c r="H3262" s="1">
        <v>6.0069444444444441E-3</v>
      </c>
      <c r="I3262" t="s">
        <v>23</v>
      </c>
      <c r="J3262" s="2" t="str">
        <f>HYPERLINK("https://www.nba.com/stats/events?CFID=&amp;CFPARAMS=&amp;GameEventID=336&amp;GameID=0021900305&amp;Season=2019-20&amp;flag=1&amp;title=Leonard%2028'%203PT%20%20(11%20PTS)%20(M.%20Harkless%201%20AST)", "28' 3PT  (11 PTS) (M. Harkless 1 AST)")</f>
        <v>28' 3PT  (11 PTS) (M. Harkless 1 AST)</v>
      </c>
      <c r="K3262" s="2" t="str">
        <f>HYPERLINK("https://www.nba.com/game/...-vs-...-0021900305/play-by-play?watchFullGame=true", "LAC vs POR - Q3 08:39.00")</f>
        <v>LAC vs POR - Q3 08:39.00</v>
      </c>
      <c r="L3262">
        <v>27.61</v>
      </c>
      <c r="M3262">
        <v>34.08</v>
      </c>
      <c r="N3262">
        <v>42.33</v>
      </c>
      <c r="O3262">
        <v>38</v>
      </c>
      <c r="P3262">
        <v>268</v>
      </c>
    </row>
    <row r="3263" spans="1:16" x14ac:dyDescent="0.25">
      <c r="A3263">
        <v>21400361</v>
      </c>
      <c r="B3263">
        <v>2014</v>
      </c>
      <c r="C3263" t="s">
        <v>32</v>
      </c>
      <c r="D3263" t="s">
        <v>70</v>
      </c>
      <c r="E3263">
        <v>38</v>
      </c>
      <c r="F3263">
        <v>33</v>
      </c>
      <c r="G3263">
        <v>2</v>
      </c>
      <c r="H3263" s="1">
        <v>3.414351851851852E-3</v>
      </c>
      <c r="I3263" t="s">
        <v>18</v>
      </c>
      <c r="J3263" s="2" t="str">
        <f>HYPERLINK("https://www.nba.com/stats/events?CFID=&amp;CFPARAMS=&amp;GameEventID=191&amp;GameID=0021400361&amp;Season=2014-15&amp;flag=1&amp;title=Leonard%204'%20Driving%20Hook%20Shot%20(5%20PTS)", "Leonard 4' Driving Hook Shot (5 PTS)")</f>
        <v>Leonard 4' Driving Hook Shot (5 PTS)</v>
      </c>
      <c r="K3263" s="2" t="str">
        <f>HYPERLINK("https://www.nba.com/game/...-vs-...-0021400361/play-by-play?watchFullGame=true", "SAS vs POR - Q2 04:55.00")</f>
        <v>SAS vs POR - Q2 04:55.00</v>
      </c>
      <c r="L3263">
        <v>4</v>
      </c>
      <c r="M3263">
        <v>39</v>
      </c>
      <c r="N3263">
        <v>4</v>
      </c>
      <c r="O3263">
        <v>39</v>
      </c>
      <c r="P3263">
        <v>4</v>
      </c>
    </row>
    <row r="3264" spans="1:16" x14ac:dyDescent="0.25">
      <c r="A3264">
        <v>41200235</v>
      </c>
      <c r="B3264" t="s">
        <v>27</v>
      </c>
      <c r="C3264" t="s">
        <v>32</v>
      </c>
      <c r="D3264" t="s">
        <v>19</v>
      </c>
      <c r="E3264">
        <v>20</v>
      </c>
      <c r="F3264">
        <v>15</v>
      </c>
      <c r="G3264">
        <v>1</v>
      </c>
      <c r="H3264" s="1">
        <v>3.2870370370370371E-3</v>
      </c>
      <c r="I3264" t="s">
        <v>18</v>
      </c>
      <c r="J3264" s="2" t="str">
        <f>HYPERLINK("https://www.nba.com/stats/events?CFID=&amp;CFPARAMS=&amp;GameEventID=68&amp;GameID=0041200235&amp;Season=2012-13&amp;flag=1&amp;title=Leonard%207'%20Jump%20Shot%20(4%20PTS)%20(Ginobili%201%20AST)", "Leonard 7' Jump Shot (4 PTS) (Ginobili 1 AST)")</f>
        <v>Leonard 7' Jump Shot (4 PTS) (Ginobili 1 AST)</v>
      </c>
      <c r="K3264" s="2" t="str">
        <f>HYPERLINK("https://www.nba.com/game/...-vs-...-0041200235/play-by-play?watchFullGame=true", "SAS vs GSW - Q1 04:44.00")</f>
        <v>SAS vs GSW - Q1 04:44.00</v>
      </c>
      <c r="L3264">
        <v>7</v>
      </c>
      <c r="M3264">
        <v>39</v>
      </c>
      <c r="N3264">
        <v>58</v>
      </c>
      <c r="O3264">
        <v>39</v>
      </c>
      <c r="P3264">
        <v>58</v>
      </c>
    </row>
    <row r="3265" spans="1:16" x14ac:dyDescent="0.25">
      <c r="A3265">
        <v>21900516</v>
      </c>
      <c r="B3265">
        <v>2019</v>
      </c>
      <c r="C3265" t="s">
        <v>32</v>
      </c>
      <c r="D3265" t="s">
        <v>22</v>
      </c>
      <c r="E3265">
        <v>56</v>
      </c>
      <c r="F3265">
        <v>56</v>
      </c>
      <c r="G3265">
        <v>2</v>
      </c>
      <c r="H3265" s="1">
        <v>3.1597222222222222E-3</v>
      </c>
      <c r="I3265" t="s">
        <v>23</v>
      </c>
      <c r="J3265" s="2" t="str">
        <f>HYPERLINK("https://www.nba.com/stats/events?CFID=&amp;CFPARAMS=&amp;GameEventID=290&amp;GameID=0021900516&amp;Season=2019-20&amp;flag=1&amp;title=Leonard%2010'%20jumpshot%20(10%20PTS)", "10' jumpshot (10 PTS)")</f>
        <v>10' jumpshot (10 PTS)</v>
      </c>
      <c r="K3265" s="2" t="str">
        <f>HYPERLINK("https://www.nba.com/game/...-vs-...-0021900516/play-by-play?watchFullGame=true", "LAC vs DET - Q2 04:33.00")</f>
        <v>LAC vs DET - Q2 04:33.00</v>
      </c>
      <c r="L3265">
        <v>10.34</v>
      </c>
      <c r="M3265">
        <v>84.81</v>
      </c>
      <c r="N3265">
        <v>57.77</v>
      </c>
      <c r="O3265">
        <v>39</v>
      </c>
      <c r="P3265">
        <v>90</v>
      </c>
    </row>
    <row r="3266" spans="1:16" x14ac:dyDescent="0.25">
      <c r="A3266">
        <v>22000457</v>
      </c>
      <c r="B3266">
        <v>2020</v>
      </c>
      <c r="C3266" t="s">
        <v>32</v>
      </c>
      <c r="D3266" t="s">
        <v>19</v>
      </c>
      <c r="E3266">
        <v>4</v>
      </c>
      <c r="F3266">
        <v>7</v>
      </c>
      <c r="G3266">
        <v>1</v>
      </c>
      <c r="H3266" s="1">
        <v>6.7245370370370367E-3</v>
      </c>
      <c r="I3266" t="s">
        <v>23</v>
      </c>
      <c r="J3266" s="2" t="str">
        <f>HYPERLINK("https://www.nba.com/stats/events?CFID=&amp;CFPARAMS=&amp;GameEventID=22&amp;GameID=0022000457&amp;Season=2020-21&amp;flag=1&amp;title=Leonard%2010'%20pullup%20Jump%20Shot%20(2%20PTS)", "10' pullup Jump Shot (2 PTS)")</f>
        <v>10' pullup Jump Shot (2 PTS)</v>
      </c>
      <c r="K3266" s="2" t="str">
        <f>HYPERLINK("https://www.nba.com/game/...-vs-...-0022000457/play-by-play?watchFullGame=true", "LAC vs UTA - Q1 09:41.00")</f>
        <v>LAC vs UTA - Q1 09:41.00</v>
      </c>
      <c r="L3266">
        <v>10.17</v>
      </c>
      <c r="M3266">
        <v>15.59</v>
      </c>
      <c r="N3266">
        <v>42.23</v>
      </c>
      <c r="O3266">
        <v>39</v>
      </c>
      <c r="P3266">
        <v>94</v>
      </c>
    </row>
    <row r="3267" spans="1:16" x14ac:dyDescent="0.25">
      <c r="A3267">
        <v>22201082</v>
      </c>
      <c r="B3267">
        <v>2022</v>
      </c>
      <c r="C3267" t="s">
        <v>32</v>
      </c>
      <c r="D3267" t="s">
        <v>19</v>
      </c>
      <c r="E3267">
        <v>45</v>
      </c>
      <c r="F3267">
        <v>41</v>
      </c>
      <c r="G3267">
        <v>2</v>
      </c>
      <c r="H3267" s="1">
        <v>2.5694444444444445E-3</v>
      </c>
      <c r="I3267" t="s">
        <v>23</v>
      </c>
      <c r="J3267" s="2" t="str">
        <f>HYPERLINK("https://www.nba.com/stats/events?CFID=&amp;CFPARAMS=&amp;GameEventID=287&amp;GameID=0022201082&amp;Season=2022-23&amp;flag=1&amp;title=Leonard%2010'%20fadeaway%20Jump%20Shot%20(8%20PTS)", "10' fadeaway Jump Shot (8 PTS)")</f>
        <v>10' fadeaway Jump Shot (8 PTS)</v>
      </c>
      <c r="K3267" s="2" t="str">
        <f>HYPERLINK("https://www.nba.com/game/...-vs-...-0022201082/play-by-play?watchFullGame=true", "LAC vs OKC - Q2 03:42.00")</f>
        <v>LAC vs OKC - Q2 03:42.00</v>
      </c>
      <c r="L3267">
        <v>10.99</v>
      </c>
      <c r="M3267">
        <v>83.49</v>
      </c>
      <c r="N3267">
        <v>57.84</v>
      </c>
      <c r="O3267">
        <v>39</v>
      </c>
      <c r="P3267">
        <v>103</v>
      </c>
    </row>
    <row r="3268" spans="1:16" x14ac:dyDescent="0.25">
      <c r="A3268">
        <v>21601193</v>
      </c>
      <c r="B3268">
        <v>2016</v>
      </c>
      <c r="C3268" t="s">
        <v>32</v>
      </c>
      <c r="D3268" t="s">
        <v>70</v>
      </c>
      <c r="E3268">
        <v>38</v>
      </c>
      <c r="F3268">
        <v>39</v>
      </c>
      <c r="G3268">
        <v>2</v>
      </c>
      <c r="H3268" s="1">
        <v>3.5069444444444445E-3</v>
      </c>
      <c r="I3268" t="s">
        <v>18</v>
      </c>
      <c r="J3268" s="2" t="str">
        <f>HYPERLINK("https://www.nba.com/stats/events?CFID=&amp;CFPARAMS=&amp;GameEventID=182&amp;GameID=0021601193&amp;Season=2016-17&amp;flag=1&amp;title=Leonard%204'%20Driving%20Hook%20Shot%20(9%20PTS)", "Leonard 4' Driving Hook Shot (9 PTS)")</f>
        <v>Leonard 4' Driving Hook Shot (9 PTS)</v>
      </c>
      <c r="K3268" s="2" t="str">
        <f>HYPERLINK("https://www.nba.com/game/...-vs-...-0021601193/play-by-play?watchFullGame=true", "SAS vs LAC - Q2 05:03.00")</f>
        <v>SAS vs LAC - Q2 05:03.00</v>
      </c>
      <c r="L3268">
        <v>4</v>
      </c>
      <c r="M3268">
        <v>40</v>
      </c>
      <c r="N3268">
        <v>16</v>
      </c>
      <c r="O3268">
        <v>40</v>
      </c>
      <c r="P3268">
        <v>16</v>
      </c>
    </row>
    <row r="3269" spans="1:16" x14ac:dyDescent="0.25">
      <c r="A3269">
        <v>21600206</v>
      </c>
      <c r="B3269">
        <v>2016</v>
      </c>
      <c r="C3269" t="s">
        <v>32</v>
      </c>
      <c r="D3269" t="s">
        <v>89</v>
      </c>
      <c r="E3269">
        <v>14</v>
      </c>
      <c r="F3269">
        <v>16</v>
      </c>
      <c r="G3269">
        <v>1</v>
      </c>
      <c r="H3269" s="1">
        <v>3.7962962962962963E-3</v>
      </c>
      <c r="I3269" t="s">
        <v>18</v>
      </c>
      <c r="J3269" s="2" t="str">
        <f>HYPERLINK("https://www.nba.com/stats/events?CFID=&amp;CFPARAMS=&amp;GameEventID=43&amp;GameID=0021600206&amp;Season=2016-17&amp;flag=1&amp;title=Leonard%204'%20Hook%20Bank%20Shot%20(7%20PTS)%20(Lee%201%20AST)", "Leonard 4' Hook Bank Shot (7 PTS) (Lee 1 AST)")</f>
        <v>Leonard 4' Hook Bank Shot (7 PTS) (Lee 1 AST)</v>
      </c>
      <c r="K3269" s="2" t="str">
        <f>HYPERLINK("https://www.nba.com/game/...-vs-...-0021600206/play-by-play?watchFullGame=true", "SAS vs DAL - Q1 05:28.00")</f>
        <v>SAS vs DAL - Q1 05:28.00</v>
      </c>
      <c r="L3269">
        <v>4</v>
      </c>
      <c r="M3269">
        <v>40</v>
      </c>
      <c r="N3269">
        <v>18</v>
      </c>
      <c r="O3269">
        <v>40</v>
      </c>
      <c r="P3269">
        <v>18</v>
      </c>
    </row>
    <row r="3270" spans="1:16" x14ac:dyDescent="0.25">
      <c r="A3270">
        <v>21501001</v>
      </c>
      <c r="B3270">
        <v>2015</v>
      </c>
      <c r="C3270" t="s">
        <v>32</v>
      </c>
      <c r="D3270" t="s">
        <v>38</v>
      </c>
      <c r="E3270">
        <v>86</v>
      </c>
      <c r="F3270">
        <v>77</v>
      </c>
      <c r="G3270">
        <v>4</v>
      </c>
      <c r="H3270" s="1">
        <v>5.2430555555555555E-3</v>
      </c>
      <c r="I3270" t="s">
        <v>18</v>
      </c>
      <c r="J3270" s="2" t="str">
        <f>HYPERLINK("https://www.nba.com/stats/events?CFID=&amp;CFPARAMS=&amp;GameEventID=403&amp;GameID=0021501001&amp;Season=2015-16&amp;flag=1&amp;title=Leonard%205'%20Jump%20Bank%20Shot%20(18%20PTS)", "Leonard 5' Jump Bank Shot (18 PTS)")</f>
        <v>Leonard 5' Jump Bank Shot (18 PTS)</v>
      </c>
      <c r="K3270" s="2" t="str">
        <f>HYPERLINK("https://www.nba.com/game/...-vs-...-0021501001/play-by-play?watchFullGame=true", "SAS vs LAC - Q4 07:33.00")</f>
        <v>SAS vs LAC - Q4 07:33.00</v>
      </c>
      <c r="L3270">
        <v>5</v>
      </c>
      <c r="M3270">
        <v>40</v>
      </c>
      <c r="N3270">
        <v>21</v>
      </c>
      <c r="O3270">
        <v>40</v>
      </c>
      <c r="P3270">
        <v>21</v>
      </c>
    </row>
    <row r="3271" spans="1:16" x14ac:dyDescent="0.25">
      <c r="A3271">
        <v>22300848</v>
      </c>
      <c r="B3271">
        <v>2023</v>
      </c>
      <c r="C3271" t="s">
        <v>32</v>
      </c>
      <c r="D3271" t="s">
        <v>19</v>
      </c>
      <c r="E3271">
        <v>106</v>
      </c>
      <c r="F3271">
        <v>99</v>
      </c>
      <c r="G3271">
        <v>4</v>
      </c>
      <c r="H3271" s="1">
        <v>4.5370370370370373E-3</v>
      </c>
      <c r="I3271" t="s">
        <v>23</v>
      </c>
      <c r="J3271" s="2" t="str">
        <f>HYPERLINK("https://www.nba.com/stats/events?CFID=&amp;CFPARAMS=&amp;GameEventID=553&amp;GameID=0022300848&amp;Season=2023-24&amp;flag=1&amp;title=Leonard%20driving%20bank%20Jump%20Shot%20(22%20PTS)", "Driving bank Jump Shot (22 PTS)")</f>
        <v>Driving bank Jump Shot (22 PTS)</v>
      </c>
      <c r="K3271" s="2" t="str">
        <f>HYPERLINK("https://www.nba.com/game/...-vs-...-0022300848/play-by-play?watchFullGame=true", "LAC vs LAL - Q4 06:32.00")</f>
        <v>LAC vs LAL - Q4 06:32.00</v>
      </c>
      <c r="L3271">
        <v>5.15</v>
      </c>
      <c r="M3271">
        <v>8.98</v>
      </c>
      <c r="N3271">
        <v>41.91</v>
      </c>
      <c r="O3271">
        <v>40</v>
      </c>
      <c r="P3271">
        <v>32</v>
      </c>
    </row>
    <row r="3272" spans="1:16" x14ac:dyDescent="0.25">
      <c r="A3272">
        <v>22000554</v>
      </c>
      <c r="B3272">
        <v>2020</v>
      </c>
      <c r="C3272" t="s">
        <v>32</v>
      </c>
      <c r="D3272" t="s">
        <v>19</v>
      </c>
      <c r="E3272">
        <v>35</v>
      </c>
      <c r="F3272">
        <v>36</v>
      </c>
      <c r="G3272">
        <v>2</v>
      </c>
      <c r="H3272" s="1">
        <v>5.5555555555555558E-3</v>
      </c>
      <c r="I3272" t="s">
        <v>23</v>
      </c>
      <c r="J3272" s="2" t="str">
        <f>HYPERLINK("https://www.nba.com/stats/events?CFID=&amp;CFPARAMS=&amp;GameEventID=219&amp;GameID=0022000554&amp;Season=2020-21&amp;flag=1&amp;title=Leonard%20driving%20floating%20bank%20Jump%20Shot%20(10%20PTS)", "Driving floating bank Jump Shot (10 PTS)")</f>
        <v>Driving floating bank Jump Shot (10 PTS)</v>
      </c>
      <c r="K3272" s="2" t="str">
        <f>HYPERLINK("https://www.nba.com/game/...-vs-...-0022000554/play-by-play?watchFullGame=true", "LAC vs WAS - Q2 08:00.00")</f>
        <v>LAC vs WAS - Q2 08:00.00</v>
      </c>
      <c r="L3272">
        <v>5.47</v>
      </c>
      <c r="M3272">
        <v>9.5399999999999991</v>
      </c>
      <c r="N3272">
        <v>41.98</v>
      </c>
      <c r="O3272">
        <v>40</v>
      </c>
      <c r="P3272">
        <v>37</v>
      </c>
    </row>
    <row r="3273" spans="1:16" x14ac:dyDescent="0.25">
      <c r="A3273">
        <v>21400836</v>
      </c>
      <c r="B3273">
        <v>2014</v>
      </c>
      <c r="C3273" t="s">
        <v>32</v>
      </c>
      <c r="D3273" t="s">
        <v>42</v>
      </c>
      <c r="E3273">
        <v>60</v>
      </c>
      <c r="F3273">
        <v>51</v>
      </c>
      <c r="G3273">
        <v>3</v>
      </c>
      <c r="H3273" s="1">
        <v>4.2592592592592595E-3</v>
      </c>
      <c r="I3273" t="s">
        <v>18</v>
      </c>
      <c r="J3273" s="2" t="str">
        <f>HYPERLINK("https://www.nba.com/stats/events?CFID=&amp;CFPARAMS=&amp;GameEventID=313&amp;GameID=0021400836&amp;Season=2014-15&amp;flag=1&amp;title=Leonard%206'%20Driving%20Jump%20Shot%20(7%20PTS)", "Leonard 6' Driving Jump Shot (7 PTS)")</f>
        <v>Leonard 6' Driving Jump Shot (7 PTS)</v>
      </c>
      <c r="K3273" s="2" t="str">
        <f>HYPERLINK("https://www.nba.com/game/...-vs-...-0021400836/play-by-play?watchFullGame=true", "SAS vs UTA - Q3 06:08.00")</f>
        <v>SAS vs UTA - Q3 06:08.00</v>
      </c>
      <c r="L3273">
        <v>6</v>
      </c>
      <c r="M3273">
        <v>40</v>
      </c>
      <c r="N3273">
        <v>39</v>
      </c>
      <c r="O3273">
        <v>40</v>
      </c>
      <c r="P3273">
        <v>39</v>
      </c>
    </row>
    <row r="3274" spans="1:16" x14ac:dyDescent="0.25">
      <c r="A3274">
        <v>21300978</v>
      </c>
      <c r="B3274">
        <v>2013</v>
      </c>
      <c r="C3274" t="s">
        <v>32</v>
      </c>
      <c r="D3274" t="s">
        <v>19</v>
      </c>
      <c r="E3274">
        <v>63</v>
      </c>
      <c r="F3274">
        <v>34</v>
      </c>
      <c r="G3274">
        <v>3</v>
      </c>
      <c r="H3274" s="1">
        <v>7.4768518518518517E-3</v>
      </c>
      <c r="I3274" t="s">
        <v>18</v>
      </c>
      <c r="J3274" s="2" t="str">
        <f>HYPERLINK("https://www.nba.com/stats/events?CFID=&amp;CFPARAMS=&amp;GameEventID=290&amp;GameID=0021300978&amp;Season=2013-14&amp;flag=1&amp;title=Leonard%208'%20Jump%20Shot%20(8%20PTS)", "Leonard 8' Jump Shot (8 PTS)")</f>
        <v>Leonard 8' Jump Shot (8 PTS)</v>
      </c>
      <c r="K3274" s="2" t="str">
        <f>HYPERLINK("https://www.nba.com/game/...-vs-...-0021300978/play-by-play?watchFullGame=true", "SAS vs LAL - Q3 10:46.00")</f>
        <v>SAS vs LAL - Q3 10:46.00</v>
      </c>
      <c r="L3274">
        <v>8</v>
      </c>
      <c r="M3274">
        <v>40</v>
      </c>
      <c r="N3274">
        <v>74</v>
      </c>
      <c r="O3274">
        <v>40</v>
      </c>
      <c r="P3274">
        <v>74</v>
      </c>
    </row>
    <row r="3275" spans="1:16" x14ac:dyDescent="0.25">
      <c r="A3275">
        <v>21500784</v>
      </c>
      <c r="B3275">
        <v>2015</v>
      </c>
      <c r="C3275" t="s">
        <v>32</v>
      </c>
      <c r="D3275" t="s">
        <v>24</v>
      </c>
      <c r="E3275">
        <v>61</v>
      </c>
      <c r="F3275">
        <v>75</v>
      </c>
      <c r="G3275">
        <v>3</v>
      </c>
      <c r="H3275" s="1">
        <v>2.9166666666666668E-3</v>
      </c>
      <c r="I3275" t="s">
        <v>18</v>
      </c>
      <c r="J3275" s="2" t="str">
        <f>HYPERLINK("https://www.nba.com/stats/events?CFID=&amp;CFPARAMS=&amp;GameEventID=325&amp;GameID=0021500784&amp;Season=2015-16&amp;flag=1&amp;title=Leonard%2010'%20Turnaround%20Jump%20Shot%20(15%20PTS)", "Leonard 10' Turnaround Jump Shot (15 PTS)")</f>
        <v>Leonard 10' Turnaround Jump Shot (15 PTS)</v>
      </c>
      <c r="K3275" s="2" t="str">
        <f>HYPERLINK("https://www.nba.com/game/...-vs-...-0021500784/play-by-play?watchFullGame=true", "SAS vs MIA - Q3 04:12.00")</f>
        <v>SAS vs MIA - Q3 04:12.00</v>
      </c>
      <c r="L3275">
        <v>10</v>
      </c>
      <c r="M3275">
        <v>40</v>
      </c>
      <c r="N3275">
        <v>95</v>
      </c>
      <c r="O3275">
        <v>40</v>
      </c>
      <c r="P3275">
        <v>95</v>
      </c>
    </row>
    <row r="3276" spans="1:16" x14ac:dyDescent="0.25">
      <c r="A3276">
        <v>22400793</v>
      </c>
      <c r="B3276">
        <v>2024</v>
      </c>
      <c r="C3276" t="s">
        <v>32</v>
      </c>
      <c r="D3276" t="s">
        <v>44</v>
      </c>
      <c r="E3276">
        <v>6</v>
      </c>
      <c r="F3276">
        <v>11</v>
      </c>
      <c r="G3276">
        <v>1</v>
      </c>
      <c r="H3276" s="1">
        <v>4.8148148148148152E-3</v>
      </c>
      <c r="I3276" t="s">
        <v>23</v>
      </c>
      <c r="J3276" s="2" t="str">
        <f>HYPERLINK("https://www.nba.com/stats/events?CFID=&amp;CFPARAMS=&amp;GameEventID=59&amp;GameID=0022400793&amp;Season=2024-25&amp;flag=1&amp;title=Leonard%2010'%20driving%20Hook%20(5%20PTS)", "10' driving Hook (5 PTS)")</f>
        <v>10' driving Hook (5 PTS)</v>
      </c>
      <c r="K3276" s="2" t="str">
        <f>HYPERLINK("https://www.nba.com/game/...-vs-...-0022400793/play-by-play?watchFullGame=true", "LAC vs MIL - Q1 06:56.00")</f>
        <v>LAC vs MIL - Q1 06:56.00</v>
      </c>
      <c r="L3276">
        <v>10.69</v>
      </c>
      <c r="M3276">
        <v>16.11</v>
      </c>
      <c r="N3276">
        <v>41.91</v>
      </c>
      <c r="O3276">
        <v>40</v>
      </c>
      <c r="P3276">
        <v>99</v>
      </c>
    </row>
    <row r="3277" spans="1:16" x14ac:dyDescent="0.25">
      <c r="A3277">
        <v>22300014</v>
      </c>
      <c r="B3277">
        <v>2023</v>
      </c>
      <c r="C3277" t="s">
        <v>32</v>
      </c>
      <c r="D3277" t="s">
        <v>19</v>
      </c>
      <c r="E3277">
        <v>99</v>
      </c>
      <c r="F3277">
        <v>72</v>
      </c>
      <c r="G3277">
        <v>3</v>
      </c>
      <c r="H3277" s="1">
        <v>3.7037037037037038E-3</v>
      </c>
      <c r="I3277" t="s">
        <v>23</v>
      </c>
      <c r="J3277" s="2" t="str">
        <f>HYPERLINK("https://www.nba.com/stats/events?CFID=&amp;CFPARAMS=&amp;GameEventID=454&amp;GameID=0022300014&amp;Season=2023-24&amp;flag=1&amp;title=Leonard%2011'%20pullup%20Jump%20Shot%20(23%20PTS)", "11' pullup Jump Shot (23 PTS)")</f>
        <v>11' pullup Jump Shot (23 PTS)</v>
      </c>
      <c r="K3277" s="2" t="str">
        <f>HYPERLINK("https://www.nba.com/game/...-vs-...-0022300014/play-by-play?watchFullGame=true", "LAC vs DAL - Q3 05:20.00")</f>
        <v>LAC vs DAL - Q3 05:20.00</v>
      </c>
      <c r="L3277">
        <v>11.15</v>
      </c>
      <c r="M3277">
        <v>16.64</v>
      </c>
      <c r="N3277">
        <v>41.91</v>
      </c>
      <c r="O3277">
        <v>40</v>
      </c>
      <c r="P3277">
        <v>104</v>
      </c>
    </row>
    <row r="3278" spans="1:16" x14ac:dyDescent="0.25">
      <c r="A3278">
        <v>22300770</v>
      </c>
      <c r="B3278">
        <v>2023</v>
      </c>
      <c r="C3278" t="s">
        <v>32</v>
      </c>
      <c r="D3278" t="s">
        <v>19</v>
      </c>
      <c r="E3278">
        <v>66</v>
      </c>
      <c r="F3278">
        <v>68</v>
      </c>
      <c r="G3278">
        <v>3</v>
      </c>
      <c r="H3278" s="1">
        <v>3.8888888888888888E-3</v>
      </c>
      <c r="I3278" t="s">
        <v>23</v>
      </c>
      <c r="J3278" s="2" t="str">
        <f>HYPERLINK("https://www.nba.com/stats/events?CFID=&amp;CFPARAMS=&amp;GameEventID=390&amp;GameID=0022300770&amp;Season=2023-24&amp;flag=1&amp;title=Leonard%2011'%20fadeaway%20Jump%20Shot%20(18%20PTS)%20(P.%20George%203%20AST)", "11' fadeaway Jump Shot (18 PTS) (P. George 3 AST)")</f>
        <v>11' fadeaway Jump Shot (18 PTS) (P. George 3 AST)</v>
      </c>
      <c r="K3278" s="2" t="str">
        <f>HYPERLINK("https://www.nba.com/game/...-vs-...-0022300770/play-by-play?watchFullGame=true", "LAC vs MIN - Q3 05:36.00")</f>
        <v>LAC vs MIN - Q3 05:36.00</v>
      </c>
      <c r="L3278">
        <v>11.84</v>
      </c>
      <c r="M3278">
        <v>82.57</v>
      </c>
      <c r="N3278">
        <v>58.09</v>
      </c>
      <c r="O3278">
        <v>40</v>
      </c>
      <c r="P3278">
        <v>111</v>
      </c>
    </row>
    <row r="3279" spans="1:16" x14ac:dyDescent="0.25">
      <c r="A3279">
        <v>21901241</v>
      </c>
      <c r="B3279">
        <v>2019</v>
      </c>
      <c r="C3279" t="s">
        <v>32</v>
      </c>
      <c r="D3279" t="s">
        <v>22</v>
      </c>
      <c r="E3279">
        <v>14</v>
      </c>
      <c r="F3279">
        <v>5</v>
      </c>
      <c r="G3279">
        <v>1</v>
      </c>
      <c r="H3279" s="1">
        <v>6.1805555555555555E-3</v>
      </c>
      <c r="I3279" t="s">
        <v>23</v>
      </c>
      <c r="J3279" s="2" t="str">
        <f>HYPERLINK("https://www.nba.com/stats/events?CFID=&amp;CFPARAMS=&amp;GameEventID=31&amp;GameID=0021901241&amp;Season=2019-20&amp;flag=1&amp;title=Leonard%2020'%20jumpshot%20(2%20PTS)%20(I.%20Zubac%202%20AST)", "20' jumpshot (2 PTS) (I. Zubac 2 AST)")</f>
        <v>20' jumpshot (2 PTS) (I. Zubac 2 AST)</v>
      </c>
      <c r="K3279" s="2" t="str">
        <f>HYPERLINK("https://www.nba.com/game/...-vs-...-0021901241/play-by-play?watchFullGame=true", "LAC vs NOP - Q1 08:54.00")</f>
        <v>LAC vs NOP - Q1 08:54.00</v>
      </c>
      <c r="L3279">
        <v>20.36</v>
      </c>
      <c r="M3279">
        <v>26.23</v>
      </c>
      <c r="N3279">
        <v>41.98</v>
      </c>
      <c r="O3279">
        <v>40</v>
      </c>
      <c r="P3279">
        <v>194</v>
      </c>
    </row>
    <row r="3280" spans="1:16" x14ac:dyDescent="0.25">
      <c r="A3280">
        <v>21900589</v>
      </c>
      <c r="B3280">
        <v>2019</v>
      </c>
      <c r="C3280" t="s">
        <v>16</v>
      </c>
      <c r="D3280" t="s">
        <v>22</v>
      </c>
      <c r="E3280">
        <v>57</v>
      </c>
      <c r="F3280">
        <v>47</v>
      </c>
      <c r="G3280">
        <v>2</v>
      </c>
      <c r="H3280" s="1">
        <v>2.2106481481481482E-3</v>
      </c>
      <c r="I3280" t="s">
        <v>23</v>
      </c>
      <c r="J3280" s="2" t="str">
        <f>HYPERLINK("https://www.nba.com/stats/events?CFID=&amp;CFPARAMS=&amp;GameEventID=275&amp;GameID=0021900589&amp;Season=2019-20&amp;flag=1&amp;title=Leonard%2025'%203PT%20%20(13%20PTS)", "25' 3PT  (13 PTS)")</f>
        <v>25' 3PT  (13 PTS)</v>
      </c>
      <c r="K3280" s="2" t="str">
        <f>HYPERLINK("https://www.nba.com/game/...-vs-...-0021900589/play-by-play?watchFullGame=true", "LAC vs DEN - Q2 03:11.00")</f>
        <v>LAC vs DEN - Q2 03:11.00</v>
      </c>
      <c r="L3280">
        <v>25.1</v>
      </c>
      <c r="M3280">
        <v>31.36</v>
      </c>
      <c r="N3280">
        <v>41.98</v>
      </c>
      <c r="O3280">
        <v>40</v>
      </c>
      <c r="P3280">
        <v>242</v>
      </c>
    </row>
    <row r="3281" spans="1:16" x14ac:dyDescent="0.25">
      <c r="A3281">
        <v>22000387</v>
      </c>
      <c r="B3281">
        <v>2020</v>
      </c>
      <c r="C3281" t="s">
        <v>16</v>
      </c>
      <c r="D3281" t="s">
        <v>19</v>
      </c>
      <c r="E3281">
        <v>69</v>
      </c>
      <c r="F3281">
        <v>75</v>
      </c>
      <c r="G3281">
        <v>3</v>
      </c>
      <c r="H3281" s="1">
        <v>1.7013888888888888E-3</v>
      </c>
      <c r="I3281" t="s">
        <v>23</v>
      </c>
      <c r="J3281" s="2" t="str">
        <f>HYPERLINK("https://www.nba.com/stats/events?CFID=&amp;CFPARAMS=&amp;GameEventID=463&amp;GameID=0022000387&amp;Season=2020-21&amp;flag=1&amp;title=Leonard%2025'%203PT%20pullup%20(22%20PTS)", "25' 3PT pullup (22 PTS)")</f>
        <v>25' 3PT pullup (22 PTS)</v>
      </c>
      <c r="K3281" s="2" t="str">
        <f>HYPERLINK("https://www.nba.com/game/...-vs-...-0022000387/play-by-play?watchFullGame=true", "LAC vs MIN - Q3 02:27.00")</f>
        <v>LAC vs MIN - Q3 02:27.00</v>
      </c>
      <c r="L3281">
        <v>25.04</v>
      </c>
      <c r="M3281">
        <v>31.88</v>
      </c>
      <c r="N3281">
        <v>41.98</v>
      </c>
      <c r="O3281">
        <v>40</v>
      </c>
      <c r="P3281">
        <v>247</v>
      </c>
    </row>
    <row r="3282" spans="1:16" x14ac:dyDescent="0.25">
      <c r="A3282">
        <v>22200735</v>
      </c>
      <c r="B3282">
        <v>2022</v>
      </c>
      <c r="C3282" t="s">
        <v>16</v>
      </c>
      <c r="D3282" t="s">
        <v>19</v>
      </c>
      <c r="E3282">
        <v>83</v>
      </c>
      <c r="F3282">
        <v>59</v>
      </c>
      <c r="G3282">
        <v>3</v>
      </c>
      <c r="H3282" s="1">
        <v>7.0949074074074074E-3</v>
      </c>
      <c r="I3282" t="s">
        <v>23</v>
      </c>
      <c r="J3282" s="2" t="str">
        <f>HYPERLINK("https://www.nba.com/stats/events?CFID=&amp;CFPARAMS=&amp;GameEventID=355&amp;GameID=0022200735&amp;Season=2022-23&amp;flag=1&amp;title=Leonard%2025'%203PT%20step%20back%20(23%20PTS)", "25' 3PT step back (23 PTS)")</f>
        <v>25' 3PT step back (23 PTS)</v>
      </c>
      <c r="K3282" s="2" t="str">
        <f>HYPERLINK("https://www.nba.com/game/...-vs-...-0022200735/play-by-play?watchFullGame=true", "LAC vs SAS - Q3 10:13.00")</f>
        <v>LAC vs SAS - Q3 10:13.00</v>
      </c>
      <c r="L3282">
        <v>25.87</v>
      </c>
      <c r="M3282">
        <v>32.770000000000003</v>
      </c>
      <c r="N3282">
        <v>41.91</v>
      </c>
      <c r="O3282">
        <v>40</v>
      </c>
      <c r="P3282">
        <v>256</v>
      </c>
    </row>
    <row r="3283" spans="1:16" x14ac:dyDescent="0.25">
      <c r="A3283">
        <v>22000239</v>
      </c>
      <c r="B3283">
        <v>2020</v>
      </c>
      <c r="C3283" t="s">
        <v>32</v>
      </c>
      <c r="D3283" t="s">
        <v>19</v>
      </c>
      <c r="E3283">
        <v>89</v>
      </c>
      <c r="F3283">
        <v>75</v>
      </c>
      <c r="G3283">
        <v>3</v>
      </c>
      <c r="H3283" s="1">
        <v>1.6435185185185185E-3</v>
      </c>
      <c r="I3283" t="s">
        <v>23</v>
      </c>
      <c r="J3283" s="2" t="str">
        <f>HYPERLINK("https://www.nba.com/stats/events?CFID=&amp;CFPARAMS=&amp;GameEventID=422&amp;GameID=0022000239&amp;Season=2020-21&amp;flag=1&amp;title=Leonard%20turnaround%20Jump%20Shot%20(25%20PTS)", "Turnaround Jump Shot (25 PTS)")</f>
        <v>Turnaround Jump Shot (25 PTS)</v>
      </c>
      <c r="K3283" s="2" t="str">
        <f>HYPERLINK("https://www.nba.com/game/...-vs-...-0022000239/play-by-play?watchFullGame=true", "LAC vs OKC - Q3 02:22.00")</f>
        <v>LAC vs OKC - Q3 02:22.00</v>
      </c>
      <c r="L3283">
        <v>4.58</v>
      </c>
      <c r="M3283">
        <v>7.7</v>
      </c>
      <c r="N3283">
        <v>41.74</v>
      </c>
      <c r="O3283">
        <v>41</v>
      </c>
      <c r="P3283">
        <v>20</v>
      </c>
    </row>
    <row r="3284" spans="1:16" x14ac:dyDescent="0.25">
      <c r="A3284">
        <v>21900276</v>
      </c>
      <c r="B3284">
        <v>2019</v>
      </c>
      <c r="C3284" t="s">
        <v>32</v>
      </c>
      <c r="D3284" t="s">
        <v>22</v>
      </c>
      <c r="E3284">
        <v>40</v>
      </c>
      <c r="F3284">
        <v>42</v>
      </c>
      <c r="G3284">
        <v>2</v>
      </c>
      <c r="H3284" s="1">
        <v>4.6874999999999998E-3</v>
      </c>
      <c r="I3284" t="s">
        <v>23</v>
      </c>
      <c r="J3284" s="2" t="str">
        <f>HYPERLINK("https://www.nba.com/stats/events?CFID=&amp;CFPARAMS=&amp;GameEventID=217&amp;GameID=0021900276&amp;Season=2019-20&amp;flag=1&amp;title=Leonard%2013'%20jumpshot%20(8%20PTS)%20(P.%20Beverley%201%20AST)", "13' jumpshot (8 PTS) (P. Beverley 1 AST)")</f>
        <v>13' jumpshot (8 PTS) (P. Beverley 1 AST)</v>
      </c>
      <c r="K3284" s="2" t="str">
        <f>HYPERLINK("https://www.nba.com/game/...-vs-...-0021900276/play-by-play?watchFullGame=true", "LAC vs SAS - Q2 06:45.00")</f>
        <v>LAC vs SAS - Q2 06:45.00</v>
      </c>
      <c r="L3284">
        <v>13.33</v>
      </c>
      <c r="M3284">
        <v>18.48</v>
      </c>
      <c r="N3284">
        <v>41.74</v>
      </c>
      <c r="O3284">
        <v>41</v>
      </c>
      <c r="P3284">
        <v>121</v>
      </c>
    </row>
    <row r="3285" spans="1:16" x14ac:dyDescent="0.25">
      <c r="A3285">
        <v>41800217</v>
      </c>
      <c r="B3285" t="s">
        <v>20</v>
      </c>
      <c r="C3285" t="s">
        <v>32</v>
      </c>
      <c r="D3285" t="s">
        <v>29</v>
      </c>
      <c r="E3285">
        <v>48</v>
      </c>
      <c r="F3285">
        <v>41</v>
      </c>
      <c r="G3285">
        <v>3</v>
      </c>
      <c r="H3285" s="1">
        <v>6.9328703703703705E-3</v>
      </c>
      <c r="I3285" t="s">
        <v>21</v>
      </c>
      <c r="J3285" s="2" t="str">
        <f>HYPERLINK("https://www.nba.com/stats/events?CFID=&amp;CFPARAMS=&amp;GameEventID=332&amp;GameID=0041800217&amp;Season=2018-19&amp;flag=1&amp;title=Leonard%2017'%20Pullup%20Jump%20Shot%20(19%20PTS)", "Leonard 17' Pullup Jump Shot (19 PTS)")</f>
        <v>Leonard 17' Pullup Jump Shot (19 PTS)</v>
      </c>
      <c r="K3285" s="2" t="str">
        <f>HYPERLINK("https://www.nba.com/game/...-vs-...-0041800217/play-by-play?watchFullGame=true", "TOR vs PHI - Q3 09:59.00")</f>
        <v>TOR vs PHI - Q3 09:59.00</v>
      </c>
      <c r="L3285">
        <v>17</v>
      </c>
      <c r="M3285">
        <v>41</v>
      </c>
      <c r="N3285">
        <v>164</v>
      </c>
      <c r="O3285">
        <v>41</v>
      </c>
      <c r="P3285">
        <v>164</v>
      </c>
    </row>
    <row r="3286" spans="1:16" x14ac:dyDescent="0.25">
      <c r="A3286">
        <v>21600114</v>
      </c>
      <c r="B3286">
        <v>2016</v>
      </c>
      <c r="C3286" t="s">
        <v>32</v>
      </c>
      <c r="D3286" t="s">
        <v>54</v>
      </c>
      <c r="E3286">
        <v>53</v>
      </c>
      <c r="F3286">
        <v>53</v>
      </c>
      <c r="G3286">
        <v>2</v>
      </c>
      <c r="H3286" s="1">
        <v>1.2847222222222223E-3</v>
      </c>
      <c r="I3286" t="s">
        <v>18</v>
      </c>
      <c r="J3286" s="2" t="str">
        <f>HYPERLINK("https://www.nba.com/stats/events?CFID=&amp;CFPARAMS=&amp;GameEventID=265&amp;GameID=0021600114&amp;Season=2016-17&amp;flag=1&amp;title=Leonard%205'%20Driving%20Bank%20Shot%20(16%20PTS)", "Leonard 5' Driving Bank Shot (16 PTS)")</f>
        <v>Leonard 5' Driving Bank Shot (16 PTS)</v>
      </c>
      <c r="K3286" s="2" t="str">
        <f>HYPERLINK("https://www.nba.com/game/...-vs-...-0021600114/play-by-play?watchFullGame=true", "SAS vs HOU - Q2 01:51.00")</f>
        <v>SAS vs HOU - Q2 01:51.00</v>
      </c>
      <c r="L3286">
        <v>5</v>
      </c>
      <c r="M3286">
        <v>42</v>
      </c>
      <c r="N3286">
        <v>18</v>
      </c>
      <c r="O3286">
        <v>42</v>
      </c>
      <c r="P3286">
        <v>18</v>
      </c>
    </row>
    <row r="3287" spans="1:16" x14ac:dyDescent="0.25">
      <c r="A3287">
        <v>21600825</v>
      </c>
      <c r="B3287">
        <v>2016</v>
      </c>
      <c r="C3287" t="s">
        <v>32</v>
      </c>
      <c r="D3287" t="s">
        <v>19</v>
      </c>
      <c r="E3287">
        <v>37</v>
      </c>
      <c r="F3287">
        <v>30</v>
      </c>
      <c r="G3287">
        <v>2</v>
      </c>
      <c r="H3287" s="1">
        <v>6.2847222222222219E-3</v>
      </c>
      <c r="I3287" t="s">
        <v>18</v>
      </c>
      <c r="J3287" s="2" t="str">
        <f>HYPERLINK("https://www.nba.com/stats/events?CFID=&amp;CFPARAMS=&amp;GameEventID=150&amp;GameID=0021600825&amp;Season=2016-17&amp;flag=1&amp;title=Leonard%205'%20Jump%20Shot%20(9%20PTS)", "Leonard 5' Jump Shot (9 PTS)")</f>
        <v>Leonard 5' Jump Shot (9 PTS)</v>
      </c>
      <c r="K3287" s="2" t="str">
        <f>HYPERLINK("https://www.nba.com/game/...-vs-...-0021600825/play-by-play?watchFullGame=true", "SAS vs IND - Q2 09:03.00")</f>
        <v>SAS vs IND - Q2 09:03.00</v>
      </c>
      <c r="L3287">
        <v>5</v>
      </c>
      <c r="M3287">
        <v>42</v>
      </c>
      <c r="N3287">
        <v>28</v>
      </c>
      <c r="O3287">
        <v>42</v>
      </c>
      <c r="P3287">
        <v>28</v>
      </c>
    </row>
    <row r="3288" spans="1:16" x14ac:dyDescent="0.25">
      <c r="A3288">
        <v>41300403</v>
      </c>
      <c r="B3288" t="s">
        <v>26</v>
      </c>
      <c r="C3288" t="s">
        <v>32</v>
      </c>
      <c r="D3288" t="s">
        <v>89</v>
      </c>
      <c r="E3288">
        <v>86</v>
      </c>
      <c r="F3288">
        <v>104</v>
      </c>
      <c r="G3288">
        <v>4</v>
      </c>
      <c r="H3288" s="1">
        <v>2.9513888888888888E-3</v>
      </c>
      <c r="I3288" t="s">
        <v>18</v>
      </c>
      <c r="J3288" s="2" t="str">
        <f>HYPERLINK("https://www.nba.com/stats/events?CFID=&amp;CFPARAMS=&amp;GameEventID=448&amp;GameID=0041300403&amp;Season=2013-14&amp;flag=1&amp;title=Leonard%205'%20Hook%20Bank%20Shot%20(28%20PTS)", "Leonard 5' Hook Bank Shot (28 PTS)")</f>
        <v>Leonard 5' Hook Bank Shot (28 PTS)</v>
      </c>
      <c r="K3288" s="2" t="str">
        <f>HYPERLINK("https://www.nba.com/game/...-vs-...-0041300403/play-by-play?watchFullGame=true", "SAS vs MIA - Q4 04:15.00")</f>
        <v>SAS vs MIA - Q4 04:15.00</v>
      </c>
      <c r="L3288">
        <v>5</v>
      </c>
      <c r="M3288">
        <v>42</v>
      </c>
      <c r="N3288">
        <v>28</v>
      </c>
      <c r="O3288">
        <v>42</v>
      </c>
      <c r="P3288">
        <v>28</v>
      </c>
    </row>
    <row r="3289" spans="1:16" x14ac:dyDescent="0.25">
      <c r="A3289">
        <v>21301127</v>
      </c>
      <c r="B3289">
        <v>2013</v>
      </c>
      <c r="C3289" t="s">
        <v>32</v>
      </c>
      <c r="D3289" t="s">
        <v>37</v>
      </c>
      <c r="E3289">
        <v>97</v>
      </c>
      <c r="F3289">
        <v>85</v>
      </c>
      <c r="G3289">
        <v>4</v>
      </c>
      <c r="H3289" s="1">
        <v>2.6157407407407405E-3</v>
      </c>
      <c r="I3289" t="s">
        <v>18</v>
      </c>
      <c r="J3289" s="2" t="str">
        <f>HYPERLINK("https://www.nba.com/stats/events?CFID=&amp;CFPARAMS=&amp;GameEventID=477&amp;GameID=0021301127&amp;Season=2013-14&amp;flag=1&amp;title=Leonard%206'%20Floating%20Jump%20Shot%20(13%20PTS)", "Leonard 6' Floating Jump Shot (13 PTS)")</f>
        <v>Leonard 6' Floating Jump Shot (13 PTS)</v>
      </c>
      <c r="K3289" s="2" t="str">
        <f>HYPERLINK("https://www.nba.com/game/...-vs-...-0021301127/play-by-play?watchFullGame=true", "SAS vs OKC - Q4 03:46.00")</f>
        <v>SAS vs OKC - Q4 03:46.00</v>
      </c>
      <c r="L3289">
        <v>6</v>
      </c>
      <c r="M3289">
        <v>42</v>
      </c>
      <c r="N3289">
        <v>42</v>
      </c>
      <c r="O3289">
        <v>42</v>
      </c>
      <c r="P3289">
        <v>42</v>
      </c>
    </row>
    <row r="3290" spans="1:16" x14ac:dyDescent="0.25">
      <c r="A3290">
        <v>21600925</v>
      </c>
      <c r="B3290">
        <v>2016</v>
      </c>
      <c r="C3290" t="s">
        <v>32</v>
      </c>
      <c r="D3290" t="s">
        <v>31</v>
      </c>
      <c r="E3290">
        <v>87</v>
      </c>
      <c r="F3290">
        <v>85</v>
      </c>
      <c r="G3290">
        <v>5</v>
      </c>
      <c r="H3290" s="1">
        <v>2.7777777777777779E-3</v>
      </c>
      <c r="I3290" t="s">
        <v>18</v>
      </c>
      <c r="J3290" s="2" t="str">
        <f>HYPERLINK("https://www.nba.com/stats/events?CFID=&amp;CFPARAMS=&amp;GameEventID=531&amp;GameID=0021600925&amp;Season=2016-17&amp;flag=1&amp;title=Leonard%208'%20Step%20Back%20Jump%20Shot%20(30%20PTS)", "Leonard 8' Step Back Jump Shot (30 PTS)")</f>
        <v>Leonard 8' Step Back Jump Shot (30 PTS)</v>
      </c>
      <c r="K3290" s="2" t="str">
        <f>HYPERLINK("https://www.nba.com/game/...-vs-...-0021600925/play-by-play?watchFullGame=true", "SAS vs MIN - Q5 04:00.00")</f>
        <v>SAS vs MIN - Q5 04:00.00</v>
      </c>
      <c r="L3290">
        <v>8</v>
      </c>
      <c r="M3290">
        <v>42</v>
      </c>
      <c r="N3290">
        <v>65</v>
      </c>
      <c r="O3290">
        <v>42</v>
      </c>
      <c r="P3290">
        <v>65</v>
      </c>
    </row>
    <row r="3291" spans="1:16" x14ac:dyDescent="0.25">
      <c r="A3291">
        <v>21400772</v>
      </c>
      <c r="B3291">
        <v>2014</v>
      </c>
      <c r="C3291" t="s">
        <v>32</v>
      </c>
      <c r="D3291" t="s">
        <v>29</v>
      </c>
      <c r="E3291">
        <v>61</v>
      </c>
      <c r="F3291">
        <v>58</v>
      </c>
      <c r="G3291">
        <v>3</v>
      </c>
      <c r="H3291" s="1">
        <v>1.5972222222222223E-3</v>
      </c>
      <c r="I3291" t="s">
        <v>18</v>
      </c>
      <c r="J3291" s="2" t="str">
        <f>HYPERLINK("https://www.nba.com/stats/events?CFID=&amp;CFPARAMS=&amp;GameEventID=370&amp;GameID=0021400772&amp;Season=2014-15&amp;flag=1&amp;title=Leonard%208'%20Pullup%20Jump%20Shot%20(11%20PTS)", "Leonard 8' Pullup Jump Shot (11 PTS)")</f>
        <v>Leonard 8' Pullup Jump Shot (11 PTS)</v>
      </c>
      <c r="K3291" s="2" t="str">
        <f>HYPERLINK("https://www.nba.com/game/...-vs-...-0021400772/play-by-play?watchFullGame=true", "SAS vs TOR - Q3 02:18.00")</f>
        <v>SAS vs TOR - Q3 02:18.00</v>
      </c>
      <c r="L3291">
        <v>8</v>
      </c>
      <c r="M3291">
        <v>42</v>
      </c>
      <c r="N3291">
        <v>67</v>
      </c>
      <c r="O3291">
        <v>42</v>
      </c>
      <c r="P3291">
        <v>67</v>
      </c>
    </row>
    <row r="3292" spans="1:16" x14ac:dyDescent="0.25">
      <c r="A3292">
        <v>22200902</v>
      </c>
      <c r="B3292">
        <v>2022</v>
      </c>
      <c r="C3292" t="s">
        <v>32</v>
      </c>
      <c r="D3292" t="s">
        <v>19</v>
      </c>
      <c r="E3292">
        <v>147</v>
      </c>
      <c r="F3292">
        <v>136</v>
      </c>
      <c r="G3292">
        <v>4</v>
      </c>
      <c r="H3292" s="1">
        <v>2.2916666666666667E-3</v>
      </c>
      <c r="I3292" t="s">
        <v>23</v>
      </c>
      <c r="J3292" s="2" t="str">
        <f>HYPERLINK("https://www.nba.com/stats/events?CFID=&amp;CFPARAMS=&amp;GameEventID=610&amp;GameID=0022200902&amp;Season=2022-23&amp;flag=1&amp;title=Leonard%209'%20turnaround%20fadeaway%20Jump%20Shot%20(40%20PTS)", "9' turnaround fadeaway Jump Shot (40 PTS)")</f>
        <v>9' turnaround fadeaway Jump Shot (40 PTS)</v>
      </c>
      <c r="K3292" s="2" t="str">
        <f>HYPERLINK("https://www.nba.com/game/...-vs-...-0022200902/play-by-play?watchFullGame=true", "LAC vs SAC - Q4 03:18.00")</f>
        <v>LAC vs SAC - Q4 03:18.00</v>
      </c>
      <c r="L3292">
        <v>9.48</v>
      </c>
      <c r="M3292">
        <v>14.64</v>
      </c>
      <c r="N3292">
        <v>41.67</v>
      </c>
      <c r="O3292">
        <v>42</v>
      </c>
      <c r="P3292">
        <v>85</v>
      </c>
    </row>
    <row r="3293" spans="1:16" x14ac:dyDescent="0.25">
      <c r="A3293">
        <v>22300848</v>
      </c>
      <c r="B3293">
        <v>2023</v>
      </c>
      <c r="C3293" t="s">
        <v>32</v>
      </c>
      <c r="D3293" t="s">
        <v>44</v>
      </c>
      <c r="E3293">
        <v>10</v>
      </c>
      <c r="F3293">
        <v>6</v>
      </c>
      <c r="G3293">
        <v>1</v>
      </c>
      <c r="H3293" s="1">
        <v>5.8796296296296296E-3</v>
      </c>
      <c r="I3293" t="s">
        <v>23</v>
      </c>
      <c r="J3293" s="2" t="str">
        <f>HYPERLINK("https://www.nba.com/stats/events?CFID=&amp;CFPARAMS=&amp;GameEventID=40&amp;GameID=0022300848&amp;Season=2023-24&amp;flag=1&amp;title=Leonard%2010'%20driving%20Hook%20(2%20PTS)", "10' driving Hook (2 PTS)")</f>
        <v>10' driving Hook (2 PTS)</v>
      </c>
      <c r="K3293" s="2" t="str">
        <f>HYPERLINK("https://www.nba.com/game/...-vs-...-0022300848/play-by-play?watchFullGame=true", "LAC vs LAL - Q1 08:28.00")</f>
        <v>LAC vs LAL - Q1 08:28.00</v>
      </c>
      <c r="L3293">
        <v>10.62</v>
      </c>
      <c r="M3293">
        <v>84.02</v>
      </c>
      <c r="N3293">
        <v>58.33</v>
      </c>
      <c r="O3293">
        <v>42</v>
      </c>
      <c r="P3293">
        <v>98</v>
      </c>
    </row>
    <row r="3294" spans="1:16" x14ac:dyDescent="0.25">
      <c r="A3294">
        <v>22300350</v>
      </c>
      <c r="B3294">
        <v>2023</v>
      </c>
      <c r="C3294" t="s">
        <v>32</v>
      </c>
      <c r="D3294" t="s">
        <v>19</v>
      </c>
      <c r="E3294">
        <v>7</v>
      </c>
      <c r="F3294">
        <v>10</v>
      </c>
      <c r="G3294">
        <v>1</v>
      </c>
      <c r="H3294" s="1">
        <v>5.7986111111111112E-3</v>
      </c>
      <c r="I3294" t="s">
        <v>23</v>
      </c>
      <c r="J3294" s="2" t="str">
        <f>HYPERLINK("https://www.nba.com/stats/events?CFID=&amp;CFPARAMS=&amp;GameEventID=44&amp;GameID=0022300350&amp;Season=2023-24&amp;flag=1&amp;title=Leonard%2012'%20pullup%20Jump%20Shot%20(4%20PTS)", "12' pullup Jump Shot (4 PTS)")</f>
        <v>12' pullup Jump Shot (4 PTS)</v>
      </c>
      <c r="K3294" s="2" t="str">
        <f>HYPERLINK("https://www.nba.com/game/...-vs-...-0022300350/play-by-play?watchFullGame=true", "LAC vs IND - Q1 08:21.00")</f>
        <v>LAC vs IND - Q1 08:21.00</v>
      </c>
      <c r="L3294">
        <v>12.68</v>
      </c>
      <c r="M3294">
        <v>81.69</v>
      </c>
      <c r="N3294">
        <v>58.33</v>
      </c>
      <c r="O3294">
        <v>42</v>
      </c>
      <c r="P3294">
        <v>120</v>
      </c>
    </row>
    <row r="3295" spans="1:16" x14ac:dyDescent="0.25">
      <c r="A3295">
        <v>21600336</v>
      </c>
      <c r="B3295">
        <v>2016</v>
      </c>
      <c r="C3295" t="s">
        <v>32</v>
      </c>
      <c r="D3295" t="s">
        <v>29</v>
      </c>
      <c r="E3295">
        <v>34</v>
      </c>
      <c r="F3295">
        <v>26</v>
      </c>
      <c r="G3295">
        <v>2</v>
      </c>
      <c r="H3295" s="1">
        <v>3.7384259259259259E-3</v>
      </c>
      <c r="I3295" t="s">
        <v>18</v>
      </c>
      <c r="J3295" s="2" t="str">
        <f>HYPERLINK("https://www.nba.com/stats/events?CFID=&amp;CFPARAMS=&amp;GameEventID=193&amp;GameID=0021600336&amp;Season=2016-17&amp;flag=1&amp;title=Leonard%2017'%20Pullup%20Jump%20Shot%20(7%20PTS)", "Leonard 17' Pullup Jump Shot (7 PTS)")</f>
        <v>Leonard 17' Pullup Jump Shot (7 PTS)</v>
      </c>
      <c r="K3295" s="2" t="str">
        <f>HYPERLINK("https://www.nba.com/game/...-vs-...-0021600336/play-by-play?watchFullGame=true", "SAS vs CHI - Q2 05:23.00")</f>
        <v>SAS vs CHI - Q2 05:23.00</v>
      </c>
      <c r="L3295">
        <v>17</v>
      </c>
      <c r="M3295">
        <v>42</v>
      </c>
      <c r="N3295">
        <v>165</v>
      </c>
      <c r="O3295">
        <v>42</v>
      </c>
      <c r="P3295">
        <v>165</v>
      </c>
    </row>
    <row r="3296" spans="1:16" x14ac:dyDescent="0.25">
      <c r="A3296">
        <v>21600387</v>
      </c>
      <c r="B3296">
        <v>2016</v>
      </c>
      <c r="C3296" t="s">
        <v>32</v>
      </c>
      <c r="D3296" t="s">
        <v>29</v>
      </c>
      <c r="E3296">
        <v>12</v>
      </c>
      <c r="F3296">
        <v>7</v>
      </c>
      <c r="G3296">
        <v>1</v>
      </c>
      <c r="H3296" s="1">
        <v>5.1041666666666666E-3</v>
      </c>
      <c r="I3296" t="s">
        <v>18</v>
      </c>
      <c r="J3296" s="2" t="str">
        <f>HYPERLINK("https://www.nba.com/stats/events?CFID=&amp;CFPARAMS=&amp;GameEventID=32&amp;GameID=0021600387&amp;Season=2016-17&amp;flag=1&amp;title=Leonard%2021'%20Pullup%20Jump%20Shot%20(2%20PTS)", "Leonard 21' Pullup Jump Shot (2 PTS)")</f>
        <v>Leonard 21' Pullup Jump Shot (2 PTS)</v>
      </c>
      <c r="K3296" s="2" t="str">
        <f>HYPERLINK("https://www.nba.com/game/...-vs-...-0021600387/play-by-play?watchFullGame=true", "SAS vs PHX - Q1 07:21.00")</f>
        <v>SAS vs PHX - Q1 07:21.00</v>
      </c>
      <c r="L3296">
        <v>21</v>
      </c>
      <c r="M3296">
        <v>42</v>
      </c>
      <c r="N3296">
        <v>203</v>
      </c>
      <c r="O3296">
        <v>42</v>
      </c>
      <c r="P3296">
        <v>203</v>
      </c>
    </row>
    <row r="3297" spans="1:16" x14ac:dyDescent="0.25">
      <c r="A3297">
        <v>21301221</v>
      </c>
      <c r="B3297">
        <v>2013</v>
      </c>
      <c r="C3297" t="s">
        <v>32</v>
      </c>
      <c r="D3297" t="s">
        <v>29</v>
      </c>
      <c r="E3297">
        <v>37</v>
      </c>
      <c r="F3297">
        <v>42</v>
      </c>
      <c r="G3297">
        <v>2</v>
      </c>
      <c r="H3297" s="1">
        <v>5.0115740740740737E-3</v>
      </c>
      <c r="I3297" t="s">
        <v>18</v>
      </c>
      <c r="J3297" s="2" t="str">
        <f>HYPERLINK("https://www.nba.com/stats/events?CFID=&amp;CFPARAMS=&amp;GameEventID=165&amp;GameID=0021301221&amp;Season=2013-14&amp;flag=1&amp;title=Leonard%2022'%20Pullup%20Jump%20Shot%20(9%20PTS)", "Leonard 22' Pullup Jump Shot (9 PTS)")</f>
        <v>Leonard 22' Pullup Jump Shot (9 PTS)</v>
      </c>
      <c r="K3297" s="2" t="str">
        <f>HYPERLINK("https://www.nba.com/game/...-vs-...-0021301221/play-by-play?watchFullGame=true", "SAS vs LAL - Q2 07:13.00")</f>
        <v>SAS vs LAL - Q2 07:13.00</v>
      </c>
      <c r="L3297">
        <v>22</v>
      </c>
      <c r="M3297">
        <v>42</v>
      </c>
      <c r="N3297">
        <v>211</v>
      </c>
      <c r="O3297">
        <v>42</v>
      </c>
      <c r="P3297">
        <v>211</v>
      </c>
    </row>
    <row r="3298" spans="1:16" x14ac:dyDescent="0.25">
      <c r="A3298">
        <v>21600387</v>
      </c>
      <c r="B3298">
        <v>2016</v>
      </c>
      <c r="C3298" t="s">
        <v>16</v>
      </c>
      <c r="D3298" t="s">
        <v>19</v>
      </c>
      <c r="E3298">
        <v>42</v>
      </c>
      <c r="F3298">
        <v>49</v>
      </c>
      <c r="G3298">
        <v>2</v>
      </c>
      <c r="H3298" s="1">
        <v>4.5717592592592592E-4</v>
      </c>
      <c r="I3298" t="s">
        <v>18</v>
      </c>
      <c r="J3298" s="2" t="str">
        <f>HYPERLINK("https://www.nba.com/stats/events?CFID=&amp;CFPARAMS=&amp;GameEventID=234&amp;GameID=0021600387&amp;Season=2016-17&amp;flag=1&amp;title=Leonard%2026'%203PT%20Jump%20Shot%20(12%20PTS)", "Leonard 26' 3PT Jump Shot (12 PTS)")</f>
        <v>Leonard 26' 3PT Jump Shot (12 PTS)</v>
      </c>
      <c r="K3298" s="2" t="str">
        <f>HYPERLINK("https://www.nba.com/game/...-vs-...-0021600387/play-by-play?watchFullGame=true", "SAS vs PHX - Q2 00:39.50")</f>
        <v>SAS vs PHX - Q2 00:39.50</v>
      </c>
      <c r="L3298">
        <v>26</v>
      </c>
      <c r="M3298">
        <v>42</v>
      </c>
      <c r="N3298">
        <v>252</v>
      </c>
      <c r="O3298">
        <v>42</v>
      </c>
      <c r="P3298">
        <v>252</v>
      </c>
    </row>
    <row r="3299" spans="1:16" x14ac:dyDescent="0.25">
      <c r="A3299">
        <v>21600387</v>
      </c>
      <c r="B3299">
        <v>2016</v>
      </c>
      <c r="C3299" t="s">
        <v>32</v>
      </c>
      <c r="D3299" t="s">
        <v>19</v>
      </c>
      <c r="E3299">
        <v>77</v>
      </c>
      <c r="F3299">
        <v>85</v>
      </c>
      <c r="G3299">
        <v>4</v>
      </c>
      <c r="H3299" s="1">
        <v>5.8796296296296296E-3</v>
      </c>
      <c r="I3299" t="s">
        <v>18</v>
      </c>
      <c r="J3299" s="2" t="str">
        <f>HYPERLINK("https://www.nba.com/stats/events?CFID=&amp;CFPARAMS=&amp;GameEventID=432&amp;GameID=0021600387&amp;Season=2016-17&amp;flag=1&amp;title=Leonard%204'%20Jump%20Shot%20(18%20PTS)", "Leonard 4' Jump Shot (18 PTS)")</f>
        <v>Leonard 4' Jump Shot (18 PTS)</v>
      </c>
      <c r="K3299" s="2" t="str">
        <f>HYPERLINK("https://www.nba.com/game/...-vs-...-0021600387/play-by-play?watchFullGame=true", "SAS vs PHX - Q4 08:28.00")</f>
        <v>SAS vs PHX - Q4 08:28.00</v>
      </c>
      <c r="L3299">
        <v>4</v>
      </c>
      <c r="M3299">
        <v>43</v>
      </c>
      <c r="N3299">
        <v>7</v>
      </c>
      <c r="O3299">
        <v>43</v>
      </c>
      <c r="P3299">
        <v>7</v>
      </c>
    </row>
    <row r="3300" spans="1:16" x14ac:dyDescent="0.25">
      <c r="A3300">
        <v>22000061</v>
      </c>
      <c r="B3300">
        <v>2020</v>
      </c>
      <c r="C3300" t="s">
        <v>32</v>
      </c>
      <c r="D3300" t="s">
        <v>44</v>
      </c>
      <c r="E3300">
        <v>84</v>
      </c>
      <c r="F3300">
        <v>57</v>
      </c>
      <c r="G3300">
        <v>3</v>
      </c>
      <c r="H3300" s="1">
        <v>6.7592592592592591E-3</v>
      </c>
      <c r="I3300" t="s">
        <v>23</v>
      </c>
      <c r="J3300" s="2" t="str">
        <f>HYPERLINK("https://www.nba.com/stats/events?CFID=&amp;CFPARAMS=&amp;GameEventID=335&amp;GameID=0022000061&amp;Season=2020-21&amp;flag=1&amp;title=Leonard%20driving%20Hook%20(18%20PTS)", "Driving Hook (18 PTS)")</f>
        <v>Driving Hook (18 PTS)</v>
      </c>
      <c r="K3300" s="2" t="str">
        <f>HYPERLINK("https://www.nba.com/game/...-vs-...-0022000061/play-by-play?watchFullGame=true", "LAC vs POR - Q3 09:44.00")</f>
        <v>LAC vs POR - Q3 09:44.00</v>
      </c>
      <c r="L3300">
        <v>4.5599999999999996</v>
      </c>
      <c r="M3300">
        <v>92.85</v>
      </c>
      <c r="N3300">
        <v>58.65</v>
      </c>
      <c r="O3300">
        <v>43</v>
      </c>
      <c r="P3300">
        <v>15</v>
      </c>
    </row>
    <row r="3301" spans="1:16" x14ac:dyDescent="0.25">
      <c r="A3301">
        <v>21500257</v>
      </c>
      <c r="B3301">
        <v>2015</v>
      </c>
      <c r="C3301" t="s">
        <v>32</v>
      </c>
      <c r="D3301" t="s">
        <v>41</v>
      </c>
      <c r="E3301">
        <v>81</v>
      </c>
      <c r="F3301">
        <v>77</v>
      </c>
      <c r="G3301">
        <v>4</v>
      </c>
      <c r="H3301" s="1">
        <v>6.0185185185185185E-3</v>
      </c>
      <c r="I3301" t="s">
        <v>18</v>
      </c>
      <c r="J3301" s="2" t="str">
        <f>HYPERLINK("https://www.nba.com/stats/events?CFID=&amp;CFPARAMS=&amp;GameEventID=399&amp;GameID=0021500257&amp;Season=2015-16&amp;flag=1&amp;title=Leonard%205'%20Turnaround%20Bank%20Shot%20(21%20PTS)", "Leonard 5' Turnaround Bank Shot (21 PTS)")</f>
        <v>Leonard 5' Turnaround Bank Shot (21 PTS)</v>
      </c>
      <c r="K3301" s="2" t="str">
        <f>HYPERLINK("https://www.nba.com/game/...-vs-...-0021500257/play-by-play?watchFullGame=true", "SAS vs CHI - Q4 08:40.00")</f>
        <v>SAS vs CHI - Q4 08:40.00</v>
      </c>
      <c r="L3301">
        <v>5</v>
      </c>
      <c r="M3301">
        <v>43</v>
      </c>
      <c r="N3301">
        <v>31</v>
      </c>
      <c r="O3301">
        <v>43</v>
      </c>
      <c r="P3301">
        <v>31</v>
      </c>
    </row>
    <row r="3302" spans="1:16" x14ac:dyDescent="0.25">
      <c r="A3302">
        <v>22000251</v>
      </c>
      <c r="B3302">
        <v>2020</v>
      </c>
      <c r="C3302" t="s">
        <v>32</v>
      </c>
      <c r="D3302" t="s">
        <v>19</v>
      </c>
      <c r="E3302">
        <v>58</v>
      </c>
      <c r="F3302">
        <v>49</v>
      </c>
      <c r="G3302">
        <v>3</v>
      </c>
      <c r="H3302" s="1">
        <v>7.2800925925925923E-3</v>
      </c>
      <c r="I3302" t="s">
        <v>23</v>
      </c>
      <c r="J3302" s="2" t="str">
        <f>HYPERLINK("https://www.nba.com/stats/events?CFID=&amp;CFPARAMS=&amp;GameEventID=331&amp;GameID=0022000251&amp;Season=2020-21&amp;flag=1&amp;title=Leonard%20running%20Jump%20Shot%20(23%20PTS)%20(R.%20Jackson%201%20AST)", "Running Jump Shot (23 PTS) (R. Jackson 1 AST)")</f>
        <v>Running Jump Shot (23 PTS) (R. Jackson 1 AST)</v>
      </c>
      <c r="K3302" s="2" t="str">
        <f>HYPERLINK("https://www.nba.com/game/...-vs-...-0022000251/play-by-play?watchFullGame=true", "LAC vs OKC - Q3 10:29.00")</f>
        <v>LAC vs OKC - Q3 10:29.00</v>
      </c>
      <c r="L3302">
        <v>5.73</v>
      </c>
      <c r="M3302">
        <v>9.67</v>
      </c>
      <c r="N3302">
        <v>41.49</v>
      </c>
      <c r="O3302">
        <v>43</v>
      </c>
      <c r="P3302">
        <v>38</v>
      </c>
    </row>
    <row r="3303" spans="1:16" x14ac:dyDescent="0.25">
      <c r="A3303">
        <v>22300646</v>
      </c>
      <c r="B3303">
        <v>2023</v>
      </c>
      <c r="C3303" t="s">
        <v>32</v>
      </c>
      <c r="D3303" t="s">
        <v>47</v>
      </c>
      <c r="E3303">
        <v>2</v>
      </c>
      <c r="F3303">
        <v>4</v>
      </c>
      <c r="G3303">
        <v>1</v>
      </c>
      <c r="H3303" s="1">
        <v>7.1527777777777779E-3</v>
      </c>
      <c r="I3303" t="s">
        <v>23</v>
      </c>
      <c r="J3303" s="2" t="str">
        <f>HYPERLINK("https://www.nba.com/stats/events?CFID=&amp;CFPARAMS=&amp;GameEventID=22&amp;GameID=0022300646&amp;Season=2023-24&amp;flag=1&amp;title=Leonard%206'%20driving%20Layup%20(2%20PTS)%20(T.%20Mann%201%20AST)", "6' driving Layup (2 PTS) (T. Mann 1 AST)")</f>
        <v>6' driving Layup (2 PTS) (T. Mann 1 AST)</v>
      </c>
      <c r="K3303" s="2" t="str">
        <f>HYPERLINK("https://www.nba.com/game/...-vs-...-0022300646/play-by-play?watchFullGame=true", "LAC vs BOS - Q1 10:18.00")</f>
        <v>LAC vs BOS - Q1 10:18.00</v>
      </c>
      <c r="L3303">
        <v>6.17</v>
      </c>
      <c r="M3303">
        <v>89.7</v>
      </c>
      <c r="N3303">
        <v>58.58</v>
      </c>
      <c r="O3303">
        <v>43</v>
      </c>
      <c r="P3303">
        <v>44</v>
      </c>
    </row>
    <row r="3304" spans="1:16" x14ac:dyDescent="0.25">
      <c r="A3304">
        <v>41500236</v>
      </c>
      <c r="B3304" t="s">
        <v>25</v>
      </c>
      <c r="C3304" t="s">
        <v>32</v>
      </c>
      <c r="D3304" t="s">
        <v>33</v>
      </c>
      <c r="E3304">
        <v>84</v>
      </c>
      <c r="F3304">
        <v>59</v>
      </c>
      <c r="G3304">
        <v>3</v>
      </c>
      <c r="H3304" s="1">
        <v>2.3379629629629631E-3</v>
      </c>
      <c r="I3304" t="s">
        <v>18</v>
      </c>
      <c r="J3304" s="2" t="str">
        <f>HYPERLINK("https://www.nba.com/stats/events?CFID=&amp;CFPARAMS=&amp;GameEventID=345&amp;GameID=0041500236&amp;Season=2015-16&amp;flag=1&amp;title=Leonard%207'%20Fadeaway%20Jumper%20(16%20PTS)", "Leonard 7' Fadeaway Jumper (16 PTS)")</f>
        <v>Leonard 7' Fadeaway Jumper (16 PTS)</v>
      </c>
      <c r="K3304" s="2" t="str">
        <f>HYPERLINK("https://www.nba.com/game/...-vs-...-0041500236/play-by-play?watchFullGame=true", "SAS vs OKC - Q3 03:22.00")</f>
        <v>SAS vs OKC - Q3 03:22.00</v>
      </c>
      <c r="L3304">
        <v>7</v>
      </c>
      <c r="M3304">
        <v>43</v>
      </c>
      <c r="N3304">
        <v>52</v>
      </c>
      <c r="O3304">
        <v>43</v>
      </c>
      <c r="P3304">
        <v>52</v>
      </c>
    </row>
    <row r="3305" spans="1:16" x14ac:dyDescent="0.25">
      <c r="A3305">
        <v>22000675</v>
      </c>
      <c r="B3305">
        <v>2020</v>
      </c>
      <c r="C3305" t="s">
        <v>32</v>
      </c>
      <c r="D3305" t="s">
        <v>47</v>
      </c>
      <c r="E3305">
        <v>15</v>
      </c>
      <c r="F3305">
        <v>30</v>
      </c>
      <c r="G3305">
        <v>1</v>
      </c>
      <c r="H3305" s="1">
        <v>2.3379629629629631E-3</v>
      </c>
      <c r="I3305" t="s">
        <v>23</v>
      </c>
      <c r="J3305" s="2" t="str">
        <f>HYPERLINK("https://www.nba.com/stats/events?CFID=&amp;CFPARAMS=&amp;GameEventID=101&amp;GameID=0022000675&amp;Season=2020-21&amp;flag=1&amp;title=Leonard%206'%20driving%20Layup%20(7%20PTS)%20(N.%20Batum%202%20AST)", "6' driving Layup (7 PTS) (N. Batum 2 AST)")</f>
        <v>6' driving Layup (7 PTS) (N. Batum 2 AST)</v>
      </c>
      <c r="K3305" s="2" t="str">
        <f>HYPERLINK("https://www.nba.com/game/...-vs-...-0022000675/play-by-play?watchFullGame=true", "LAC vs SAS - Q1 03:22.00")</f>
        <v>LAC vs SAS - Q1 03:22.00</v>
      </c>
      <c r="L3305">
        <v>6.91</v>
      </c>
      <c r="M3305">
        <v>11.38</v>
      </c>
      <c r="N3305">
        <v>41.49</v>
      </c>
      <c r="O3305">
        <v>43</v>
      </c>
      <c r="P3305">
        <v>55</v>
      </c>
    </row>
    <row r="3306" spans="1:16" x14ac:dyDescent="0.25">
      <c r="A3306">
        <v>22000009</v>
      </c>
      <c r="B3306">
        <v>2020</v>
      </c>
      <c r="C3306" t="s">
        <v>32</v>
      </c>
      <c r="D3306" t="s">
        <v>19</v>
      </c>
      <c r="E3306">
        <v>39</v>
      </c>
      <c r="F3306">
        <v>49</v>
      </c>
      <c r="G3306">
        <v>2</v>
      </c>
      <c r="H3306" s="1">
        <v>5.4050925925925924E-3</v>
      </c>
      <c r="I3306" t="s">
        <v>23</v>
      </c>
      <c r="J3306" s="2" t="str">
        <f>HYPERLINK("https://www.nba.com/stats/events?CFID=&amp;CFPARAMS=&amp;GameEventID=254&amp;GameID=0022000009&amp;Season=2020-21&amp;flag=1&amp;title=Leonard%208'%20turnaround%20fadeaway%20Jump%20Shot%20(4%20PTS)", "8' turnaround fadeaway Jump Shot (4 PTS)")</f>
        <v>8' turnaround fadeaway Jump Shot (4 PTS)</v>
      </c>
      <c r="K3306" s="2" t="str">
        <f>HYPERLINK("https://www.nba.com/game/...-vs-...-0022000009/play-by-play?watchFullGame=true", "LAC vs DEN - Q2 07:47.00")</f>
        <v>LAC vs DEN - Q2 07:47.00</v>
      </c>
      <c r="L3306">
        <v>8.34</v>
      </c>
      <c r="M3306">
        <v>13.22</v>
      </c>
      <c r="N3306">
        <v>41.49</v>
      </c>
      <c r="O3306">
        <v>43</v>
      </c>
      <c r="P3306">
        <v>72</v>
      </c>
    </row>
    <row r="3307" spans="1:16" x14ac:dyDescent="0.25">
      <c r="A3307">
        <v>22300304</v>
      </c>
      <c r="B3307">
        <v>2023</v>
      </c>
      <c r="C3307" t="s">
        <v>32</v>
      </c>
      <c r="D3307" t="s">
        <v>19</v>
      </c>
      <c r="E3307">
        <v>74</v>
      </c>
      <c r="F3307">
        <v>74</v>
      </c>
      <c r="G3307">
        <v>3</v>
      </c>
      <c r="H3307" s="1">
        <v>6.3888888888888893E-3</v>
      </c>
      <c r="I3307" t="s">
        <v>23</v>
      </c>
      <c r="J3307" s="2" t="str">
        <f>HYPERLINK("https://www.nba.com/stats/events?CFID=&amp;CFPARAMS=&amp;GameEventID=341&amp;GameID=0022300304&amp;Season=2023-24&amp;flag=1&amp;title=Leonard%208'%20fadeaway%20Jump%20Shot%20(11%20PTS)%20(J.%20Harden%206%20AST)", "8' fadeaway Jump Shot (11 PTS) (J. Harden 6 AST)")</f>
        <v>8' fadeaway Jump Shot (11 PTS) (J. Harden 6 AST)</v>
      </c>
      <c r="K3307" s="2" t="str">
        <f>HYPERLINK("https://www.nba.com/game/...-vs-...-0022300304/play-by-play?watchFullGame=true", "LAC vs POR - Q3 09:12.00")</f>
        <v>LAC vs POR - Q3 09:12.00</v>
      </c>
      <c r="L3307">
        <v>8.8800000000000008</v>
      </c>
      <c r="M3307">
        <v>13.85</v>
      </c>
      <c r="N3307">
        <v>41.42</v>
      </c>
      <c r="O3307">
        <v>43</v>
      </c>
      <c r="P3307">
        <v>78</v>
      </c>
    </row>
    <row r="3308" spans="1:16" x14ac:dyDescent="0.25">
      <c r="A3308">
        <v>22001034</v>
      </c>
      <c r="B3308">
        <v>2020</v>
      </c>
      <c r="C3308" t="s">
        <v>32</v>
      </c>
      <c r="D3308" t="s">
        <v>19</v>
      </c>
      <c r="E3308">
        <v>13</v>
      </c>
      <c r="F3308">
        <v>25</v>
      </c>
      <c r="G3308">
        <v>1</v>
      </c>
      <c r="H3308" s="1">
        <v>2.0370370370370369E-3</v>
      </c>
      <c r="I3308" t="s">
        <v>23</v>
      </c>
      <c r="J3308" s="2" t="str">
        <f>HYPERLINK("https://www.nba.com/stats/events?CFID=&amp;CFPARAMS=&amp;GameEventID=101&amp;GameID=0022001034&amp;Season=2020-21&amp;flag=1&amp;title=Leonard%2011'%20fadeaway%20Jump%20Shot%20(7%20PTS)", "11' fadeaway Jump Shot (7 PTS)")</f>
        <v>11' fadeaway Jump Shot (7 PTS)</v>
      </c>
      <c r="K3308" s="2" t="str">
        <f>HYPERLINK("https://www.nba.com/game/...-vs-...-0022001034/play-by-play?watchFullGame=true", "LAC vs TOR - Q1 02:56.00")</f>
        <v>LAC vs TOR - Q1 02:56.00</v>
      </c>
      <c r="L3308">
        <v>11.8</v>
      </c>
      <c r="M3308">
        <v>17.3</v>
      </c>
      <c r="N3308">
        <v>41.49</v>
      </c>
      <c r="O3308">
        <v>43</v>
      </c>
      <c r="P3308">
        <v>110</v>
      </c>
    </row>
    <row r="3309" spans="1:16" x14ac:dyDescent="0.25">
      <c r="A3309">
        <v>22201096</v>
      </c>
      <c r="B3309">
        <v>2022</v>
      </c>
      <c r="C3309" t="s">
        <v>32</v>
      </c>
      <c r="D3309" t="s">
        <v>19</v>
      </c>
      <c r="E3309">
        <v>5</v>
      </c>
      <c r="F3309">
        <v>2</v>
      </c>
      <c r="G3309">
        <v>1</v>
      </c>
      <c r="H3309" s="1">
        <v>6.9328703703703705E-3</v>
      </c>
      <c r="I3309" t="s">
        <v>23</v>
      </c>
      <c r="J3309" s="2" t="str">
        <f>HYPERLINK("https://www.nba.com/stats/events?CFID=&amp;CFPARAMS=&amp;GameEventID=27&amp;GameID=0022201096&amp;Season=2022-23&amp;flag=1&amp;title=Leonard%2013'%20pullup%20Jump%20Shot%20(4%20PTS)%20(R.%20Westbrook%202%20AST)", "13' pullup Jump Shot (4 PTS) (R. Westbrook 2 AST)")</f>
        <v>13' pullup Jump Shot (4 PTS) (R. Westbrook 2 AST)</v>
      </c>
      <c r="K3309" s="2" t="str">
        <f>HYPERLINK("https://www.nba.com/game/...-vs-...-0022201096/play-by-play?watchFullGame=true", "LAC vs OKC - Q1 09:59.00")</f>
        <v>LAC vs OKC - Q1 09:59.00</v>
      </c>
      <c r="L3309">
        <v>13.09</v>
      </c>
      <c r="M3309">
        <v>81.260000000000005</v>
      </c>
      <c r="N3309">
        <v>58.58</v>
      </c>
      <c r="O3309">
        <v>43</v>
      </c>
      <c r="P3309">
        <v>124</v>
      </c>
    </row>
    <row r="3310" spans="1:16" x14ac:dyDescent="0.25">
      <c r="A3310">
        <v>22300799</v>
      </c>
      <c r="B3310">
        <v>2023</v>
      </c>
      <c r="C3310" t="s">
        <v>32</v>
      </c>
      <c r="D3310" t="s">
        <v>19</v>
      </c>
      <c r="E3310">
        <v>16</v>
      </c>
      <c r="F3310">
        <v>19</v>
      </c>
      <c r="G3310">
        <v>1</v>
      </c>
      <c r="H3310" s="1">
        <v>3.9351851851851848E-3</v>
      </c>
      <c r="I3310" t="s">
        <v>23</v>
      </c>
      <c r="J3310" s="2" t="str">
        <f>HYPERLINK("https://www.nba.com/stats/events?CFID=&amp;CFPARAMS=&amp;GameEventID=68&amp;GameID=0022300799&amp;Season=2023-24&amp;flag=1&amp;title=Leonard%2014'%20pullup%20Jump%20Shot%20(2%20PTS)%20(R.%20Westbrook%202%20AST)", "14' pullup Jump Shot (2 PTS) (R. Westbrook 2 AST)")</f>
        <v>14' pullup Jump Shot (2 PTS) (R. Westbrook 2 AST)</v>
      </c>
      <c r="K3310" s="2" t="str">
        <f>HYPERLINK("https://www.nba.com/game/...-vs-...-0022300799/play-by-play?watchFullGame=true", "LAC vs OKC - Q1 05:40.00")</f>
        <v>LAC vs OKC - Q1 05:40.00</v>
      </c>
      <c r="L3310">
        <v>14.5</v>
      </c>
      <c r="M3310">
        <v>20.32</v>
      </c>
      <c r="N3310">
        <v>41.42</v>
      </c>
      <c r="O3310">
        <v>43</v>
      </c>
      <c r="P3310">
        <v>138</v>
      </c>
    </row>
    <row r="3311" spans="1:16" x14ac:dyDescent="0.25">
      <c r="A3311">
        <v>22301064</v>
      </c>
      <c r="B3311">
        <v>2023</v>
      </c>
      <c r="C3311" t="s">
        <v>32</v>
      </c>
      <c r="D3311" t="s">
        <v>19</v>
      </c>
      <c r="E3311">
        <v>95</v>
      </c>
      <c r="F3311">
        <v>96</v>
      </c>
      <c r="G3311">
        <v>4</v>
      </c>
      <c r="H3311" s="1">
        <v>1.6782407407407408E-3</v>
      </c>
      <c r="I3311" t="s">
        <v>23</v>
      </c>
      <c r="J3311" s="2" t="str">
        <f>HYPERLINK("https://www.nba.com/stats/events?CFID=&amp;CFPARAMS=&amp;GameEventID=604&amp;GameID=0022301064&amp;Season=2023-24&amp;flag=1&amp;title=Leonard%2016'%20turnaround%20fadeaway%20Jump%20Shot%20(27%20PTS)", "16' turnaround fadeaway Jump Shot (27 PTS)")</f>
        <v>16' turnaround fadeaway Jump Shot (27 PTS)</v>
      </c>
      <c r="K3311" s="2" t="str">
        <f>HYPERLINK("https://www.nba.com/game/...-vs-...-0022301064/play-by-play?watchFullGame=true", "LAC vs ORL - Q4 02:25.00")</f>
        <v>LAC vs ORL - Q4 02:25.00</v>
      </c>
      <c r="L3311">
        <v>16.96</v>
      </c>
      <c r="M3311">
        <v>76.95</v>
      </c>
      <c r="N3311">
        <v>58.58</v>
      </c>
      <c r="O3311">
        <v>43</v>
      </c>
      <c r="P3311">
        <v>164</v>
      </c>
    </row>
    <row r="3312" spans="1:16" x14ac:dyDescent="0.25">
      <c r="A3312">
        <v>41600232</v>
      </c>
      <c r="B3312" t="s">
        <v>30</v>
      </c>
      <c r="C3312" t="s">
        <v>32</v>
      </c>
      <c r="D3312" t="s">
        <v>29</v>
      </c>
      <c r="E3312">
        <v>43</v>
      </c>
      <c r="F3312">
        <v>39</v>
      </c>
      <c r="G3312">
        <v>2</v>
      </c>
      <c r="H3312" s="1">
        <v>5.8449074074074072E-3</v>
      </c>
      <c r="I3312" t="s">
        <v>18</v>
      </c>
      <c r="J3312" s="2" t="str">
        <f>HYPERLINK("https://www.nba.com/stats/events?CFID=&amp;CFPARAMS=&amp;GameEventID=128&amp;GameID=0041600232&amp;Season=2016-17&amp;flag=1&amp;title=Leonard%2019'%20Pullup%20Jump%20Shot%20(14%20PTS)", "Leonard 19' Pullup Jump Shot (14 PTS)")</f>
        <v>Leonard 19' Pullup Jump Shot (14 PTS)</v>
      </c>
      <c r="K3312" s="2" t="str">
        <f>HYPERLINK("https://www.nba.com/game/...-vs-...-0041600232/play-by-play?watchFullGame=true", "SAS vs HOU - Q2 08:25.00")</f>
        <v>SAS vs HOU - Q2 08:25.00</v>
      </c>
      <c r="L3312">
        <v>19</v>
      </c>
      <c r="M3312">
        <v>43</v>
      </c>
      <c r="N3312">
        <v>180</v>
      </c>
      <c r="O3312">
        <v>43</v>
      </c>
      <c r="P3312">
        <v>180</v>
      </c>
    </row>
    <row r="3313" spans="1:16" x14ac:dyDescent="0.25">
      <c r="A3313">
        <v>21900002</v>
      </c>
      <c r="B3313">
        <v>2019</v>
      </c>
      <c r="C3313" t="s">
        <v>32</v>
      </c>
      <c r="D3313" t="s">
        <v>19</v>
      </c>
      <c r="E3313">
        <v>106</v>
      </c>
      <c r="F3313">
        <v>96</v>
      </c>
      <c r="G3313">
        <v>4</v>
      </c>
      <c r="H3313" s="1">
        <v>2.5578703703703705E-3</v>
      </c>
      <c r="I3313" t="s">
        <v>23</v>
      </c>
      <c r="J3313" s="2" t="str">
        <f>HYPERLINK("https://www.nba.com/stats/events?CFID=&amp;CFPARAMS=&amp;GameEventID=631&amp;GameID=0021900002&amp;Season=2019-20&amp;flag=1&amp;title=Leonard%20turnaround%20Jump%20Shot%20(28%20PTS)", "Turnaround Jump Shot (28 PTS)")</f>
        <v>Turnaround Jump Shot (28 PTS)</v>
      </c>
      <c r="K3313" s="2" t="str">
        <f>HYPERLINK("https://www.nba.com/game/...-vs-...-0021900002/play-by-play?watchFullGame=true", "LAC vs LAL - Q4 03:41.00")</f>
        <v>LAC vs LAL - Q4 03:41.00</v>
      </c>
      <c r="L3313">
        <v>5.24</v>
      </c>
      <c r="M3313">
        <v>7.93</v>
      </c>
      <c r="N3313">
        <v>41.11</v>
      </c>
      <c r="O3313">
        <v>44</v>
      </c>
      <c r="P3313">
        <v>22</v>
      </c>
    </row>
    <row r="3314" spans="1:16" x14ac:dyDescent="0.25">
      <c r="A3314">
        <v>22300350</v>
      </c>
      <c r="B3314">
        <v>2023</v>
      </c>
      <c r="C3314" t="s">
        <v>32</v>
      </c>
      <c r="D3314" t="s">
        <v>19</v>
      </c>
      <c r="E3314">
        <v>23</v>
      </c>
      <c r="F3314">
        <v>27</v>
      </c>
      <c r="G3314">
        <v>1</v>
      </c>
      <c r="H3314" s="1">
        <v>3.0439814814814813E-3</v>
      </c>
      <c r="I3314" t="s">
        <v>23</v>
      </c>
      <c r="J3314" s="2" t="str">
        <f>HYPERLINK("https://www.nba.com/stats/events?CFID=&amp;CFPARAMS=&amp;GameEventID=96&amp;GameID=0022300350&amp;Season=2023-24&amp;flag=1&amp;title=Leonard%20pullup%20Jump%20Shot%20(10%20PTS)", "Pullup Jump Shot (10 PTS)")</f>
        <v>Pullup Jump Shot (10 PTS)</v>
      </c>
      <c r="K3314" s="2" t="str">
        <f>HYPERLINK("https://www.nba.com/game/...-vs-...-0022300350/play-by-play?watchFullGame=true", "LAC vs IND - Q1 04:23.00")</f>
        <v>LAC vs IND - Q1 04:23.00</v>
      </c>
      <c r="L3314">
        <v>5.24</v>
      </c>
      <c r="M3314">
        <v>91.41</v>
      </c>
      <c r="N3314">
        <v>58.82</v>
      </c>
      <c r="O3314">
        <v>44</v>
      </c>
      <c r="P3314">
        <v>28</v>
      </c>
    </row>
    <row r="3315" spans="1:16" x14ac:dyDescent="0.25">
      <c r="A3315">
        <v>41800405</v>
      </c>
      <c r="B3315" t="s">
        <v>20</v>
      </c>
      <c r="C3315" t="s">
        <v>32</v>
      </c>
      <c r="D3315" t="s">
        <v>35</v>
      </c>
      <c r="E3315">
        <v>52</v>
      </c>
      <c r="F3315">
        <v>57</v>
      </c>
      <c r="G3315">
        <v>2</v>
      </c>
      <c r="H3315" s="1">
        <v>1.2847222222222223E-3</v>
      </c>
      <c r="I3315" t="s">
        <v>21</v>
      </c>
      <c r="J3315" s="2" t="str">
        <f>HYPERLINK("https://www.nba.com/stats/events?CFID=&amp;CFPARAMS=&amp;GameEventID=342&amp;GameID=0041800405&amp;Season=2018-19&amp;flag=1&amp;title=Leonard%208'%20Driving%20Floating%20Jump%20Shot%20(13%20PTS)", "Leonard 8' Driving Floating Jump Shot (13 PTS)")</f>
        <v>Leonard 8' Driving Floating Jump Shot (13 PTS)</v>
      </c>
      <c r="K3315" s="2" t="str">
        <f>HYPERLINK("https://www.nba.com/game/...-vs-...-0041800405/play-by-play?watchFullGame=true", "TOR vs GSW - Q2 01:51.00")</f>
        <v>TOR vs GSW - Q2 01:51.00</v>
      </c>
      <c r="L3315">
        <v>8</v>
      </c>
      <c r="M3315">
        <v>44</v>
      </c>
      <c r="N3315">
        <v>69</v>
      </c>
      <c r="O3315">
        <v>44</v>
      </c>
      <c r="P3315">
        <v>69</v>
      </c>
    </row>
    <row r="3316" spans="1:16" x14ac:dyDescent="0.25">
      <c r="A3316">
        <v>22200649</v>
      </c>
      <c r="B3316">
        <v>2022</v>
      </c>
      <c r="C3316" t="s">
        <v>32</v>
      </c>
      <c r="D3316" t="s">
        <v>19</v>
      </c>
      <c r="E3316">
        <v>87</v>
      </c>
      <c r="F3316">
        <v>85</v>
      </c>
      <c r="G3316">
        <v>3</v>
      </c>
      <c r="H3316" s="1">
        <v>9.3749999999999997E-4</v>
      </c>
      <c r="I3316" t="s">
        <v>23</v>
      </c>
      <c r="J3316" s="2" t="str">
        <f>HYPERLINK("https://www.nba.com/stats/events?CFID=&amp;CFPARAMS=&amp;GameEventID=462&amp;GameID=0022200649&amp;Season=2022-23&amp;flag=1&amp;title=Leonard%209'%20turnaround%20fadeaway%20Jump%20Shot%20(26%20PTS)", "9' turnaround fadeaway Jump Shot (26 PTS)")</f>
        <v>9' turnaround fadeaway Jump Shot (26 PTS)</v>
      </c>
      <c r="K3316" s="2" t="str">
        <f>HYPERLINK("https://www.nba.com/game/...-vs-...-0022200649/play-by-play?watchFullGame=true", "LAC vs HOU - Q3 01:21.00")</f>
        <v>LAC vs HOU - Q3 01:21.00</v>
      </c>
      <c r="L3316">
        <v>9.58</v>
      </c>
      <c r="M3316">
        <v>14.64</v>
      </c>
      <c r="N3316">
        <v>41.18</v>
      </c>
      <c r="O3316">
        <v>44</v>
      </c>
      <c r="P3316">
        <v>85</v>
      </c>
    </row>
    <row r="3317" spans="1:16" x14ac:dyDescent="0.25">
      <c r="A3317">
        <v>22300343</v>
      </c>
      <c r="B3317">
        <v>2023</v>
      </c>
      <c r="C3317" t="s">
        <v>32</v>
      </c>
      <c r="D3317" t="s">
        <v>19</v>
      </c>
      <c r="E3317">
        <v>76</v>
      </c>
      <c r="F3317">
        <v>66</v>
      </c>
      <c r="G3317">
        <v>2</v>
      </c>
      <c r="H3317" s="1">
        <v>1.898148148148148E-4</v>
      </c>
      <c r="I3317" t="s">
        <v>23</v>
      </c>
      <c r="J3317" s="2" t="str">
        <f>HYPERLINK("https://www.nba.com/stats/events?CFID=&amp;CFPARAMS=&amp;GameEventID=356&amp;GameID=0022300343&amp;Season=2023-24&amp;flag=1&amp;title=Leonard%2010'%20pullup%20Jump%20Shot%20(19%20PTS)", "10' pullup Jump Shot (19 PTS)")</f>
        <v>10' pullup Jump Shot (19 PTS)</v>
      </c>
      <c r="K3317" s="2" t="str">
        <f>HYPERLINK("https://www.nba.com/game/...-vs-...-0022300343/play-by-play?watchFullGame=true", "LAC vs NYK - Q2 00:16.40")</f>
        <v>LAC vs NYK - Q2 00:16.40</v>
      </c>
      <c r="L3317">
        <v>10.050000000000001</v>
      </c>
      <c r="M3317">
        <v>84.81</v>
      </c>
      <c r="N3317">
        <v>58.82</v>
      </c>
      <c r="O3317">
        <v>44</v>
      </c>
      <c r="P3317">
        <v>90</v>
      </c>
    </row>
    <row r="3318" spans="1:16" x14ac:dyDescent="0.25">
      <c r="A3318">
        <v>22300676</v>
      </c>
      <c r="B3318">
        <v>2023</v>
      </c>
      <c r="C3318" t="s">
        <v>32</v>
      </c>
      <c r="D3318" t="s">
        <v>19</v>
      </c>
      <c r="E3318">
        <v>12</v>
      </c>
      <c r="F3318">
        <v>16</v>
      </c>
      <c r="G3318">
        <v>1</v>
      </c>
      <c r="H3318" s="1">
        <v>5.347222222222222E-3</v>
      </c>
      <c r="I3318" t="s">
        <v>23</v>
      </c>
      <c r="J3318" s="2" t="str">
        <f>HYPERLINK("https://www.nba.com/stats/events?CFID=&amp;CFPARAMS=&amp;GameEventID=43&amp;GameID=0022300676&amp;Season=2023-24&amp;flag=1&amp;title=Leonard%2010'%20pullup%20Jump%20Shot%20(5%20PTS)", "10' pullup Jump Shot (5 PTS)")</f>
        <v>10' pullup Jump Shot (5 PTS)</v>
      </c>
      <c r="K3318" s="2" t="str">
        <f>HYPERLINK("https://www.nba.com/game/...-vs-...-0022300676/play-by-play?watchFullGame=true", "LAC vs WAS - Q1 07:42.00")</f>
        <v>LAC vs WAS - Q1 07:42.00</v>
      </c>
      <c r="L3318">
        <v>10.81</v>
      </c>
      <c r="M3318">
        <v>83.92</v>
      </c>
      <c r="N3318">
        <v>58.82</v>
      </c>
      <c r="O3318">
        <v>44</v>
      </c>
      <c r="P3318">
        <v>99</v>
      </c>
    </row>
    <row r="3319" spans="1:16" x14ac:dyDescent="0.25">
      <c r="A3319">
        <v>21900499</v>
      </c>
      <c r="B3319">
        <v>2019</v>
      </c>
      <c r="C3319" t="s">
        <v>32</v>
      </c>
      <c r="D3319" t="s">
        <v>22</v>
      </c>
      <c r="E3319">
        <v>52</v>
      </c>
      <c r="F3319">
        <v>66</v>
      </c>
      <c r="G3319">
        <v>3</v>
      </c>
      <c r="H3319" s="1">
        <v>5.5787037037037038E-3</v>
      </c>
      <c r="I3319" t="s">
        <v>23</v>
      </c>
      <c r="J3319" s="2" t="str">
        <f>HYPERLINK("https://www.nba.com/stats/events?CFID=&amp;CFPARAMS=&amp;GameEventID=386&amp;GameID=0021900499&amp;Season=2019-20&amp;flag=1&amp;title=Leonard%2014'%20jumpshot%20(14%20PTS)", "14' jumpshot (14 PTS)")</f>
        <v>14' jumpshot (14 PTS)</v>
      </c>
      <c r="K3319" s="2" t="str">
        <f>HYPERLINK("https://www.nba.com/game/...-vs-...-0021900499/play-by-play?watchFullGame=true", "LAC vs SAC - Q3 08:02.00")</f>
        <v>LAC vs SAC - Q3 08:02.00</v>
      </c>
      <c r="L3319">
        <v>13.76</v>
      </c>
      <c r="M3319">
        <v>18.87</v>
      </c>
      <c r="N3319">
        <v>41.25</v>
      </c>
      <c r="O3319">
        <v>44</v>
      </c>
      <c r="P3319">
        <v>125</v>
      </c>
    </row>
    <row r="3320" spans="1:16" x14ac:dyDescent="0.25">
      <c r="A3320">
        <v>22300304</v>
      </c>
      <c r="B3320">
        <v>2023</v>
      </c>
      <c r="C3320" t="s">
        <v>32</v>
      </c>
      <c r="D3320" t="s">
        <v>19</v>
      </c>
      <c r="E3320">
        <v>2</v>
      </c>
      <c r="F3320">
        <v>0</v>
      </c>
      <c r="G3320">
        <v>1</v>
      </c>
      <c r="H3320" s="1">
        <v>8.1018518518518514E-3</v>
      </c>
      <c r="I3320" t="s">
        <v>23</v>
      </c>
      <c r="J3320" s="2" t="str">
        <f>HYPERLINK("https://www.nba.com/stats/events?CFID=&amp;CFPARAMS=&amp;GameEventID=7&amp;GameID=0022300304&amp;Season=2023-24&amp;flag=1&amp;title=Leonard%2014'%20turnaround%20fadeaway%20Jump%20Shot%20(2%20PTS)", "14' turnaround fadeaway Jump Shot (2 PTS)")</f>
        <v>14' turnaround fadeaway Jump Shot (2 PTS)</v>
      </c>
      <c r="K3320" s="2" t="str">
        <f>HYPERLINK("https://www.nba.com/game/...-vs-...-0022300304/play-by-play?watchFullGame=true", "LAC vs POR - Q1 11:40.00")</f>
        <v>LAC vs POR - Q1 11:40.00</v>
      </c>
      <c r="L3320">
        <v>14.07</v>
      </c>
      <c r="M3320">
        <v>80.209999999999994</v>
      </c>
      <c r="N3320">
        <v>58.82</v>
      </c>
      <c r="O3320">
        <v>44</v>
      </c>
      <c r="P3320">
        <v>134</v>
      </c>
    </row>
    <row r="3321" spans="1:16" x14ac:dyDescent="0.25">
      <c r="A3321">
        <v>21901232</v>
      </c>
      <c r="B3321">
        <v>2019</v>
      </c>
      <c r="C3321" t="s">
        <v>32</v>
      </c>
      <c r="D3321" t="s">
        <v>22</v>
      </c>
      <c r="E3321">
        <v>41</v>
      </c>
      <c r="F3321">
        <v>38</v>
      </c>
      <c r="G3321">
        <v>2</v>
      </c>
      <c r="H3321" s="1">
        <v>5.3819444444444444E-3</v>
      </c>
      <c r="I3321" t="s">
        <v>23</v>
      </c>
      <c r="J3321" s="2" t="str">
        <f>HYPERLINK("https://www.nba.com/stats/events?CFID=&amp;CFPARAMS=&amp;GameEventID=265&amp;GameID=0021901232&amp;Season=2019-20&amp;flag=1&amp;title=Leonard%2016'%20jumpshot%20(15%20PTS)", "16' jumpshot (15 PTS)")</f>
        <v>16' jumpshot (15 PTS)</v>
      </c>
      <c r="K3321" s="2" t="str">
        <f>HYPERLINK("https://www.nba.com/game/...-vs-...-0021901232/play-by-play?watchFullGame=true", "LAC vs LAL - Q2 07:45.00")</f>
        <v>LAC vs LAL - Q2 07:45.00</v>
      </c>
      <c r="L3321">
        <v>15.52</v>
      </c>
      <c r="M3321">
        <v>20.84</v>
      </c>
      <c r="N3321">
        <v>41.25</v>
      </c>
      <c r="O3321">
        <v>44</v>
      </c>
      <c r="P3321">
        <v>143</v>
      </c>
    </row>
    <row r="3322" spans="1:16" x14ac:dyDescent="0.25">
      <c r="A3322">
        <v>22300568</v>
      </c>
      <c r="B3322">
        <v>2023</v>
      </c>
      <c r="C3322" t="s">
        <v>32</v>
      </c>
      <c r="D3322" t="s">
        <v>19</v>
      </c>
      <c r="E3322">
        <v>79</v>
      </c>
      <c r="F3322">
        <v>68</v>
      </c>
      <c r="G3322">
        <v>3</v>
      </c>
      <c r="H3322" s="1">
        <v>5.347222222222222E-3</v>
      </c>
      <c r="I3322" t="s">
        <v>23</v>
      </c>
      <c r="J3322" s="2" t="str">
        <f>HYPERLINK("https://www.nba.com/stats/events?CFID=&amp;CFPARAMS=&amp;GameEventID=371&amp;GameID=0022300568&amp;Season=2023-24&amp;flag=1&amp;title=Leonard%2015'%20pullup%20Jump%20Shot%20(15%20PTS)%20(M.%20Plumlee%201%20AST)", "15' pullup Jump Shot (15 PTS) (M. Plumlee 1 AST)")</f>
        <v>15' pullup Jump Shot (15 PTS) (M. Plumlee 1 AST)</v>
      </c>
      <c r="K3322" s="2" t="str">
        <f>HYPERLINK("https://www.nba.com/game/...-vs-...-0022300568/play-by-play?watchFullGame=true", "LAC vs OKC - Q3 07:42.00")</f>
        <v>LAC vs OKC - Q3 07:42.00</v>
      </c>
      <c r="L3322">
        <v>15.21</v>
      </c>
      <c r="M3322">
        <v>21.07</v>
      </c>
      <c r="N3322">
        <v>41.18</v>
      </c>
      <c r="O3322">
        <v>44</v>
      </c>
      <c r="P3322">
        <v>146</v>
      </c>
    </row>
    <row r="3323" spans="1:16" x14ac:dyDescent="0.25">
      <c r="A3323">
        <v>22400671</v>
      </c>
      <c r="B3323">
        <v>2024</v>
      </c>
      <c r="C3323" t="s">
        <v>32</v>
      </c>
      <c r="D3323" t="s">
        <v>19</v>
      </c>
      <c r="E3323">
        <v>14</v>
      </c>
      <c r="F3323">
        <v>11</v>
      </c>
      <c r="G3323">
        <v>1</v>
      </c>
      <c r="H3323" s="1">
        <v>4.9305555555555552E-3</v>
      </c>
      <c r="I3323" t="s">
        <v>23</v>
      </c>
      <c r="J3323" s="2" t="str">
        <f>HYPERLINK("https://www.nba.com/stats/events?CFID=&amp;CFPARAMS=&amp;GameEventID=57&amp;GameID=0022400671&amp;Season=2024-25&amp;flag=1&amp;title=Leonard%2016'%20turnaround%20fadeaway%20Jump%20Shot%20(4%20PTS)", "16' turnaround fadeaway Jump Shot (4 PTS)")</f>
        <v>16' turnaround fadeaway Jump Shot (4 PTS)</v>
      </c>
      <c r="K3323" s="2" t="str">
        <f>HYPERLINK("https://www.nba.com/game/...-vs-...-0022400671/play-by-play?watchFullGame=true", "LAC vs SAS - Q1 07:06.00")</f>
        <v>LAC vs SAS - Q1 07:06.00</v>
      </c>
      <c r="L3323">
        <v>16.16</v>
      </c>
      <c r="M3323">
        <v>77.87</v>
      </c>
      <c r="N3323">
        <v>58.82</v>
      </c>
      <c r="O3323">
        <v>44</v>
      </c>
      <c r="P3323">
        <v>155</v>
      </c>
    </row>
    <row r="3324" spans="1:16" x14ac:dyDescent="0.25">
      <c r="A3324">
        <v>22200829</v>
      </c>
      <c r="B3324">
        <v>2022</v>
      </c>
      <c r="C3324" t="s">
        <v>32</v>
      </c>
      <c r="D3324" t="s">
        <v>19</v>
      </c>
      <c r="E3324">
        <v>55</v>
      </c>
      <c r="F3324">
        <v>62</v>
      </c>
      <c r="G3324">
        <v>3</v>
      </c>
      <c r="H3324" s="1">
        <v>7.4652777777777781E-3</v>
      </c>
      <c r="I3324" t="s">
        <v>23</v>
      </c>
      <c r="J3324" s="2" t="str">
        <f>HYPERLINK("https://www.nba.com/stats/events?CFID=&amp;CFPARAMS=&amp;GameEventID=333&amp;GameID=0022200829&amp;Season=2022-23&amp;flag=1&amp;title=Leonard%20pullup%20bank%20Jump%20Shot%20(4%20PTS)%20(T.%20Mann%204%20AST)", "Pullup bank Jump Shot (4 PTS) (T. Mann 4 AST)")</f>
        <v>Pullup bank Jump Shot (4 PTS) (T. Mann 4 AST)</v>
      </c>
      <c r="K3324" s="2" t="str">
        <f>HYPERLINK("https://www.nba.com/game/...-vs-...-0022200829/play-by-play?watchFullGame=true", "LAC vs DAL - Q3 10:45.00")</f>
        <v>LAC vs DAL - Q3 10:45.00</v>
      </c>
      <c r="L3324">
        <v>5.62</v>
      </c>
      <c r="M3324">
        <v>9.1999999999999993</v>
      </c>
      <c r="N3324">
        <v>41.05</v>
      </c>
      <c r="O3324">
        <v>45</v>
      </c>
      <c r="P3324">
        <v>34</v>
      </c>
    </row>
    <row r="3325" spans="1:16" x14ac:dyDescent="0.25">
      <c r="A3325">
        <v>22400646</v>
      </c>
      <c r="B3325">
        <v>2024</v>
      </c>
      <c r="C3325" t="s">
        <v>32</v>
      </c>
      <c r="D3325" t="s">
        <v>47</v>
      </c>
      <c r="E3325">
        <v>62</v>
      </c>
      <c r="F3325">
        <v>65</v>
      </c>
      <c r="G3325">
        <v>3</v>
      </c>
      <c r="H3325" s="1">
        <v>6.828703703703704E-3</v>
      </c>
      <c r="I3325" t="s">
        <v>23</v>
      </c>
      <c r="J3325" s="2" t="str">
        <f>HYPERLINK("https://www.nba.com/stats/events?CFID=&amp;CFPARAMS=&amp;GameEventID=373&amp;GameID=0022400646&amp;Season=2024-25&amp;flag=1&amp;title=Leonard%20driving%20finger%20roll%20Layup%20(13%20PTS)", "Driving finger roll Layup (13 PTS)")</f>
        <v>Driving finger roll Layup (13 PTS)</v>
      </c>
      <c r="K3325" s="2" t="str">
        <f>HYPERLINK("https://www.nba.com/game/...-vs-...-0022400646/play-by-play?watchFullGame=true", "LAC vs MIL - Q3 09:50.00")</f>
        <v>LAC vs MIL - Q3 09:50.00</v>
      </c>
      <c r="L3325">
        <v>5.79</v>
      </c>
      <c r="M3325">
        <v>9.41</v>
      </c>
      <c r="N3325">
        <v>40.93</v>
      </c>
      <c r="O3325">
        <v>45</v>
      </c>
      <c r="P3325">
        <v>36</v>
      </c>
    </row>
    <row r="3326" spans="1:16" x14ac:dyDescent="0.25">
      <c r="A3326">
        <v>21600588</v>
      </c>
      <c r="B3326">
        <v>2016</v>
      </c>
      <c r="C3326" t="s">
        <v>32</v>
      </c>
      <c r="D3326" t="s">
        <v>38</v>
      </c>
      <c r="E3326">
        <v>29</v>
      </c>
      <c r="F3326">
        <v>15</v>
      </c>
      <c r="G3326">
        <v>1</v>
      </c>
      <c r="H3326" s="1">
        <v>2.5925925925925925E-3</v>
      </c>
      <c r="I3326" t="s">
        <v>18</v>
      </c>
      <c r="J3326" s="2" t="str">
        <f>HYPERLINK("https://www.nba.com/stats/events?CFID=&amp;CFPARAMS=&amp;GameEventID=79&amp;GameID=0021600588&amp;Season=2016-17&amp;flag=1&amp;title=Leonard%206'%20Jump%20Bank%20Shot%20(13%20PTS)", "Leonard 6' Jump Bank Shot (13 PTS)")</f>
        <v>Leonard 6' Jump Bank Shot (13 PTS)</v>
      </c>
      <c r="K3326" s="2" t="str">
        <f>HYPERLINK("https://www.nba.com/game/...-vs-...-0021600588/play-by-play?watchFullGame=true", "SAS vs LAL - Q1 03:44.00")</f>
        <v>SAS vs LAL - Q1 03:44.00</v>
      </c>
      <c r="L3326">
        <v>6</v>
      </c>
      <c r="M3326">
        <v>45</v>
      </c>
      <c r="N3326">
        <v>41</v>
      </c>
      <c r="O3326">
        <v>45</v>
      </c>
      <c r="P3326">
        <v>41</v>
      </c>
    </row>
    <row r="3327" spans="1:16" x14ac:dyDescent="0.25">
      <c r="A3327">
        <v>21600383</v>
      </c>
      <c r="B3327">
        <v>2016</v>
      </c>
      <c r="C3327" t="s">
        <v>32</v>
      </c>
      <c r="D3327" t="s">
        <v>70</v>
      </c>
      <c r="E3327">
        <v>94</v>
      </c>
      <c r="F3327">
        <v>85</v>
      </c>
      <c r="G3327">
        <v>4</v>
      </c>
      <c r="H3327" s="1">
        <v>4.5023148148148149E-3</v>
      </c>
      <c r="I3327" t="s">
        <v>18</v>
      </c>
      <c r="J3327" s="2" t="str">
        <f>HYPERLINK("https://www.nba.com/stats/events?CFID=&amp;CFPARAMS=&amp;GameEventID=420&amp;GameID=0021600383&amp;Season=2016-17&amp;flag=1&amp;title=Leonard%206'%20Driving%20Hook%20Shot%20(22%20PTS)", "Leonard 6' Driving Hook Shot (22 PTS)")</f>
        <v>Leonard 6' Driving Hook Shot (22 PTS)</v>
      </c>
      <c r="K3327" s="2" t="str">
        <f>HYPERLINK("https://www.nba.com/game/...-vs-...-0021600383/play-by-play?watchFullGame=true", "SAS vs BOS - Q4 06:29.00")</f>
        <v>SAS vs BOS - Q4 06:29.00</v>
      </c>
      <c r="L3327">
        <v>6</v>
      </c>
      <c r="M3327">
        <v>45</v>
      </c>
      <c r="N3327">
        <v>43</v>
      </c>
      <c r="O3327">
        <v>45</v>
      </c>
      <c r="P3327">
        <v>43</v>
      </c>
    </row>
    <row r="3328" spans="1:16" x14ac:dyDescent="0.25">
      <c r="A3328">
        <v>41300145</v>
      </c>
      <c r="B3328" t="s">
        <v>26</v>
      </c>
      <c r="C3328" t="s">
        <v>32</v>
      </c>
      <c r="D3328" t="s">
        <v>19</v>
      </c>
      <c r="E3328">
        <v>4</v>
      </c>
      <c r="F3328">
        <v>2</v>
      </c>
      <c r="G3328">
        <v>1</v>
      </c>
      <c r="H3328" s="1">
        <v>7.3726851851851852E-3</v>
      </c>
      <c r="I3328" t="s">
        <v>18</v>
      </c>
      <c r="J3328" s="2" t="str">
        <f>HYPERLINK("https://www.nba.com/stats/events?CFID=&amp;CFPARAMS=&amp;GameEventID=8&amp;GameID=0041300145&amp;Season=2013-14&amp;flag=1&amp;title=Leonard%206'%20Jump%20Shot%20(2%20PTS)", "Leonard 6' Jump Shot (2 PTS)")</f>
        <v>Leonard 6' Jump Shot (2 PTS)</v>
      </c>
      <c r="K3328" s="2" t="str">
        <f>HYPERLINK("https://www.nba.com/game/...-vs-...-0041300145/play-by-play?watchFullGame=true", "SAS vs DAL - Q1 10:37.00")</f>
        <v>SAS vs DAL - Q1 10:37.00</v>
      </c>
      <c r="L3328">
        <v>6</v>
      </c>
      <c r="M3328">
        <v>45</v>
      </c>
      <c r="N3328">
        <v>44</v>
      </c>
      <c r="O3328">
        <v>45</v>
      </c>
      <c r="P3328">
        <v>44</v>
      </c>
    </row>
    <row r="3329" spans="1:16" x14ac:dyDescent="0.25">
      <c r="A3329">
        <v>21600114</v>
      </c>
      <c r="B3329">
        <v>2016</v>
      </c>
      <c r="C3329" t="s">
        <v>32</v>
      </c>
      <c r="D3329" t="s">
        <v>19</v>
      </c>
      <c r="E3329">
        <v>16</v>
      </c>
      <c r="F3329">
        <v>15</v>
      </c>
      <c r="G3329">
        <v>1</v>
      </c>
      <c r="H3329" s="1">
        <v>3.4837962962962965E-3</v>
      </c>
      <c r="I3329" t="s">
        <v>18</v>
      </c>
      <c r="J3329" s="2" t="str">
        <f>HYPERLINK("https://www.nba.com/stats/events?CFID=&amp;CFPARAMS=&amp;GameEventID=65&amp;GameID=0021600114&amp;Season=2016-17&amp;flag=1&amp;title=Leonard%207'%20Jump%20Shot%20(7%20PTS)", "Leonard 7' Jump Shot (7 PTS)")</f>
        <v>Leonard 7' Jump Shot (7 PTS)</v>
      </c>
      <c r="K3329" s="2" t="str">
        <f>HYPERLINK("https://www.nba.com/game/...-vs-...-0021600114/play-by-play?watchFullGame=true", "SAS vs HOU - Q1 05:01.00")</f>
        <v>SAS vs HOU - Q1 05:01.00</v>
      </c>
      <c r="L3329">
        <v>7</v>
      </c>
      <c r="M3329">
        <v>45</v>
      </c>
      <c r="N3329">
        <v>47</v>
      </c>
      <c r="O3329">
        <v>45</v>
      </c>
      <c r="P3329">
        <v>47</v>
      </c>
    </row>
    <row r="3330" spans="1:16" x14ac:dyDescent="0.25">
      <c r="A3330">
        <v>22000224</v>
      </c>
      <c r="B3330">
        <v>2020</v>
      </c>
      <c r="C3330" t="s">
        <v>32</v>
      </c>
      <c r="D3330" t="s">
        <v>19</v>
      </c>
      <c r="E3330">
        <v>88</v>
      </c>
      <c r="F3330">
        <v>73</v>
      </c>
      <c r="G3330">
        <v>3</v>
      </c>
      <c r="H3330" s="1">
        <v>1.261574074074074E-3</v>
      </c>
      <c r="I3330" t="s">
        <v>23</v>
      </c>
      <c r="J3330" s="2" t="str">
        <f>HYPERLINK("https://www.nba.com/stats/events?CFID=&amp;CFPARAMS=&amp;GameEventID=434&amp;GameID=0022000224&amp;Season=2020-21&amp;flag=1&amp;title=Leonard%206'%20driving%20floating%20Jump%20Shot%20(27%20PTS)", "6' driving floating Jump Shot (27 PTS)")</f>
        <v>6' driving floating Jump Shot (27 PTS)</v>
      </c>
      <c r="K3330" s="2" t="str">
        <f>HYPERLINK("https://www.nba.com/game/...-vs-...-0022000224/play-by-play?watchFullGame=true", "LAC vs SAC - Q3 01:49.00")</f>
        <v>LAC vs SAC - Q3 01:49.00</v>
      </c>
      <c r="L3330">
        <v>6.7</v>
      </c>
      <c r="M3330">
        <v>10.86</v>
      </c>
      <c r="N3330">
        <v>41</v>
      </c>
      <c r="O3330">
        <v>45</v>
      </c>
      <c r="P3330">
        <v>50</v>
      </c>
    </row>
    <row r="3331" spans="1:16" x14ac:dyDescent="0.25">
      <c r="A3331">
        <v>22300273</v>
      </c>
      <c r="B3331">
        <v>2023</v>
      </c>
      <c r="C3331" t="s">
        <v>32</v>
      </c>
      <c r="D3331" t="s">
        <v>47</v>
      </c>
      <c r="E3331">
        <v>82</v>
      </c>
      <c r="F3331">
        <v>73</v>
      </c>
      <c r="G3331">
        <v>3</v>
      </c>
      <c r="H3331" s="1">
        <v>2.0254629629629629E-3</v>
      </c>
      <c r="I3331" t="s">
        <v>23</v>
      </c>
      <c r="J3331" s="2" t="str">
        <f>HYPERLINK("https://www.nba.com/stats/events?CFID=&amp;CFPARAMS=&amp;GameEventID=436&amp;GameID=0022300273&amp;Season=2023-24&amp;flag=1&amp;title=Leonard%207'%20driving%20Layup%20(21%20PTS)%20(R.%20Westbrook%202%20AST)", "7' driving Layup (21 PTS) (R. Westbrook 2 AST)")</f>
        <v>7' driving Layup (21 PTS) (R. Westbrook 2 AST)</v>
      </c>
      <c r="K3331" s="2" t="str">
        <f>HYPERLINK("https://www.nba.com/game/...-vs-...-0022300273/play-by-play?watchFullGame=true", "LAC vs GSW - Q3 02:55.00")</f>
        <v>LAC vs GSW - Q3 02:55.00</v>
      </c>
      <c r="L3331">
        <v>7.09</v>
      </c>
      <c r="M3331">
        <v>11.38</v>
      </c>
      <c r="N3331">
        <v>40.93</v>
      </c>
      <c r="O3331">
        <v>45</v>
      </c>
      <c r="P3331">
        <v>55</v>
      </c>
    </row>
    <row r="3332" spans="1:16" x14ac:dyDescent="0.25">
      <c r="A3332">
        <v>21301038</v>
      </c>
      <c r="B3332">
        <v>2013</v>
      </c>
      <c r="C3332" t="s">
        <v>32</v>
      </c>
      <c r="D3332" t="s">
        <v>37</v>
      </c>
      <c r="E3332">
        <v>78</v>
      </c>
      <c r="F3332">
        <v>89</v>
      </c>
      <c r="G3332">
        <v>4</v>
      </c>
      <c r="H3332" s="1">
        <v>3.5300925925925925E-3</v>
      </c>
      <c r="I3332" t="s">
        <v>18</v>
      </c>
      <c r="J3332" s="2" t="str">
        <f>HYPERLINK("https://www.nba.com/stats/events?CFID=&amp;CFPARAMS=&amp;GameEventID=483&amp;GameID=0021301038&amp;Season=2013-14&amp;flag=1&amp;title=Leonard%208'%20Floating%20Jump%20Shot%20(13%20PTS)%20(Splitter%202%20AST)", "Leonard 8' Floating Jump Shot (13 PTS) (Splitter 2 AST)")</f>
        <v>Leonard 8' Floating Jump Shot (13 PTS) (Splitter 2 AST)</v>
      </c>
      <c r="K3332" s="2" t="str">
        <f>HYPERLINK("https://www.nba.com/game/...-vs-...-0021301038/play-by-play?watchFullGame=true", "SAS vs GSW - Q4 05:05.00")</f>
        <v>SAS vs GSW - Q4 05:05.00</v>
      </c>
      <c r="L3332">
        <v>8</v>
      </c>
      <c r="M3332">
        <v>45</v>
      </c>
      <c r="N3332">
        <v>69</v>
      </c>
      <c r="O3332">
        <v>45</v>
      </c>
      <c r="P3332">
        <v>69</v>
      </c>
    </row>
    <row r="3333" spans="1:16" x14ac:dyDescent="0.25">
      <c r="A3333">
        <v>22300526</v>
      </c>
      <c r="B3333">
        <v>2023</v>
      </c>
      <c r="C3333" t="s">
        <v>32</v>
      </c>
      <c r="D3333" t="s">
        <v>19</v>
      </c>
      <c r="E3333">
        <v>49</v>
      </c>
      <c r="F3333">
        <v>48</v>
      </c>
      <c r="G3333">
        <v>2</v>
      </c>
      <c r="H3333" s="1">
        <v>2.6967592592592594E-3</v>
      </c>
      <c r="I3333" t="s">
        <v>23</v>
      </c>
      <c r="J3333" s="2" t="str">
        <f>HYPERLINK("https://www.nba.com/stats/events?CFID=&amp;CFPARAMS=&amp;GameEventID=242&amp;GameID=0022300526&amp;Season=2023-24&amp;flag=1&amp;title=Leonard%208'%20pullup%20Jump%20Shot%20(14%20PTS)%20(J.%20Harden%205%20AST)", "8' pullup Jump Shot (14 PTS) (J. Harden 5 AST)")</f>
        <v>8' pullup Jump Shot (14 PTS) (J. Harden 5 AST)</v>
      </c>
      <c r="K3333" s="2" t="str">
        <f>HYPERLINK("https://www.nba.com/game/...-vs-...-0022300526/play-by-play?watchFullGame=true", "LAC vs TOR - Q2 03:53.00")</f>
        <v>LAC vs TOR - Q2 03:53.00</v>
      </c>
      <c r="L3333">
        <v>8.7799999999999994</v>
      </c>
      <c r="M3333">
        <v>13.58</v>
      </c>
      <c r="N3333">
        <v>40.93</v>
      </c>
      <c r="O3333">
        <v>45</v>
      </c>
      <c r="P3333">
        <v>75</v>
      </c>
    </row>
    <row r="3334" spans="1:16" x14ac:dyDescent="0.25">
      <c r="A3334">
        <v>22201229</v>
      </c>
      <c r="B3334">
        <v>2022</v>
      </c>
      <c r="C3334" t="s">
        <v>32</v>
      </c>
      <c r="D3334" t="s">
        <v>44</v>
      </c>
      <c r="E3334">
        <v>107</v>
      </c>
      <c r="F3334">
        <v>113</v>
      </c>
      <c r="G3334">
        <v>4</v>
      </c>
      <c r="H3334" s="1">
        <v>2.5462962962962965E-3</v>
      </c>
      <c r="I3334" t="s">
        <v>23</v>
      </c>
      <c r="J3334" s="2" t="str">
        <f>HYPERLINK("https://www.nba.com/stats/events?CFID=&amp;CFPARAMS=&amp;GameEventID=616&amp;GameID=0022201229&amp;Season=2022-23&amp;flag=1&amp;title=Leonard%209'%20Hook%20(19%20PTS)", "9' Hook (19 PTS)")</f>
        <v>9' Hook (19 PTS)</v>
      </c>
      <c r="K3334" s="2" t="str">
        <f>HYPERLINK("https://www.nba.com/game/...-vs-...-0022201229/play-by-play?watchFullGame=true", "LAC vs PHX - Q4 03:40.00")</f>
        <v>LAC vs PHX - Q4 03:40.00</v>
      </c>
      <c r="L3334">
        <v>9.1199999999999992</v>
      </c>
      <c r="M3334">
        <v>14.01</v>
      </c>
      <c r="N3334">
        <v>40.93</v>
      </c>
      <c r="O3334">
        <v>45</v>
      </c>
      <c r="P3334">
        <v>79</v>
      </c>
    </row>
    <row r="3335" spans="1:16" x14ac:dyDescent="0.25">
      <c r="A3335">
        <v>41800212</v>
      </c>
      <c r="B3335" t="s">
        <v>20</v>
      </c>
      <c r="C3335" t="s">
        <v>32</v>
      </c>
      <c r="D3335" t="s">
        <v>33</v>
      </c>
      <c r="E3335">
        <v>9</v>
      </c>
      <c r="F3335">
        <v>8</v>
      </c>
      <c r="G3335">
        <v>1</v>
      </c>
      <c r="H3335" s="1">
        <v>4.7800925925925927E-3</v>
      </c>
      <c r="I3335" t="s">
        <v>21</v>
      </c>
      <c r="J3335" s="2" t="str">
        <f>HYPERLINK("https://www.nba.com/stats/events?CFID=&amp;CFPARAMS=&amp;GameEventID=51&amp;GameID=0041800212&amp;Season=2018-19&amp;flag=1&amp;title=Leonard%2010'%20Fadeaway%20Jumper%20(2%20PTS)", "Leonard 10' Fadeaway Jumper (2 PTS)")</f>
        <v>Leonard 10' Fadeaway Jumper (2 PTS)</v>
      </c>
      <c r="K3335" s="2" t="str">
        <f>HYPERLINK("https://www.nba.com/game/...-vs-...-0041800212/play-by-play?watchFullGame=true", "TOR vs PHI - Q1 06:53.00")</f>
        <v>TOR vs PHI - Q1 06:53.00</v>
      </c>
      <c r="L3335">
        <v>10</v>
      </c>
      <c r="M3335">
        <v>45</v>
      </c>
      <c r="N3335">
        <v>85</v>
      </c>
      <c r="O3335">
        <v>45</v>
      </c>
      <c r="P3335">
        <v>85</v>
      </c>
    </row>
    <row r="3336" spans="1:16" x14ac:dyDescent="0.25">
      <c r="A3336">
        <v>21900359</v>
      </c>
      <c r="B3336">
        <v>2019</v>
      </c>
      <c r="C3336" t="s">
        <v>32</v>
      </c>
      <c r="D3336" t="s">
        <v>22</v>
      </c>
      <c r="E3336">
        <v>38</v>
      </c>
      <c r="F3336">
        <v>45</v>
      </c>
      <c r="G3336">
        <v>2</v>
      </c>
      <c r="H3336" s="1">
        <v>3.1365740740740742E-3</v>
      </c>
      <c r="I3336" t="s">
        <v>23</v>
      </c>
      <c r="J3336" s="2" t="str">
        <f>HYPERLINK("https://www.nba.com/stats/events?CFID=&amp;CFPARAMS=&amp;GameEventID=290&amp;GameID=0021900359&amp;Season=2019-20&amp;flag=1&amp;title=Leonard%2011'%20jumpshot%20(7%20PTS)", "11' jumpshot (7 PTS)")</f>
        <v>11' jumpshot (7 PTS)</v>
      </c>
      <c r="K3336" s="2" t="str">
        <f>HYPERLINK("https://www.nba.com/game/...-vs-...-0021900359/play-by-play?watchFullGame=true", "LAC vs TOR - Q2 04:31.00")</f>
        <v>LAC vs TOR - Q2 04:31.00</v>
      </c>
      <c r="L3336">
        <v>11.38</v>
      </c>
      <c r="M3336">
        <v>16.11</v>
      </c>
      <c r="N3336">
        <v>41</v>
      </c>
      <c r="O3336">
        <v>45</v>
      </c>
      <c r="P3336">
        <v>99</v>
      </c>
    </row>
    <row r="3337" spans="1:16" x14ac:dyDescent="0.25">
      <c r="A3337">
        <v>22300658</v>
      </c>
      <c r="B3337">
        <v>2023</v>
      </c>
      <c r="C3337" t="s">
        <v>32</v>
      </c>
      <c r="D3337" t="s">
        <v>19</v>
      </c>
      <c r="E3337">
        <v>13</v>
      </c>
      <c r="F3337">
        <v>12</v>
      </c>
      <c r="G3337">
        <v>1</v>
      </c>
      <c r="H3337" s="1">
        <v>3.9236111111111112E-3</v>
      </c>
      <c r="I3337" t="s">
        <v>23</v>
      </c>
      <c r="J3337" s="2" t="str">
        <f>HYPERLINK("https://www.nba.com/stats/events?CFID=&amp;CFPARAMS=&amp;GameEventID=80&amp;GameID=0022300658&amp;Season=2023-24&amp;flag=1&amp;title=Leonard%2011'%20turnaround%20fadeaway%20Jump%20Shot%20(6%20PTS)%20(R.%20Westbrook%201%20AST)", "11' turnaround fadeaway Jump Shot (6 PTS) (R. Westbrook 1 AST)")</f>
        <v>11' turnaround fadeaway Jump Shot (6 PTS) (R. Westbrook 1 AST)</v>
      </c>
      <c r="K3337" s="2" t="str">
        <f>HYPERLINK("https://www.nba.com/game/...-vs-...-0022300658/play-by-play?watchFullGame=true", "LAC vs CLE - Q1 05:39.00")</f>
        <v>LAC vs CLE - Q1 05:39.00</v>
      </c>
      <c r="L3337">
        <v>11.88</v>
      </c>
      <c r="M3337">
        <v>82.74</v>
      </c>
      <c r="N3337">
        <v>59.07</v>
      </c>
      <c r="O3337">
        <v>45</v>
      </c>
      <c r="P3337">
        <v>110</v>
      </c>
    </row>
    <row r="3338" spans="1:16" x14ac:dyDescent="0.25">
      <c r="A3338">
        <v>22300024</v>
      </c>
      <c r="B3338">
        <v>2023</v>
      </c>
      <c r="C3338" t="s">
        <v>32</v>
      </c>
      <c r="D3338" t="s">
        <v>19</v>
      </c>
      <c r="E3338">
        <v>92</v>
      </c>
      <c r="F3338">
        <v>99</v>
      </c>
      <c r="G3338">
        <v>4</v>
      </c>
      <c r="H3338" s="1">
        <v>4.178240740740741E-3</v>
      </c>
      <c r="I3338" t="s">
        <v>23</v>
      </c>
      <c r="J3338" s="2" t="str">
        <f>HYPERLINK("https://www.nba.com/stats/events?CFID=&amp;CFPARAMS=&amp;GameEventID=536&amp;GameID=0022300024&amp;Season=2023-24&amp;flag=1&amp;title=Leonard%2012'%20turnaround%20fadeaway%20Jump%20Shot%20(13%20PTS)", "12' turnaround fadeaway Jump Shot (13 PTS)")</f>
        <v>12' turnaround fadeaway Jump Shot (13 PTS)</v>
      </c>
      <c r="K3338" s="2" t="str">
        <f>HYPERLINK("https://www.nba.com/game/...-vs-...-0022300024/play-by-play?watchFullGame=true", "LAC vs DEN - Q4 06:01.00")</f>
        <v>LAC vs DEN - Q4 06:01.00</v>
      </c>
      <c r="L3338">
        <v>12.14</v>
      </c>
      <c r="M3338">
        <v>17.559999999999999</v>
      </c>
      <c r="N3338">
        <v>40.93</v>
      </c>
      <c r="O3338">
        <v>45</v>
      </c>
      <c r="P3338">
        <v>113</v>
      </c>
    </row>
    <row r="3339" spans="1:16" x14ac:dyDescent="0.25">
      <c r="A3339">
        <v>22300127</v>
      </c>
      <c r="B3339">
        <v>2023</v>
      </c>
      <c r="C3339" t="s">
        <v>32</v>
      </c>
      <c r="D3339" t="s">
        <v>19</v>
      </c>
      <c r="E3339">
        <v>2</v>
      </c>
      <c r="F3339">
        <v>6</v>
      </c>
      <c r="G3339">
        <v>1</v>
      </c>
      <c r="H3339" s="1">
        <v>6.851851851851852E-3</v>
      </c>
      <c r="I3339" t="s">
        <v>23</v>
      </c>
      <c r="J3339" s="2" t="str">
        <f>HYPERLINK("https://www.nba.com/stats/events?CFID=&amp;CFPARAMS=&amp;GameEventID=25&amp;GameID=0022300127&amp;Season=2023-24&amp;flag=1&amp;title=Leonard%2013'%20pullup%20Jump%20Shot%20(4%20PTS)", "13' pullup Jump Shot (4 PTS)")</f>
        <v>13' pullup Jump Shot (4 PTS)</v>
      </c>
      <c r="K3339" s="2" t="str">
        <f>HYPERLINK("https://www.nba.com/game/...-vs-...-0022300127/play-by-play?watchFullGame=true", "LAC vs LAL - Q1 09:52.00")</f>
        <v>LAC vs LAL - Q1 09:52.00</v>
      </c>
      <c r="L3339">
        <v>13.29</v>
      </c>
      <c r="M3339">
        <v>81.13</v>
      </c>
      <c r="N3339">
        <v>59.07</v>
      </c>
      <c r="O3339">
        <v>45</v>
      </c>
      <c r="P3339">
        <v>125</v>
      </c>
    </row>
    <row r="3340" spans="1:16" x14ac:dyDescent="0.25">
      <c r="A3340">
        <v>21500393</v>
      </c>
      <c r="B3340">
        <v>2015</v>
      </c>
      <c r="C3340" t="s">
        <v>32</v>
      </c>
      <c r="D3340" t="s">
        <v>31</v>
      </c>
      <c r="E3340">
        <v>71</v>
      </c>
      <c r="F3340">
        <v>72</v>
      </c>
      <c r="G3340">
        <v>3</v>
      </c>
      <c r="H3340" s="1">
        <v>4.3981481481481484E-3</v>
      </c>
      <c r="I3340" t="s">
        <v>18</v>
      </c>
      <c r="J3340" s="2" t="str">
        <f>HYPERLINK("https://www.nba.com/stats/events?CFID=&amp;CFPARAMS=&amp;GameEventID=285&amp;GameID=0021500393&amp;Season=2015-16&amp;flag=1&amp;title=Leonard%2016'%20Step%20Back%20Jump%20Shot%20(14%20PTS)", "Leonard 16' Step Back Jump Shot (14 PTS)")</f>
        <v>Leonard 16' Step Back Jump Shot (14 PTS)</v>
      </c>
      <c r="K3340" s="2" t="str">
        <f>HYPERLINK("https://www.nba.com/game/...-vs-...-0021500393/play-by-play?watchFullGame=true", "SAS vs LAC - Q3 06:20.00")</f>
        <v>SAS vs LAC - Q3 06:20.00</v>
      </c>
      <c r="L3340">
        <v>16</v>
      </c>
      <c r="M3340">
        <v>45</v>
      </c>
      <c r="N3340">
        <v>149</v>
      </c>
      <c r="O3340">
        <v>45</v>
      </c>
      <c r="P3340">
        <v>149</v>
      </c>
    </row>
    <row r="3341" spans="1:16" x14ac:dyDescent="0.25">
      <c r="A3341">
        <v>22300897</v>
      </c>
      <c r="B3341">
        <v>2023</v>
      </c>
      <c r="C3341" t="s">
        <v>32</v>
      </c>
      <c r="D3341" t="s">
        <v>19</v>
      </c>
      <c r="E3341">
        <v>109</v>
      </c>
      <c r="F3341">
        <v>113</v>
      </c>
      <c r="G3341">
        <v>4</v>
      </c>
      <c r="H3341" s="1">
        <v>1.4583333333333334E-3</v>
      </c>
      <c r="I3341" t="s">
        <v>23</v>
      </c>
      <c r="J3341" s="2" t="str">
        <f>HYPERLINK("https://www.nba.com/stats/events?CFID=&amp;CFPARAMS=&amp;GameEventID=574&amp;GameID=0022300897&amp;Season=2023-24&amp;flag=1&amp;title=Leonard%2017'%20pullup%20Jump%20Shot%20(27%20PTS)", "17' pullup Jump Shot (27 PTS)")</f>
        <v>17' pullup Jump Shot (27 PTS)</v>
      </c>
      <c r="K3341" s="2" t="str">
        <f>HYPERLINK("https://www.nba.com/game/...-vs-...-0022300897/play-by-play?watchFullGame=true", "LAC vs HOU - Q4 02:06.00")</f>
        <v>LAC vs HOU - Q4 02:06.00</v>
      </c>
      <c r="L3341">
        <v>17.29</v>
      </c>
      <c r="M3341">
        <v>23.34</v>
      </c>
      <c r="N3341">
        <v>40.93</v>
      </c>
      <c r="O3341">
        <v>45</v>
      </c>
      <c r="P3341">
        <v>167</v>
      </c>
    </row>
    <row r="3342" spans="1:16" x14ac:dyDescent="0.25">
      <c r="A3342">
        <v>22200649</v>
      </c>
      <c r="B3342">
        <v>2022</v>
      </c>
      <c r="C3342" t="s">
        <v>16</v>
      </c>
      <c r="D3342" t="s">
        <v>19</v>
      </c>
      <c r="E3342">
        <v>28</v>
      </c>
      <c r="F3342">
        <v>28</v>
      </c>
      <c r="G3342">
        <v>1</v>
      </c>
      <c r="H3342" s="1">
        <v>1.261574074074074E-3</v>
      </c>
      <c r="I3342" t="s">
        <v>23</v>
      </c>
      <c r="J3342" s="2" t="str">
        <f>HYPERLINK("https://www.nba.com/stats/events?CFID=&amp;CFPARAMS=&amp;GameEventID=121&amp;GameID=0022200649&amp;Season=2022-23&amp;flag=1&amp;title=Leonard%2025'%203PT%20%20(13%20PTS)%20(R.%20Covington%201%20AST)", "25' 3PT  (13 PTS) (R. Covington 1 AST)")</f>
        <v>25' 3PT  (13 PTS) (R. Covington 1 AST)</v>
      </c>
      <c r="K3342" s="2" t="str">
        <f>HYPERLINK("https://www.nba.com/game/...-vs-...-0022200649/play-by-play?watchFullGame=true", "LAC vs HOU - Q1 01:49.00")</f>
        <v>LAC vs HOU - Q1 01:49.00</v>
      </c>
      <c r="L3342">
        <v>25.61</v>
      </c>
      <c r="M3342">
        <v>67.599999999999994</v>
      </c>
      <c r="N3342">
        <v>59.05</v>
      </c>
      <c r="O3342">
        <v>45</v>
      </c>
      <c r="P3342">
        <v>252</v>
      </c>
    </row>
    <row r="3343" spans="1:16" x14ac:dyDescent="0.25">
      <c r="A3343">
        <v>41400164</v>
      </c>
      <c r="B3343" t="s">
        <v>28</v>
      </c>
      <c r="C3343" t="s">
        <v>16</v>
      </c>
      <c r="D3343" t="s">
        <v>19</v>
      </c>
      <c r="E3343">
        <v>95</v>
      </c>
      <c r="F3343">
        <v>106</v>
      </c>
      <c r="G3343">
        <v>4</v>
      </c>
      <c r="H3343" s="1">
        <v>2.0717592592592593E-3</v>
      </c>
      <c r="I3343" t="s">
        <v>18</v>
      </c>
      <c r="J3343" s="2" t="str">
        <f>HYPERLINK("https://www.nba.com/stats/events?CFID=&amp;CFPARAMS=&amp;GameEventID=516&amp;GameID=0041400164&amp;Season=2014-15&amp;flag=1&amp;title=Leonard%2026'%203PT%20Jump%20Shot%20(23%20PTS)", "Leonard 26' 3PT Jump Shot (23 PTS)")</f>
        <v>Leonard 26' 3PT Jump Shot (23 PTS)</v>
      </c>
      <c r="K3343" s="2" t="str">
        <f>HYPERLINK("https://www.nba.com/game/...-vs-...-0041400164/play-by-play?watchFullGame=true", "SAS vs LAC - Q4 02:59.00")</f>
        <v>SAS vs LAC - Q4 02:59.00</v>
      </c>
      <c r="L3343">
        <v>26</v>
      </c>
      <c r="M3343">
        <v>45</v>
      </c>
      <c r="N3343">
        <v>255</v>
      </c>
      <c r="O3343">
        <v>45</v>
      </c>
      <c r="P3343">
        <v>255</v>
      </c>
    </row>
    <row r="3344" spans="1:16" x14ac:dyDescent="0.25">
      <c r="A3344">
        <v>22000788</v>
      </c>
      <c r="B3344">
        <v>2020</v>
      </c>
      <c r="C3344" t="s">
        <v>16</v>
      </c>
      <c r="D3344" t="s">
        <v>19</v>
      </c>
      <c r="E3344">
        <v>54</v>
      </c>
      <c r="F3344">
        <v>56</v>
      </c>
      <c r="G3344">
        <v>2</v>
      </c>
      <c r="H3344" s="1">
        <v>1.1574074074074073E-5</v>
      </c>
      <c r="I3344" t="s">
        <v>23</v>
      </c>
      <c r="J3344" s="2" t="str">
        <f>HYPERLINK("https://www.nba.com/stats/events?CFID=&amp;CFPARAMS=&amp;GameEventID=277&amp;GameID=0022000788&amp;Season=2020-21&amp;flag=1&amp;title=Leonard%2027'%203PT%20pullup%20(8%20PTS)", "27' 3PT pullup (8 PTS)")</f>
        <v>27' 3PT pullup (8 PTS)</v>
      </c>
      <c r="K3344" s="2" t="str">
        <f>HYPERLINK("https://www.nba.com/game/...-vs-...-0022000788/play-by-play?watchFullGame=true", "LAC vs PHX - Q2 00:01.00")</f>
        <v>LAC vs PHX - Q2 00:01.00</v>
      </c>
      <c r="L3344">
        <v>27.92</v>
      </c>
      <c r="M3344">
        <v>34.9</v>
      </c>
      <c r="N3344">
        <v>41</v>
      </c>
      <c r="O3344">
        <v>45</v>
      </c>
      <c r="P3344">
        <v>276</v>
      </c>
    </row>
    <row r="3345" spans="1:16" x14ac:dyDescent="0.25">
      <c r="A3345">
        <v>41600234</v>
      </c>
      <c r="B3345" t="s">
        <v>30</v>
      </c>
      <c r="C3345" t="s">
        <v>32</v>
      </c>
      <c r="D3345" t="s">
        <v>70</v>
      </c>
      <c r="E3345">
        <v>7</v>
      </c>
      <c r="F3345">
        <v>4</v>
      </c>
      <c r="G3345">
        <v>1</v>
      </c>
      <c r="H3345" s="1">
        <v>6.5624999999999998E-3</v>
      </c>
      <c r="I3345" t="s">
        <v>18</v>
      </c>
      <c r="J3345" s="2" t="str">
        <f>HYPERLINK("https://www.nba.com/stats/events?CFID=&amp;CFPARAMS=&amp;GameEventID=26&amp;GameID=0041600234&amp;Season=2016-17&amp;flag=1&amp;title=Leonard%205'%20Driving%20Hook%20Shot%20(2%20PTS)", "Leonard 5' Driving Hook Shot (2 PTS)")</f>
        <v>Leonard 5' Driving Hook Shot (2 PTS)</v>
      </c>
      <c r="K3345" s="2" t="str">
        <f>HYPERLINK("https://www.nba.com/game/...-vs-...-0041600234/play-by-play?watchFullGame=true", "SAS vs HOU - Q1 09:27.00")</f>
        <v>SAS vs HOU - Q1 09:27.00</v>
      </c>
      <c r="L3345">
        <v>5</v>
      </c>
      <c r="M3345">
        <v>46</v>
      </c>
      <c r="N3345">
        <v>7</v>
      </c>
      <c r="O3345">
        <v>46</v>
      </c>
      <c r="P3345">
        <v>7</v>
      </c>
    </row>
    <row r="3346" spans="1:16" x14ac:dyDescent="0.25">
      <c r="A3346">
        <v>41800211</v>
      </c>
      <c r="B3346" t="s">
        <v>20</v>
      </c>
      <c r="C3346" t="s">
        <v>32</v>
      </c>
      <c r="D3346" t="s">
        <v>29</v>
      </c>
      <c r="E3346">
        <v>91</v>
      </c>
      <c r="F3346">
        <v>72</v>
      </c>
      <c r="G3346">
        <v>3</v>
      </c>
      <c r="H3346" s="1">
        <v>1.0879629629629629E-3</v>
      </c>
      <c r="I3346" t="s">
        <v>21</v>
      </c>
      <c r="J3346" s="2" t="str">
        <f>HYPERLINK("https://www.nba.com/stats/events?CFID=&amp;CFPARAMS=&amp;GameEventID=451&amp;GameID=0041800211&amp;Season=2018-19&amp;flag=1&amp;title=Leonard%205'%20Pullup%20Jump%20Shot%20(36%20PTS)", "Leonard 5' Pullup Jump Shot (36 PTS)")</f>
        <v>Leonard 5' Pullup Jump Shot (36 PTS)</v>
      </c>
      <c r="K3346" s="2" t="str">
        <f>HYPERLINK("https://www.nba.com/game/...-vs-...-0041800211/play-by-play?watchFullGame=true", "TOR vs PHI - Q3 01:34.00")</f>
        <v>TOR vs PHI - Q3 01:34.00</v>
      </c>
      <c r="L3346">
        <v>5</v>
      </c>
      <c r="M3346">
        <v>46</v>
      </c>
      <c r="N3346">
        <v>12</v>
      </c>
      <c r="O3346">
        <v>46</v>
      </c>
      <c r="P3346">
        <v>12</v>
      </c>
    </row>
    <row r="3347" spans="1:16" x14ac:dyDescent="0.25">
      <c r="A3347">
        <v>21500742</v>
      </c>
      <c r="B3347">
        <v>2015</v>
      </c>
      <c r="C3347" t="s">
        <v>32</v>
      </c>
      <c r="D3347" t="s">
        <v>37</v>
      </c>
      <c r="E3347">
        <v>108</v>
      </c>
      <c r="F3347">
        <v>97</v>
      </c>
      <c r="G3347">
        <v>4</v>
      </c>
      <c r="H3347" s="1">
        <v>4.0856481481481478E-4</v>
      </c>
      <c r="I3347" t="s">
        <v>18</v>
      </c>
      <c r="J3347" s="2" t="str">
        <f>HYPERLINK("https://www.nba.com/stats/events?CFID=&amp;CFPARAMS=&amp;GameEventID=481&amp;GameID=0021500742&amp;Season=2015-16&amp;flag=1&amp;title=Leonard%207'%20Floating%20Jump%20Shot%20(26%20PTS)%20(Parker%208%20AST)", "Leonard 7' Floating Jump Shot (26 PTS) (Parker 8 AST)")</f>
        <v>Leonard 7' Floating Jump Shot (26 PTS) (Parker 8 AST)</v>
      </c>
      <c r="K3347" s="2" t="str">
        <f>HYPERLINK("https://www.nba.com/game/...-vs-...-0021500742/play-by-play?watchFullGame=true", "SAS vs NOP - Q4 00:35.30")</f>
        <v>SAS vs NOP - Q4 00:35.30</v>
      </c>
      <c r="L3347">
        <v>7</v>
      </c>
      <c r="M3347">
        <v>46</v>
      </c>
      <c r="N3347">
        <v>46</v>
      </c>
      <c r="O3347">
        <v>46</v>
      </c>
      <c r="P3347">
        <v>46</v>
      </c>
    </row>
    <row r="3348" spans="1:16" x14ac:dyDescent="0.25">
      <c r="A3348">
        <v>22000601</v>
      </c>
      <c r="B3348">
        <v>2020</v>
      </c>
      <c r="C3348" t="s">
        <v>32</v>
      </c>
      <c r="D3348" t="s">
        <v>19</v>
      </c>
      <c r="E3348">
        <v>5</v>
      </c>
      <c r="F3348">
        <v>4</v>
      </c>
      <c r="G3348">
        <v>1</v>
      </c>
      <c r="H3348" s="1">
        <v>6.9328703703703705E-3</v>
      </c>
      <c r="I3348" t="s">
        <v>23</v>
      </c>
      <c r="J3348" s="2" t="str">
        <f>HYPERLINK("https://www.nba.com/stats/events?CFID=&amp;CFPARAMS=&amp;GameEventID=21&amp;GameID=0022000601&amp;Season=2020-21&amp;flag=1&amp;title=Leonard%2010'%20floating%20Jump%20Shot%20(2%20PTS)%20(Ibaka%201%20AST)", "10' floating Jump Shot (2 PTS) (S. Ibaka 1 AST)")</f>
        <v>10' floating Jump Shot (2 PTS) (S. Ibaka 1 AST)</v>
      </c>
      <c r="K3348" s="2" t="str">
        <f>HYPERLINK("https://www.nba.com/game/...-vs-...-0022000601/play-by-play?watchFullGame=true", "LAC vs NOP - Q1 09:59.00")</f>
        <v>LAC vs NOP - Q1 09:59.00</v>
      </c>
      <c r="L3348">
        <v>10.27</v>
      </c>
      <c r="M3348">
        <v>15.37</v>
      </c>
      <c r="N3348">
        <v>40.880000000000003</v>
      </c>
      <c r="O3348">
        <v>46</v>
      </c>
      <c r="P3348">
        <v>92</v>
      </c>
    </row>
    <row r="3349" spans="1:16" x14ac:dyDescent="0.25">
      <c r="A3349">
        <v>21501177</v>
      </c>
      <c r="B3349">
        <v>2015</v>
      </c>
      <c r="C3349" t="s">
        <v>32</v>
      </c>
      <c r="D3349" t="s">
        <v>33</v>
      </c>
      <c r="E3349">
        <v>71</v>
      </c>
      <c r="F3349">
        <v>50</v>
      </c>
      <c r="G3349">
        <v>3</v>
      </c>
      <c r="H3349" s="1">
        <v>4.1087962962962962E-3</v>
      </c>
      <c r="I3349" t="s">
        <v>18</v>
      </c>
      <c r="J3349" s="2" t="str">
        <f>HYPERLINK("https://www.nba.com/stats/events?CFID=&amp;CFPARAMS=&amp;GameEventID=293&amp;GameID=0021501177&amp;Season=2015-16&amp;flag=1&amp;title=Leonard%2011'%20Fadeaway%20Jumper%20(16%20PTS)", "Leonard 11' Fadeaway Jumper (16 PTS)")</f>
        <v>Leonard 11' Fadeaway Jumper (16 PTS)</v>
      </c>
      <c r="K3349" s="2" t="str">
        <f>HYPERLINK("https://www.nba.com/game/...-vs-...-0021501177/play-by-play?watchFullGame=true", "SAS vs GSW - Q3 05:55.00")</f>
        <v>SAS vs GSW - Q3 05:55.00</v>
      </c>
      <c r="L3349">
        <v>11</v>
      </c>
      <c r="M3349">
        <v>46</v>
      </c>
      <c r="N3349">
        <v>95</v>
      </c>
      <c r="O3349">
        <v>46</v>
      </c>
      <c r="P3349">
        <v>95</v>
      </c>
    </row>
    <row r="3350" spans="1:16" x14ac:dyDescent="0.25">
      <c r="A3350">
        <v>41600156</v>
      </c>
      <c r="B3350" t="s">
        <v>30</v>
      </c>
      <c r="C3350" t="s">
        <v>32</v>
      </c>
      <c r="D3350" t="s">
        <v>29</v>
      </c>
      <c r="E3350">
        <v>19</v>
      </c>
      <c r="F3350">
        <v>24</v>
      </c>
      <c r="G3350">
        <v>1</v>
      </c>
      <c r="H3350" s="1">
        <v>9.1435185185185185E-4</v>
      </c>
      <c r="I3350" t="s">
        <v>18</v>
      </c>
      <c r="J3350" s="2" t="str">
        <f>HYPERLINK("https://www.nba.com/stats/events?CFID=&amp;CFPARAMS=&amp;GameEventID=84&amp;GameID=0041600156&amp;Season=2016-17&amp;flag=1&amp;title=Leonard%2013'%20Pullup%20Jump%20Shot%20(6%20PTS)", "Leonard 13' Pullup Jump Shot (6 PTS)")</f>
        <v>Leonard 13' Pullup Jump Shot (6 PTS)</v>
      </c>
      <c r="K3350" s="2" t="str">
        <f>HYPERLINK("https://www.nba.com/game/...-vs-...-0041600156/play-by-play?watchFullGame=true", "SAS vs MEM - Q1 01:19.00")</f>
        <v>SAS vs MEM - Q1 01:19.00</v>
      </c>
      <c r="L3350">
        <v>13</v>
      </c>
      <c r="M3350">
        <v>46</v>
      </c>
      <c r="N3350">
        <v>126</v>
      </c>
      <c r="O3350">
        <v>46</v>
      </c>
      <c r="P3350">
        <v>126</v>
      </c>
    </row>
    <row r="3351" spans="1:16" x14ac:dyDescent="0.25">
      <c r="A3351">
        <v>22000601</v>
      </c>
      <c r="B3351">
        <v>2020</v>
      </c>
      <c r="C3351" t="s">
        <v>32</v>
      </c>
      <c r="D3351" t="s">
        <v>19</v>
      </c>
      <c r="E3351">
        <v>76</v>
      </c>
      <c r="F3351">
        <v>59</v>
      </c>
      <c r="G3351">
        <v>3</v>
      </c>
      <c r="H3351" s="1">
        <v>6.875E-3</v>
      </c>
      <c r="I3351" t="s">
        <v>23</v>
      </c>
      <c r="J3351" s="2" t="str">
        <f>HYPERLINK("https://www.nba.com/stats/events?CFID=&amp;CFPARAMS=&amp;GameEventID=355&amp;GameID=0022000601&amp;Season=2020-21&amp;flag=1&amp;title=Leonard%2019'%20Jump%20Shot%20(18%20PTS)", "19' Jump Shot (18 PTS)")</f>
        <v>19' Jump Shot (18 PTS)</v>
      </c>
      <c r="K3351" s="2" t="str">
        <f>HYPERLINK("https://www.nba.com/game/...-vs-...-0022000601/play-by-play?watchFullGame=true", "LAC vs NOP - Q3 09:54.00")</f>
        <v>LAC vs NOP - Q3 09:54.00</v>
      </c>
      <c r="L3351">
        <v>19.91</v>
      </c>
      <c r="M3351">
        <v>73.8</v>
      </c>
      <c r="N3351">
        <v>59.14</v>
      </c>
      <c r="O3351">
        <v>46</v>
      </c>
      <c r="P3351">
        <v>194</v>
      </c>
    </row>
    <row r="3352" spans="1:16" x14ac:dyDescent="0.25">
      <c r="A3352">
        <v>21900377</v>
      </c>
      <c r="B3352">
        <v>2019</v>
      </c>
      <c r="C3352" t="s">
        <v>16</v>
      </c>
      <c r="D3352" t="s">
        <v>22</v>
      </c>
      <c r="E3352">
        <v>18</v>
      </c>
      <c r="F3352">
        <v>30</v>
      </c>
      <c r="G3352">
        <v>1</v>
      </c>
      <c r="H3352" s="1">
        <v>2.1064814814814813E-3</v>
      </c>
      <c r="I3352" t="s">
        <v>23</v>
      </c>
      <c r="J3352" s="2" t="str">
        <f>HYPERLINK("https://www.nba.com/stats/events?CFID=&amp;CFPARAMS=&amp;GameEventID=107&amp;GameID=0021900377&amp;Season=2019-20&amp;flag=1&amp;title=Leonard%2026'%203PT%20%20(16%20PTS)", "26' 3PT  (16 PTS)")</f>
        <v>26' 3PT  (16 PTS)</v>
      </c>
      <c r="K3352" s="2" t="str">
        <f>HYPERLINK("https://www.nba.com/game/...-vs-...-0021900377/play-by-play?watchFullGame=true", "LAC vs MIN - Q1 03:02.00")</f>
        <v>LAC vs MIN - Q1 03:02.00</v>
      </c>
      <c r="L3352">
        <v>25.65</v>
      </c>
      <c r="M3352">
        <v>68.150000000000006</v>
      </c>
      <c r="N3352">
        <v>59.14</v>
      </c>
      <c r="O3352">
        <v>46</v>
      </c>
      <c r="P3352">
        <v>247</v>
      </c>
    </row>
    <row r="3353" spans="1:16" x14ac:dyDescent="0.25">
      <c r="A3353">
        <v>22001047</v>
      </c>
      <c r="B3353">
        <v>2020</v>
      </c>
      <c r="C3353" t="s">
        <v>16</v>
      </c>
      <c r="D3353" t="s">
        <v>19</v>
      </c>
      <c r="E3353">
        <v>47</v>
      </c>
      <c r="F3353">
        <v>47</v>
      </c>
      <c r="G3353">
        <v>3</v>
      </c>
      <c r="H3353" s="1">
        <v>7.7777777777777776E-3</v>
      </c>
      <c r="I3353" t="s">
        <v>23</v>
      </c>
      <c r="J3353" s="2" t="str">
        <f>HYPERLINK("https://www.nba.com/stats/events?CFID=&amp;CFPARAMS=&amp;GameEventID=315&amp;GameID=0022001047&amp;Season=2020-21&amp;flag=1&amp;title=Leonard%2025'%203PT%20%20(9%20PTS)%20(P.%20George%203%20AST)", "25' 3PT  (9 PTS) (P. George 3 AST)")</f>
        <v>25' 3PT  (9 PTS) (P. George 3 AST)</v>
      </c>
      <c r="K3353" s="2" t="str">
        <f>HYPERLINK("https://www.nba.com/game/...-vs-...-0022001047/play-by-play?watchFullGame=true", "LAC vs CHA - Q3 11:12.00")</f>
        <v>LAC vs CHA - Q3 11:12.00</v>
      </c>
      <c r="L3353">
        <v>25.72</v>
      </c>
      <c r="M3353">
        <v>67.489999999999995</v>
      </c>
      <c r="N3353">
        <v>59.14</v>
      </c>
      <c r="O3353">
        <v>46</v>
      </c>
      <c r="P3353">
        <v>253</v>
      </c>
    </row>
    <row r="3354" spans="1:16" x14ac:dyDescent="0.25">
      <c r="A3354">
        <v>41800111</v>
      </c>
      <c r="B3354" t="s">
        <v>20</v>
      </c>
      <c r="C3354" t="s">
        <v>16</v>
      </c>
      <c r="D3354" t="s">
        <v>29</v>
      </c>
      <c r="E3354">
        <v>9</v>
      </c>
      <c r="F3354">
        <v>6</v>
      </c>
      <c r="G3354">
        <v>1</v>
      </c>
      <c r="H3354" s="1">
        <v>6.099537037037037E-3</v>
      </c>
      <c r="I3354" t="s">
        <v>21</v>
      </c>
      <c r="J3354" s="2" t="str">
        <f>HYPERLINK("https://www.nba.com/stats/events?CFID=&amp;CFPARAMS=&amp;GameEventID=46&amp;GameID=0041800111&amp;Season=2018-19&amp;flag=1&amp;title=Leonard%2026'%203PT%20Pullup%20Jump%20Shot%20(7%20PTS)", "Leonard 26' 3PT Pullup Jump Shot (7 PTS)")</f>
        <v>Leonard 26' 3PT Pullup Jump Shot (7 PTS)</v>
      </c>
      <c r="K3354" s="2" t="str">
        <f>HYPERLINK("https://www.nba.com/game/...-vs-...-0041800111/play-by-play?watchFullGame=true", "TOR vs ORL - Q1 08:47.00")</f>
        <v>TOR vs ORL - Q1 08:47.00</v>
      </c>
      <c r="L3354">
        <v>26</v>
      </c>
      <c r="M3354">
        <v>46</v>
      </c>
      <c r="N3354">
        <v>259</v>
      </c>
      <c r="O3354">
        <v>46</v>
      </c>
      <c r="P3354">
        <v>259</v>
      </c>
    </row>
    <row r="3355" spans="1:16" x14ac:dyDescent="0.25">
      <c r="A3355">
        <v>22301215</v>
      </c>
      <c r="B3355">
        <v>2023</v>
      </c>
      <c r="C3355" t="s">
        <v>32</v>
      </c>
      <c r="D3355" t="s">
        <v>19</v>
      </c>
      <c r="E3355">
        <v>8</v>
      </c>
      <c r="F3355">
        <v>19</v>
      </c>
      <c r="G3355">
        <v>1</v>
      </c>
      <c r="H3355" s="1">
        <v>4.9074074074074072E-3</v>
      </c>
      <c r="I3355" t="s">
        <v>23</v>
      </c>
      <c r="J3355" s="2" t="str">
        <f>HYPERLINK("https://www.nba.com/stats/events?CFID=&amp;CFPARAMS=&amp;GameEventID=41&amp;GameID=0022301215&amp;Season=2023-24&amp;flag=1&amp;title=Leonard%20pullup%20Jump%20Shot%20(2%20PTS)%20(J.%20Harden%202%20AST)", "Pullup Jump Shot (2 PTS) (J. Harden 2 AST)")</f>
        <v>Pullup Jump Shot (2 PTS) (J. Harden 2 AST)</v>
      </c>
      <c r="K3355" s="2" t="str">
        <f>HYPERLINK("https://www.nba.com/game/...-vs-...-0022301215/play-by-play?watchFullGame=true", "LAC vs DEN - Q1 07:04.00")</f>
        <v>LAC vs DEN - Q1 07:04.00</v>
      </c>
      <c r="L3355">
        <v>5.07</v>
      </c>
      <c r="M3355">
        <v>92.3</v>
      </c>
      <c r="N3355">
        <v>59.31</v>
      </c>
      <c r="O3355">
        <v>47</v>
      </c>
      <c r="P3355">
        <v>20</v>
      </c>
    </row>
    <row r="3356" spans="1:16" x14ac:dyDescent="0.25">
      <c r="A3356">
        <v>21400177</v>
      </c>
      <c r="B3356">
        <v>2014</v>
      </c>
      <c r="C3356" t="s">
        <v>32</v>
      </c>
      <c r="D3356" t="s">
        <v>38</v>
      </c>
      <c r="E3356">
        <v>32</v>
      </c>
      <c r="F3356">
        <v>37</v>
      </c>
      <c r="G3356">
        <v>2</v>
      </c>
      <c r="H3356" s="1">
        <v>6.2268518518518515E-3</v>
      </c>
      <c r="I3356" t="s">
        <v>18</v>
      </c>
      <c r="J3356" s="2" t="str">
        <f>HYPERLINK("https://www.nba.com/stats/events?CFID=&amp;CFPARAMS=&amp;GameEventID=161&amp;GameID=0021400177&amp;Season=2014-15&amp;flag=1&amp;title=Leonard%207'%20Jump%20Bank%20Shot%20(4%20PTS)%20(Daye%201%20AST)", "Leonard 7' Jump Bank Shot (4 PTS) (Daye 1 AST)")</f>
        <v>Leonard 7' Jump Bank Shot (4 PTS) (Daye 1 AST)</v>
      </c>
      <c r="K3356" s="2" t="str">
        <f>HYPERLINK("https://www.nba.com/game/...-vs-...-0021400177/play-by-play?watchFullGame=true", "SAS vs MIN - Q2 08:58.00")</f>
        <v>SAS vs MIN - Q2 08:58.00</v>
      </c>
      <c r="L3356">
        <v>7</v>
      </c>
      <c r="M3356">
        <v>47</v>
      </c>
      <c r="N3356">
        <v>48</v>
      </c>
      <c r="O3356">
        <v>47</v>
      </c>
      <c r="P3356">
        <v>48</v>
      </c>
    </row>
    <row r="3357" spans="1:16" x14ac:dyDescent="0.25">
      <c r="A3357">
        <v>22000488</v>
      </c>
      <c r="B3357">
        <v>2020</v>
      </c>
      <c r="C3357" t="s">
        <v>32</v>
      </c>
      <c r="D3357" t="s">
        <v>19</v>
      </c>
      <c r="E3357">
        <v>2</v>
      </c>
      <c r="F3357">
        <v>0</v>
      </c>
      <c r="G3357">
        <v>1</v>
      </c>
      <c r="H3357" s="1">
        <v>8.1018518518518514E-3</v>
      </c>
      <c r="I3357" t="s">
        <v>23</v>
      </c>
      <c r="J3357" s="2" t="str">
        <f>HYPERLINK("https://www.nba.com/stats/events?CFID=&amp;CFPARAMS=&amp;GameEventID=7&amp;GameID=0022000488&amp;Season=2020-21&amp;flag=1&amp;title=Leonard%208'%20turnaround%20fadeaway%20Jump%20Shot%20(2%20PTS)", "8' turnaround fadeaway Jump Shot (2 PTS)")</f>
        <v>8' turnaround fadeaway Jump Shot (2 PTS)</v>
      </c>
      <c r="K3357" s="2" t="str">
        <f>HYPERLINK("https://www.nba.com/game/...-vs-...-0022000488/play-by-play?watchFullGame=true", "LAC vs WAS - Q1 11:40.00")</f>
        <v>LAC vs WAS - Q1 11:40.00</v>
      </c>
      <c r="L3357">
        <v>8.5500000000000007</v>
      </c>
      <c r="M3357">
        <v>86.81</v>
      </c>
      <c r="N3357">
        <v>59.38</v>
      </c>
      <c r="O3357">
        <v>47</v>
      </c>
      <c r="P3357">
        <v>71</v>
      </c>
    </row>
    <row r="3358" spans="1:16" x14ac:dyDescent="0.25">
      <c r="A3358">
        <v>22200639</v>
      </c>
      <c r="B3358">
        <v>2022</v>
      </c>
      <c r="C3358" t="s">
        <v>32</v>
      </c>
      <c r="D3358" t="s">
        <v>19</v>
      </c>
      <c r="E3358">
        <v>2</v>
      </c>
      <c r="F3358">
        <v>2</v>
      </c>
      <c r="G3358">
        <v>1</v>
      </c>
      <c r="H3358" s="1">
        <v>7.5462962962962966E-3</v>
      </c>
      <c r="I3358" t="s">
        <v>23</v>
      </c>
      <c r="J3358" s="2" t="str">
        <f>HYPERLINK("https://www.nba.com/stats/events?CFID=&amp;CFPARAMS=&amp;GameEventID=16&amp;GameID=0022200639&amp;Season=2022-23&amp;flag=1&amp;title=Leonard%209'%20driving%20floating%20Jump%20Shot%20(2%20PTS)%20(T.%20Mann%201%20AST)", "9' driving floating Jump Shot (2 PTS) (T. Mann 1 AST)")</f>
        <v>9' driving floating Jump Shot (2 PTS) (T. Mann 1 AST)</v>
      </c>
      <c r="K3358" s="2" t="str">
        <f>HYPERLINK("https://www.nba.com/game/...-vs-...-0022200639/play-by-play?watchFullGame=true", "LAC vs DEN - Q1 10:52.00")</f>
        <v>LAC vs DEN - Q1 10:52.00</v>
      </c>
      <c r="L3358">
        <v>9.09</v>
      </c>
      <c r="M3358">
        <v>86.12</v>
      </c>
      <c r="N3358">
        <v>59.31</v>
      </c>
      <c r="O3358">
        <v>47</v>
      </c>
      <c r="P3358">
        <v>78</v>
      </c>
    </row>
    <row r="3359" spans="1:16" x14ac:dyDescent="0.25">
      <c r="A3359">
        <v>22200970</v>
      </c>
      <c r="B3359">
        <v>2022</v>
      </c>
      <c r="C3359" t="s">
        <v>32</v>
      </c>
      <c r="D3359" t="s">
        <v>19</v>
      </c>
      <c r="E3359">
        <v>5</v>
      </c>
      <c r="F3359">
        <v>4</v>
      </c>
      <c r="G3359">
        <v>1</v>
      </c>
      <c r="H3359" s="1">
        <v>7.3611111111111108E-3</v>
      </c>
      <c r="I3359" t="s">
        <v>23</v>
      </c>
      <c r="J3359" s="2" t="str">
        <f>HYPERLINK("https://www.nba.com/stats/events?CFID=&amp;CFPARAMS=&amp;GameEventID=15&amp;GameID=0022200970&amp;Season=2022-23&amp;flag=1&amp;title=Leonard%2014'%20pullup%20Jump%20Shot%20(5%20PTS)%20(P.%20George%201%20AST)", "14' pullup Jump Shot (5 PTS) (P. George 1 AST)")</f>
        <v>14' pullup Jump Shot (5 PTS) (P. George 1 AST)</v>
      </c>
      <c r="K3359" s="2" t="str">
        <f>HYPERLINK("https://www.nba.com/game/...-vs-...-0022200970/play-by-play?watchFullGame=true", "LAC vs MEM - Q1 10:36.00")</f>
        <v>LAC vs MEM - Q1 10:36.00</v>
      </c>
      <c r="L3359">
        <v>14</v>
      </c>
      <c r="M3359">
        <v>19.63</v>
      </c>
      <c r="N3359">
        <v>40.69</v>
      </c>
      <c r="O3359">
        <v>47</v>
      </c>
      <c r="P3359">
        <v>132</v>
      </c>
    </row>
    <row r="3360" spans="1:16" x14ac:dyDescent="0.25">
      <c r="A3360">
        <v>22300257</v>
      </c>
      <c r="B3360">
        <v>2023</v>
      </c>
      <c r="C3360" t="s">
        <v>32</v>
      </c>
      <c r="D3360" t="s">
        <v>19</v>
      </c>
      <c r="E3360">
        <v>61</v>
      </c>
      <c r="F3360">
        <v>58</v>
      </c>
      <c r="G3360">
        <v>3</v>
      </c>
      <c r="H3360" s="1">
        <v>7.1527777777777779E-3</v>
      </c>
      <c r="I3360" t="s">
        <v>23</v>
      </c>
      <c r="J3360" s="2" t="str">
        <f>HYPERLINK("https://www.nba.com/stats/events?CFID=&amp;CFPARAMS=&amp;GameEventID=378&amp;GameID=0022300257&amp;Season=2023-24&amp;flag=1&amp;title=Leonard%2016'%20pullup%20Jump%20Shot%20(22%20PTS)", "16' pullup Jump Shot (22 PTS)")</f>
        <v>16' pullup Jump Shot (22 PTS)</v>
      </c>
      <c r="K3360" s="2" t="str">
        <f>HYPERLINK("https://www.nba.com/game/...-vs-...-0022300257/play-by-play?watchFullGame=true", "LAC vs DEN - Q3 10:18.00")</f>
        <v>LAC vs DEN - Q3 10:18.00</v>
      </c>
      <c r="L3360">
        <v>16.47</v>
      </c>
      <c r="M3360">
        <v>22.39</v>
      </c>
      <c r="N3360">
        <v>40.69</v>
      </c>
      <c r="O3360">
        <v>47</v>
      </c>
      <c r="P3360">
        <v>158</v>
      </c>
    </row>
    <row r="3361" spans="1:16" x14ac:dyDescent="0.25">
      <c r="A3361">
        <v>21400964</v>
      </c>
      <c r="B3361">
        <v>2014</v>
      </c>
      <c r="C3361" t="s">
        <v>32</v>
      </c>
      <c r="D3361" t="s">
        <v>19</v>
      </c>
      <c r="E3361">
        <v>39</v>
      </c>
      <c r="F3361">
        <v>41</v>
      </c>
      <c r="G3361">
        <v>2</v>
      </c>
      <c r="H3361" s="1">
        <v>6.4930555555555557E-3</v>
      </c>
      <c r="I3361" t="s">
        <v>18</v>
      </c>
      <c r="J3361" s="2" t="str">
        <f>HYPERLINK("https://www.nba.com/stats/events?CFID=&amp;CFPARAMS=&amp;GameEventID=151&amp;GameID=0021400964&amp;Season=2014-15&amp;flag=1&amp;title=Leonard%205'%20Jump%20Shot%20(8%20PTS)", "Leonard 5' Jump Shot (8 PTS)")</f>
        <v>Leonard 5' Jump Shot (8 PTS)</v>
      </c>
      <c r="K3361" s="2" t="str">
        <f>HYPERLINK("https://www.nba.com/game/...-vs-...-0021400964/play-by-play?watchFullGame=true", "SAS vs CLE - Q2 09:21.00")</f>
        <v>SAS vs CLE - Q2 09:21.00</v>
      </c>
      <c r="L3361">
        <v>5</v>
      </c>
      <c r="M3361">
        <v>48</v>
      </c>
      <c r="N3361">
        <v>11</v>
      </c>
      <c r="O3361">
        <v>48</v>
      </c>
      <c r="P3361">
        <v>11</v>
      </c>
    </row>
    <row r="3362" spans="1:16" x14ac:dyDescent="0.25">
      <c r="A3362">
        <v>21600962</v>
      </c>
      <c r="B3362">
        <v>2016</v>
      </c>
      <c r="C3362" t="s">
        <v>32</v>
      </c>
      <c r="D3362" t="s">
        <v>43</v>
      </c>
      <c r="E3362">
        <v>61</v>
      </c>
      <c r="F3362">
        <v>55</v>
      </c>
      <c r="G3362">
        <v>3</v>
      </c>
      <c r="H3362" s="1">
        <v>6.6666666666666671E-3</v>
      </c>
      <c r="I3362" t="s">
        <v>18</v>
      </c>
      <c r="J3362" s="2" t="str">
        <f>HYPERLINK("https://www.nba.com/stats/events?CFID=&amp;CFPARAMS=&amp;GameEventID=264&amp;GameID=0021600962&amp;Season=2016-17&amp;flag=1&amp;title=Leonard%205'%20Turnaround%20Hook%20Shot%20(16%20PTS)", "Leonard 5' Turnaround Hook Shot (16 PTS)")</f>
        <v>Leonard 5' Turnaround Hook Shot (16 PTS)</v>
      </c>
      <c r="K3362" s="2" t="str">
        <f>HYPERLINK("https://www.nba.com/game/...-vs-...-0021600962/play-by-play?watchFullGame=true", "SAS vs OKC - Q3 09:36.00")</f>
        <v>SAS vs OKC - Q3 09:36.00</v>
      </c>
      <c r="L3362">
        <v>5</v>
      </c>
      <c r="M3362">
        <v>48</v>
      </c>
      <c r="N3362">
        <v>26</v>
      </c>
      <c r="O3362">
        <v>48</v>
      </c>
      <c r="P3362">
        <v>26</v>
      </c>
    </row>
    <row r="3363" spans="1:16" x14ac:dyDescent="0.25">
      <c r="A3363">
        <v>22300688</v>
      </c>
      <c r="B3363">
        <v>2023</v>
      </c>
      <c r="C3363" t="s">
        <v>32</v>
      </c>
      <c r="D3363" t="s">
        <v>19</v>
      </c>
      <c r="E3363">
        <v>28</v>
      </c>
      <c r="F3363">
        <v>25</v>
      </c>
      <c r="G3363">
        <v>1</v>
      </c>
      <c r="H3363" s="1">
        <v>1.0416666666666667E-3</v>
      </c>
      <c r="I3363" t="s">
        <v>23</v>
      </c>
      <c r="J3363" s="2" t="str">
        <f>HYPERLINK("https://www.nba.com/stats/events?CFID=&amp;CFPARAMS=&amp;GameEventID=127&amp;GameID=0022300688&amp;Season=2023-24&amp;flag=1&amp;title=Leonard%206'%20running%20pullup%20Jump%20Shot%20(12%20PTS)", "6' running pullup Jump Shot (12 PTS)")</f>
        <v>6' running pullup Jump Shot (12 PTS)</v>
      </c>
      <c r="K3363" s="2" t="str">
        <f>HYPERLINK("https://www.nba.com/game/...-vs-...-0022300688/play-by-play?watchFullGame=true", "LAC vs DET - Q1 01:30.00")</f>
        <v>LAC vs DET - Q1 01:30.00</v>
      </c>
      <c r="L3363">
        <v>6.04</v>
      </c>
      <c r="M3363">
        <v>90.49</v>
      </c>
      <c r="N3363">
        <v>59.56</v>
      </c>
      <c r="O3363">
        <v>48</v>
      </c>
      <c r="P3363">
        <v>37</v>
      </c>
    </row>
    <row r="3364" spans="1:16" x14ac:dyDescent="0.25">
      <c r="A3364">
        <v>41200153</v>
      </c>
      <c r="B3364" t="s">
        <v>27</v>
      </c>
      <c r="C3364" t="s">
        <v>32</v>
      </c>
      <c r="D3364" t="s">
        <v>24</v>
      </c>
      <c r="E3364">
        <v>57</v>
      </c>
      <c r="F3364">
        <v>75</v>
      </c>
      <c r="G3364">
        <v>3</v>
      </c>
      <c r="H3364" s="1">
        <v>4.0162037037037041E-3</v>
      </c>
      <c r="I3364" t="s">
        <v>18</v>
      </c>
      <c r="J3364" s="2" t="str">
        <f>HYPERLINK("https://www.nba.com/stats/events?CFID=&amp;CFPARAMS=&amp;GameEventID=304&amp;GameID=0041200153&amp;Season=2012-13&amp;flag=1&amp;title=Leonard%208'%20Turnaround%20Jump%20Shot%20(12%20PTS)", "Leonard 8' Turnaround Jump Shot (12 PTS)")</f>
        <v>Leonard 8' Turnaround Jump Shot (12 PTS)</v>
      </c>
      <c r="K3364" s="2" t="str">
        <f>HYPERLINK("https://www.nba.com/game/...-vs-...-0041200153/play-by-play?watchFullGame=true", "SAS vs LAL - Q3 05:47.00")</f>
        <v>SAS vs LAL - Q3 05:47.00</v>
      </c>
      <c r="L3364">
        <v>8</v>
      </c>
      <c r="M3364">
        <v>48</v>
      </c>
      <c r="N3364">
        <v>60</v>
      </c>
      <c r="O3364">
        <v>48</v>
      </c>
      <c r="P3364">
        <v>60</v>
      </c>
    </row>
    <row r="3365" spans="1:16" x14ac:dyDescent="0.25">
      <c r="A3365">
        <v>22201229</v>
      </c>
      <c r="B3365">
        <v>2022</v>
      </c>
      <c r="C3365" t="s">
        <v>32</v>
      </c>
      <c r="D3365" t="s">
        <v>19</v>
      </c>
      <c r="E3365">
        <v>61</v>
      </c>
      <c r="F3365">
        <v>63</v>
      </c>
      <c r="G3365">
        <v>3</v>
      </c>
      <c r="H3365" s="1">
        <v>4.6296296296296294E-3</v>
      </c>
      <c r="I3365" t="s">
        <v>23</v>
      </c>
      <c r="J3365" s="2" t="str">
        <f>HYPERLINK("https://www.nba.com/stats/events?CFID=&amp;CFPARAMS=&amp;GameEventID=410&amp;GameID=0022201229&amp;Season=2022-23&amp;flag=1&amp;title=Leonard%208'%20driving%20floating%20Jump%20Shot%20(13%20PTS)", "8' driving floating Jump Shot (13 PTS)")</f>
        <v>8' driving floating Jump Shot (13 PTS)</v>
      </c>
      <c r="K3365" s="2" t="str">
        <f>HYPERLINK("https://www.nba.com/game/...-vs-...-0022201229/play-by-play?watchFullGame=true", "LAC vs PHX - Q3 06:40.00")</f>
        <v>LAC vs PHX - Q3 06:40.00</v>
      </c>
      <c r="L3365">
        <v>8.32</v>
      </c>
      <c r="M3365">
        <v>12.83</v>
      </c>
      <c r="N3365">
        <v>40.44</v>
      </c>
      <c r="O3365">
        <v>48</v>
      </c>
      <c r="P3365">
        <v>68</v>
      </c>
    </row>
    <row r="3366" spans="1:16" x14ac:dyDescent="0.25">
      <c r="A3366">
        <v>22300505</v>
      </c>
      <c r="B3366">
        <v>2023</v>
      </c>
      <c r="C3366" t="s">
        <v>32</v>
      </c>
      <c r="D3366" t="s">
        <v>19</v>
      </c>
      <c r="E3366">
        <v>94</v>
      </c>
      <c r="F3366">
        <v>86</v>
      </c>
      <c r="G3366">
        <v>4</v>
      </c>
      <c r="H3366" s="1">
        <v>5.4282407407407404E-3</v>
      </c>
      <c r="I3366" t="s">
        <v>23</v>
      </c>
      <c r="J3366" s="2" t="str">
        <f>HYPERLINK("https://www.nba.com/stats/events?CFID=&amp;CFPARAMS=&amp;GameEventID=529&amp;GameID=0022300505&amp;Season=2023-24&amp;flag=1&amp;title=Leonard%2011'%20pullup%20Jump%20Shot%20(15%20PTS)%20(P.%20George%202%20AST)", "11' pullup Jump Shot (15 PTS) (P. George 2 AST)")</f>
        <v>11' pullup Jump Shot (15 PTS) (P. George 2 AST)</v>
      </c>
      <c r="K3366" s="2" t="str">
        <f>HYPERLINK("https://www.nba.com/game/...-vs-...-0022300505/play-by-play?watchFullGame=true", "LAC vs LAL - Q4 07:49.00")</f>
        <v>LAC vs LAL - Q4 07:49.00</v>
      </c>
      <c r="L3366">
        <v>11.64</v>
      </c>
      <c r="M3366">
        <v>16.87</v>
      </c>
      <c r="N3366">
        <v>40.44</v>
      </c>
      <c r="O3366">
        <v>48</v>
      </c>
      <c r="P3366">
        <v>106</v>
      </c>
    </row>
    <row r="3367" spans="1:16" x14ac:dyDescent="0.25">
      <c r="A3367">
        <v>22200885</v>
      </c>
      <c r="B3367">
        <v>2022</v>
      </c>
      <c r="C3367" t="s">
        <v>32</v>
      </c>
      <c r="D3367" t="s">
        <v>19</v>
      </c>
      <c r="E3367">
        <v>79</v>
      </c>
      <c r="F3367">
        <v>87</v>
      </c>
      <c r="G3367">
        <v>3</v>
      </c>
      <c r="H3367" s="1">
        <v>1.1921296296296296E-3</v>
      </c>
      <c r="I3367" t="s">
        <v>23</v>
      </c>
      <c r="J3367" s="2" t="str">
        <f>HYPERLINK("https://www.nba.com/stats/events?CFID=&amp;CFPARAMS=&amp;GameEventID=485&amp;GameID=0022200885&amp;Season=2022-23&amp;flag=1&amp;title=Leonard%2012'%20pullup%20Jump%20Shot%20(9%20PTS)%20(M.%20Plumlee%203%20AST)", "12' pullup Jump Shot (9 PTS) (M. Plumlee 3 AST)")</f>
        <v>12' pullup Jump Shot (9 PTS) (M. Plumlee 3 AST)</v>
      </c>
      <c r="K3367" s="2" t="str">
        <f>HYPERLINK("https://www.nba.com/game/...-vs-...-0022200885/play-by-play?watchFullGame=true", "LAC vs PHX - Q3 01:43.00")</f>
        <v>LAC vs PHX - Q3 01:43.00</v>
      </c>
      <c r="L3367">
        <v>12</v>
      </c>
      <c r="M3367">
        <v>17.3</v>
      </c>
      <c r="N3367">
        <v>40.44</v>
      </c>
      <c r="O3367">
        <v>48</v>
      </c>
      <c r="P3367">
        <v>110</v>
      </c>
    </row>
    <row r="3368" spans="1:16" x14ac:dyDescent="0.25">
      <c r="A3368">
        <v>21600240</v>
      </c>
      <c r="B3368">
        <v>2016</v>
      </c>
      <c r="C3368" t="s">
        <v>32</v>
      </c>
      <c r="D3368" t="s">
        <v>19</v>
      </c>
      <c r="E3368">
        <v>62</v>
      </c>
      <c r="F3368">
        <v>71</v>
      </c>
      <c r="G3368">
        <v>3</v>
      </c>
      <c r="H3368" s="1">
        <v>3.8657407407407408E-3</v>
      </c>
      <c r="I3368" t="s">
        <v>18</v>
      </c>
      <c r="J3368" s="2" t="str">
        <f>HYPERLINK("https://www.nba.com/stats/events?CFID=&amp;CFPARAMS=&amp;GameEventID=334&amp;GameID=0021600240&amp;Season=2016-17&amp;flag=1&amp;title=Leonard%2012'%20Jump%20Shot%20(14%20PTS)", "Leonard 12' Jump Shot (14 PTS)")</f>
        <v>Leonard 12' Jump Shot (14 PTS)</v>
      </c>
      <c r="K3368" s="2" t="str">
        <f>HYPERLINK("https://www.nba.com/game/...-vs-...-0021600240/play-by-play?watchFullGame=true", "SAS vs WAS - Q3 05:34.00")</f>
        <v>SAS vs WAS - Q3 05:34.00</v>
      </c>
      <c r="L3368">
        <v>12</v>
      </c>
      <c r="M3368">
        <v>48</v>
      </c>
      <c r="N3368">
        <v>110</v>
      </c>
      <c r="O3368">
        <v>48</v>
      </c>
      <c r="P3368">
        <v>110</v>
      </c>
    </row>
    <row r="3369" spans="1:16" x14ac:dyDescent="0.25">
      <c r="A3369">
        <v>21300338</v>
      </c>
      <c r="B3369">
        <v>2013</v>
      </c>
      <c r="C3369" t="s">
        <v>32</v>
      </c>
      <c r="D3369" t="s">
        <v>29</v>
      </c>
      <c r="E3369">
        <v>73</v>
      </c>
      <c r="F3369">
        <v>72</v>
      </c>
      <c r="G3369">
        <v>3</v>
      </c>
      <c r="H3369" s="1">
        <v>4.386574074074074E-3</v>
      </c>
      <c r="I3369" t="s">
        <v>18</v>
      </c>
      <c r="J3369" s="2" t="str">
        <f>HYPERLINK("https://www.nba.com/stats/events?CFID=&amp;CFPARAMS=&amp;GameEventID=286&amp;GameID=0021300338&amp;Season=2013-14&amp;flag=1&amp;title=Leonard%2016'%20Pullup%20Jump%20Shot%20(19%20PTS)", "Leonard 16' Pullup Jump Shot (19 PTS)")</f>
        <v>Leonard 16' Pullup Jump Shot (19 PTS)</v>
      </c>
      <c r="K3369" s="2" t="str">
        <f>HYPERLINK("https://www.nba.com/game/...-vs-...-0021300338/play-by-play?watchFullGame=true", "SAS vs MIN - Q3 06:19.00")</f>
        <v>SAS vs MIN - Q3 06:19.00</v>
      </c>
      <c r="L3369">
        <v>16</v>
      </c>
      <c r="M3369">
        <v>48</v>
      </c>
      <c r="N3369">
        <v>154</v>
      </c>
      <c r="O3369">
        <v>48</v>
      </c>
      <c r="P3369">
        <v>154</v>
      </c>
    </row>
    <row r="3370" spans="1:16" x14ac:dyDescent="0.25">
      <c r="A3370">
        <v>21600834</v>
      </c>
      <c r="B3370">
        <v>2016</v>
      </c>
      <c r="C3370" t="s">
        <v>16</v>
      </c>
      <c r="D3370" t="s">
        <v>19</v>
      </c>
      <c r="E3370">
        <v>41</v>
      </c>
      <c r="F3370">
        <v>61</v>
      </c>
      <c r="G3370">
        <v>3</v>
      </c>
      <c r="H3370" s="1">
        <v>7.1296296296296299E-3</v>
      </c>
      <c r="I3370" t="s">
        <v>18</v>
      </c>
      <c r="J3370" s="2" t="str">
        <f>HYPERLINK("https://www.nba.com/stats/events?CFID=&amp;CFPARAMS=&amp;GameEventID=282&amp;GameID=0021600834&amp;Season=2016-17&amp;flag=1&amp;title=Leonard%2025'%203PT%20Jump%20Shot%20(20%20PTS)%20(Parker%205%20AST)", "Leonard 25' 3PT Jump Shot (20 PTS) (Parker 5 AST)")</f>
        <v>Leonard 25' 3PT Jump Shot (20 PTS) (Parker 5 AST)</v>
      </c>
      <c r="K3370" s="2" t="str">
        <f>HYPERLINK("https://www.nba.com/game/...-vs-...-0021600834/play-by-play?watchFullGame=true", "SAS vs ORL - Q3 10:16.00")</f>
        <v>SAS vs ORL - Q3 10:16.00</v>
      </c>
      <c r="L3370">
        <v>25</v>
      </c>
      <c r="M3370">
        <v>48</v>
      </c>
      <c r="N3370">
        <v>244</v>
      </c>
      <c r="O3370">
        <v>48</v>
      </c>
      <c r="P3370">
        <v>244</v>
      </c>
    </row>
    <row r="3371" spans="1:16" x14ac:dyDescent="0.25">
      <c r="A3371">
        <v>41800405</v>
      </c>
      <c r="B3371" t="s">
        <v>20</v>
      </c>
      <c r="C3371" t="s">
        <v>32</v>
      </c>
      <c r="D3371" t="s">
        <v>33</v>
      </c>
      <c r="E3371">
        <v>41</v>
      </c>
      <c r="F3371">
        <v>52</v>
      </c>
      <c r="G3371">
        <v>2</v>
      </c>
      <c r="H3371" s="1">
        <v>4.0509259259259257E-3</v>
      </c>
      <c r="I3371" t="s">
        <v>21</v>
      </c>
      <c r="J3371" s="2" t="str">
        <f>HYPERLINK("https://www.nba.com/stats/events?CFID=&amp;CFPARAMS=&amp;GameEventID=273&amp;GameID=0041800405&amp;Season=2018-19&amp;flag=1&amp;title=Leonard%207'%20Fadeaway%20Jumper%20(8%20PTS)", "Leonard 7' Fadeaway Jumper (8 PTS)")</f>
        <v>Leonard 7' Fadeaway Jumper (8 PTS)</v>
      </c>
      <c r="K3371" s="2" t="str">
        <f>HYPERLINK("https://www.nba.com/game/...-vs-...-0041800405/play-by-play?watchFullGame=true", "TOR vs GSW - Q2 05:50.00")</f>
        <v>TOR vs GSW - Q2 05:50.00</v>
      </c>
      <c r="L3371">
        <v>7</v>
      </c>
      <c r="M3371">
        <v>49</v>
      </c>
      <c r="N3371">
        <v>43</v>
      </c>
      <c r="O3371">
        <v>49</v>
      </c>
      <c r="P3371">
        <v>43</v>
      </c>
    </row>
    <row r="3372" spans="1:16" x14ac:dyDescent="0.25">
      <c r="A3372">
        <v>22200735</v>
      </c>
      <c r="B3372">
        <v>2022</v>
      </c>
      <c r="C3372" t="s">
        <v>32</v>
      </c>
      <c r="D3372" t="s">
        <v>19</v>
      </c>
      <c r="E3372">
        <v>23</v>
      </c>
      <c r="F3372">
        <v>18</v>
      </c>
      <c r="G3372">
        <v>1</v>
      </c>
      <c r="H3372" s="1">
        <v>2.5000000000000001E-3</v>
      </c>
      <c r="I3372" t="s">
        <v>23</v>
      </c>
      <c r="J3372" s="2" t="str">
        <f>HYPERLINK("https://www.nba.com/stats/events?CFID=&amp;CFPARAMS=&amp;GameEventID=104&amp;GameID=0022200735&amp;Season=2022-23&amp;flag=1&amp;title=Leonard%208'%20turnaround%20Jump%20Shot%20(4%20PTS)", "8' turnaround Jump Shot (4 PTS)")</f>
        <v>8' turnaround Jump Shot (4 PTS)</v>
      </c>
      <c r="K3372" s="2" t="str">
        <f>HYPERLINK("https://www.nba.com/game/...-vs-...-0022200735/play-by-play?watchFullGame=true", "LAC vs SAS - Q1 03:36.00")</f>
        <v>LAC vs SAS - Q1 03:36.00</v>
      </c>
      <c r="L3372">
        <v>8.69</v>
      </c>
      <c r="M3372">
        <v>86.78</v>
      </c>
      <c r="N3372">
        <v>59.8</v>
      </c>
      <c r="O3372">
        <v>49</v>
      </c>
      <c r="P3372">
        <v>72</v>
      </c>
    </row>
    <row r="3373" spans="1:16" x14ac:dyDescent="0.25">
      <c r="A3373">
        <v>22300658</v>
      </c>
      <c r="B3373">
        <v>2023</v>
      </c>
      <c r="C3373" t="s">
        <v>32</v>
      </c>
      <c r="D3373" t="s">
        <v>19</v>
      </c>
      <c r="E3373">
        <v>28</v>
      </c>
      <c r="F3373">
        <v>23</v>
      </c>
      <c r="G3373">
        <v>1</v>
      </c>
      <c r="H3373" s="1">
        <v>8.564814814814815E-4</v>
      </c>
      <c r="I3373" t="s">
        <v>23</v>
      </c>
      <c r="J3373" s="2" t="str">
        <f>HYPERLINK("https://www.nba.com/stats/events?CFID=&amp;CFPARAMS=&amp;GameEventID=142&amp;GameID=0022300658&amp;Season=2023-24&amp;flag=1&amp;title=Leonard%2011'%20fadeaway%20Jump%20Shot%20(8%20PTS)", "11' fadeaway Jump Shot (8 PTS)")</f>
        <v>11' fadeaway Jump Shot (8 PTS)</v>
      </c>
      <c r="K3373" s="2" t="str">
        <f>HYPERLINK("https://www.nba.com/game/...-vs-...-0022300658/play-by-play?watchFullGame=true", "LAC vs CLE - Q1 01:14.00")</f>
        <v>LAC vs CLE - Q1 01:14.00</v>
      </c>
      <c r="L3373">
        <v>11.69</v>
      </c>
      <c r="M3373">
        <v>83.13</v>
      </c>
      <c r="N3373">
        <v>59.8</v>
      </c>
      <c r="O3373">
        <v>49</v>
      </c>
      <c r="P3373">
        <v>106</v>
      </c>
    </row>
    <row r="3374" spans="1:16" x14ac:dyDescent="0.25">
      <c r="A3374">
        <v>21301154</v>
      </c>
      <c r="B3374">
        <v>2013</v>
      </c>
      <c r="C3374" t="s">
        <v>32</v>
      </c>
      <c r="D3374" t="s">
        <v>42</v>
      </c>
      <c r="E3374">
        <v>75</v>
      </c>
      <c r="F3374">
        <v>52</v>
      </c>
      <c r="G3374">
        <v>3</v>
      </c>
      <c r="H3374" s="1">
        <v>3.9120370370370368E-3</v>
      </c>
      <c r="I3374" t="s">
        <v>18</v>
      </c>
      <c r="J3374" s="2" t="str">
        <f>HYPERLINK("https://www.nba.com/stats/events?CFID=&amp;CFPARAMS=&amp;GameEventID=298&amp;GameID=0021301154&amp;Season=2013-14&amp;flag=1&amp;title=Leonard%205'%20Driving%20Jump%20Shot%20(21%20PTS)", "Leonard 5' Driving Jump Shot (21 PTS)")</f>
        <v>Leonard 5' Driving Jump Shot (21 PTS)</v>
      </c>
      <c r="K3374" s="2" t="str">
        <f>HYPERLINK("https://www.nba.com/game/...-vs-...-0021301154/play-by-play?watchFullGame=true", "SAS vs MEM - Q3 05:38.00")</f>
        <v>SAS vs MEM - Q3 05:38.00</v>
      </c>
      <c r="L3374">
        <v>5</v>
      </c>
      <c r="M3374">
        <v>50</v>
      </c>
      <c r="N3374">
        <v>14</v>
      </c>
      <c r="O3374">
        <v>50</v>
      </c>
      <c r="P3374">
        <v>14</v>
      </c>
    </row>
    <row r="3375" spans="1:16" x14ac:dyDescent="0.25">
      <c r="A3375">
        <v>21400314</v>
      </c>
      <c r="B3375">
        <v>2014</v>
      </c>
      <c r="C3375" t="s">
        <v>32</v>
      </c>
      <c r="D3375" t="s">
        <v>19</v>
      </c>
      <c r="E3375">
        <v>62</v>
      </c>
      <c r="F3375">
        <v>57</v>
      </c>
      <c r="G3375">
        <v>3</v>
      </c>
      <c r="H3375" s="1">
        <v>3.460648148148148E-3</v>
      </c>
      <c r="I3375" t="s">
        <v>18</v>
      </c>
      <c r="J3375" s="2" t="str">
        <f>HYPERLINK("https://www.nba.com/stats/events?CFID=&amp;CFPARAMS=&amp;GameEventID=290&amp;GameID=0021400314&amp;Season=2014-15&amp;flag=1&amp;title=Leonard%205'%20Jump%20Shot%20(9%20PTS)", "Leonard 5' Jump Shot (9 PTS)")</f>
        <v>Leonard 5' Jump Shot (9 PTS)</v>
      </c>
      <c r="K3375" s="2" t="str">
        <f>HYPERLINK("https://www.nba.com/game/...-vs-...-0021400314/play-by-play?watchFullGame=true", "SAS vs UTA - Q3 04:59.00")</f>
        <v>SAS vs UTA - Q3 04:59.00</v>
      </c>
      <c r="L3375">
        <v>5</v>
      </c>
      <c r="M3375">
        <v>50</v>
      </c>
      <c r="N3375">
        <v>15</v>
      </c>
      <c r="O3375">
        <v>50</v>
      </c>
      <c r="P3375">
        <v>15</v>
      </c>
    </row>
    <row r="3376" spans="1:16" x14ac:dyDescent="0.25">
      <c r="A3376">
        <v>21400689</v>
      </c>
      <c r="B3376">
        <v>2014</v>
      </c>
      <c r="C3376" t="s">
        <v>32</v>
      </c>
      <c r="D3376" t="s">
        <v>38</v>
      </c>
      <c r="E3376">
        <v>39</v>
      </c>
      <c r="F3376">
        <v>22</v>
      </c>
      <c r="G3376">
        <v>2</v>
      </c>
      <c r="H3376" s="1">
        <v>5.4513888888888893E-3</v>
      </c>
      <c r="I3376" t="s">
        <v>18</v>
      </c>
      <c r="J3376" s="2" t="str">
        <f>HYPERLINK("https://www.nba.com/stats/events?CFID=&amp;CFPARAMS=&amp;GameEventID=146&amp;GameID=0021400689&amp;Season=2014-15&amp;flag=1&amp;title=Leonard%205'%20Jump%20Bank%20Shot%20(4%20PTS)", "Leonard 5' Jump Bank Shot (4 PTS)")</f>
        <v>Leonard 5' Jump Bank Shot (4 PTS)</v>
      </c>
      <c r="K3376" s="2" t="str">
        <f>HYPERLINK("https://www.nba.com/game/...-vs-...-0021400689/play-by-play?watchFullGame=true", "SAS vs CHA - Q2 07:51.00")</f>
        <v>SAS vs CHA - Q2 07:51.00</v>
      </c>
      <c r="L3376">
        <v>5</v>
      </c>
      <c r="M3376">
        <v>50</v>
      </c>
      <c r="N3376">
        <v>20</v>
      </c>
      <c r="O3376">
        <v>50</v>
      </c>
      <c r="P3376">
        <v>20</v>
      </c>
    </row>
    <row r="3377" spans="1:16" x14ac:dyDescent="0.25">
      <c r="A3377">
        <v>21500450</v>
      </c>
      <c r="B3377">
        <v>2015</v>
      </c>
      <c r="C3377" t="s">
        <v>32</v>
      </c>
      <c r="D3377" t="s">
        <v>29</v>
      </c>
      <c r="E3377">
        <v>101</v>
      </c>
      <c r="F3377">
        <v>86</v>
      </c>
      <c r="G3377">
        <v>4</v>
      </c>
      <c r="H3377" s="1">
        <v>4.4907407407407407E-4</v>
      </c>
      <c r="I3377" t="s">
        <v>18</v>
      </c>
      <c r="J3377" s="2" t="str">
        <f>HYPERLINK("https://www.nba.com/stats/events?CFID=&amp;CFPARAMS=&amp;GameEventID=447&amp;GameID=0021500450&amp;Season=2015-16&amp;flag=1&amp;title=Leonard%206'%20Pullup%20Jump%20Shot%20(20%20PTS)", "Leonard 6' Pullup Jump Shot (20 PTS)")</f>
        <v>Leonard 6' Pullup Jump Shot (20 PTS)</v>
      </c>
      <c r="K3377" s="2" t="str">
        <f>HYPERLINK("https://www.nba.com/game/...-vs-...-0021500450/play-by-play?watchFullGame=true", "SAS vs DEN - Q4 00:38.80")</f>
        <v>SAS vs DEN - Q4 00:38.80</v>
      </c>
      <c r="L3377">
        <v>6</v>
      </c>
      <c r="M3377">
        <v>50</v>
      </c>
      <c r="N3377">
        <v>36</v>
      </c>
      <c r="O3377">
        <v>50</v>
      </c>
      <c r="P3377">
        <v>36</v>
      </c>
    </row>
    <row r="3378" spans="1:16" x14ac:dyDescent="0.25">
      <c r="A3378">
        <v>22200480</v>
      </c>
      <c r="B3378">
        <v>2022</v>
      </c>
      <c r="C3378" t="s">
        <v>32</v>
      </c>
      <c r="D3378" t="s">
        <v>19</v>
      </c>
      <c r="E3378">
        <v>51</v>
      </c>
      <c r="F3378">
        <v>65</v>
      </c>
      <c r="G3378">
        <v>3</v>
      </c>
      <c r="H3378" s="1">
        <v>7.789351851851852E-3</v>
      </c>
      <c r="I3378" t="s">
        <v>23</v>
      </c>
      <c r="J3378" s="2" t="str">
        <f>HYPERLINK("https://www.nba.com/stats/events?CFID=&amp;CFPARAMS=&amp;GameEventID=296&amp;GameID=0022200480&amp;Season=2022-23&amp;flag=1&amp;title=Leonard%206'%20pullup%20Jump%20Shot%20(15%20PTS)", "6' pullup Jump Shot (15 PTS)")</f>
        <v>6' pullup Jump Shot (15 PTS)</v>
      </c>
      <c r="K3378" s="2" t="str">
        <f>HYPERLINK("https://www.nba.com/game/...-vs-...-0022200480/play-by-play?watchFullGame=true", "LAC vs PHI - Q3 11:13.00")</f>
        <v>LAC vs PHI - Q3 11:13.00</v>
      </c>
      <c r="L3378">
        <v>6.38</v>
      </c>
      <c r="M3378">
        <v>9.77</v>
      </c>
      <c r="N3378">
        <v>39.950000000000003</v>
      </c>
      <c r="O3378">
        <v>50</v>
      </c>
      <c r="P3378">
        <v>39</v>
      </c>
    </row>
    <row r="3379" spans="1:16" x14ac:dyDescent="0.25">
      <c r="A3379">
        <v>22200525</v>
      </c>
      <c r="B3379">
        <v>2022</v>
      </c>
      <c r="C3379" t="s">
        <v>32</v>
      </c>
      <c r="D3379" t="s">
        <v>44</v>
      </c>
      <c r="E3379">
        <v>65</v>
      </c>
      <c r="F3379">
        <v>60</v>
      </c>
      <c r="G3379">
        <v>3</v>
      </c>
      <c r="H3379" s="1">
        <v>6.3657407407407404E-3</v>
      </c>
      <c r="I3379" t="s">
        <v>23</v>
      </c>
      <c r="J3379" s="2" t="str">
        <f>HYPERLINK("https://www.nba.com/stats/events?CFID=&amp;CFPARAMS=&amp;GameEventID=347&amp;GameID=0022200525&amp;Season=2022-23&amp;flag=1&amp;title=Leonard%206'%20driving%20bank%20Hook%20(17%20PTS)", "6' driving bank Hook (17 PTS)")</f>
        <v>6' driving bank Hook (17 PTS)</v>
      </c>
      <c r="K3379" s="2" t="str">
        <f>HYPERLINK("https://www.nba.com/game/...-vs-...-0022200525/play-by-play?watchFullGame=true", "LAC vs BOS - Q3 09:10.00")</f>
        <v>LAC vs BOS - Q3 09:10.00</v>
      </c>
      <c r="L3379">
        <v>6.55</v>
      </c>
      <c r="M3379">
        <v>10.07</v>
      </c>
      <c r="N3379">
        <v>39.950000000000003</v>
      </c>
      <c r="O3379">
        <v>50</v>
      </c>
      <c r="P3379">
        <v>42</v>
      </c>
    </row>
    <row r="3380" spans="1:16" x14ac:dyDescent="0.25">
      <c r="A3380">
        <v>21500742</v>
      </c>
      <c r="B3380">
        <v>2015</v>
      </c>
      <c r="C3380" t="s">
        <v>32</v>
      </c>
      <c r="D3380" t="s">
        <v>87</v>
      </c>
      <c r="E3380">
        <v>60</v>
      </c>
      <c r="F3380">
        <v>45</v>
      </c>
      <c r="G3380">
        <v>3</v>
      </c>
      <c r="H3380" s="1">
        <v>7.2337962962962963E-3</v>
      </c>
      <c r="I3380" t="s">
        <v>18</v>
      </c>
      <c r="J3380" s="2" t="str">
        <f>HYPERLINK("https://www.nba.com/stats/events?CFID=&amp;CFPARAMS=&amp;GameEventID=257&amp;GameID=0021500742&amp;Season=2015-16&amp;flag=1&amp;title=Leonard%207'%20Running%20Pull-Up%20Jump%20Shot%20(15%20PTS)", "Leonard 7' Running Pull-Up Jump Shot (15 PTS)")</f>
        <v>Leonard 7' Running Pull-Up Jump Shot (15 PTS)</v>
      </c>
      <c r="K3380" s="2" t="str">
        <f>HYPERLINK("https://www.nba.com/game/...-vs-...-0021500742/play-by-play?watchFullGame=true", "SAS vs NOP - Q3 10:25.00")</f>
        <v>SAS vs NOP - Q3 10:25.00</v>
      </c>
      <c r="L3380">
        <v>7</v>
      </c>
      <c r="M3380">
        <v>50</v>
      </c>
      <c r="N3380">
        <v>51</v>
      </c>
      <c r="O3380">
        <v>50</v>
      </c>
      <c r="P3380">
        <v>51</v>
      </c>
    </row>
    <row r="3381" spans="1:16" x14ac:dyDescent="0.25">
      <c r="A3381">
        <v>21400949</v>
      </c>
      <c r="B3381">
        <v>2014</v>
      </c>
      <c r="C3381" t="s">
        <v>32</v>
      </c>
      <c r="D3381" t="s">
        <v>29</v>
      </c>
      <c r="E3381">
        <v>102</v>
      </c>
      <c r="F3381">
        <v>94</v>
      </c>
      <c r="G3381">
        <v>4</v>
      </c>
      <c r="H3381" s="1">
        <v>2.3263888888888887E-3</v>
      </c>
      <c r="I3381" t="s">
        <v>18</v>
      </c>
      <c r="J3381" s="2" t="str">
        <f>HYPERLINK("https://www.nba.com/stats/events?CFID=&amp;CFPARAMS=&amp;GameEventID=475&amp;GameID=0021400949&amp;Season=2014-15&amp;flag=1&amp;title=Leonard%207'%20Pullup%20Jump%20Shot%20(20%20PTS)", "Leonard 7' Pullup Jump Shot (20 PTS)")</f>
        <v>Leonard 7' Pullup Jump Shot (20 PTS)</v>
      </c>
      <c r="K3381" s="2" t="str">
        <f>HYPERLINK("https://www.nba.com/game/...-vs-...-0021400949/play-by-play?watchFullGame=true", "SAS vs TOR - Q4 03:21.00")</f>
        <v>SAS vs TOR - Q4 03:21.00</v>
      </c>
      <c r="L3381">
        <v>7</v>
      </c>
      <c r="M3381">
        <v>50</v>
      </c>
      <c r="N3381">
        <v>53</v>
      </c>
      <c r="O3381">
        <v>50</v>
      </c>
      <c r="P3381">
        <v>53</v>
      </c>
    </row>
    <row r="3382" spans="1:16" x14ac:dyDescent="0.25">
      <c r="A3382">
        <v>21600016</v>
      </c>
      <c r="B3382">
        <v>2016</v>
      </c>
      <c r="C3382" t="s">
        <v>32</v>
      </c>
      <c r="D3382" t="s">
        <v>46</v>
      </c>
      <c r="E3382">
        <v>4</v>
      </c>
      <c r="F3382">
        <v>2</v>
      </c>
      <c r="G3382">
        <v>1</v>
      </c>
      <c r="H3382" s="1">
        <v>6.5046296296296293E-3</v>
      </c>
      <c r="I3382" t="s">
        <v>18</v>
      </c>
      <c r="J3382" s="2" t="str">
        <f>HYPERLINK("https://www.nba.com/stats/events?CFID=&amp;CFPARAMS=&amp;GameEventID=18&amp;GameID=0021600016&amp;Season=2016-17&amp;flag=1&amp;title=Leonard%208'%20Driving%20Floating%20Bank%20Jump%20Shot%20(2%20PTS)", "Leonard 8' Driving Floating Bank Jump Shot (2 PTS)")</f>
        <v>Leonard 8' Driving Floating Bank Jump Shot (2 PTS)</v>
      </c>
      <c r="K3382" s="2" t="str">
        <f>HYPERLINK("https://www.nba.com/game/...-vs-...-0021600016/play-by-play?watchFullGame=true", "SAS vs SAC - Q1 09:22.00")</f>
        <v>SAS vs SAC - Q1 09:22.00</v>
      </c>
      <c r="L3382">
        <v>8</v>
      </c>
      <c r="M3382">
        <v>50</v>
      </c>
      <c r="N3382">
        <v>62</v>
      </c>
      <c r="O3382">
        <v>50</v>
      </c>
      <c r="P3382">
        <v>62</v>
      </c>
    </row>
    <row r="3383" spans="1:16" x14ac:dyDescent="0.25">
      <c r="A3383">
        <v>21600412</v>
      </c>
      <c r="B3383">
        <v>2016</v>
      </c>
      <c r="C3383" t="s">
        <v>32</v>
      </c>
      <c r="D3383" t="s">
        <v>24</v>
      </c>
      <c r="E3383">
        <v>46</v>
      </c>
      <c r="F3383">
        <v>44</v>
      </c>
      <c r="G3383">
        <v>2</v>
      </c>
      <c r="H3383" s="1">
        <v>3.1134259259259257E-3</v>
      </c>
      <c r="I3383" t="s">
        <v>18</v>
      </c>
      <c r="J3383" s="2" t="str">
        <f>HYPERLINK("https://www.nba.com/stats/events?CFID=&amp;CFPARAMS=&amp;GameEventID=208&amp;GameID=0021600412&amp;Season=2016-17&amp;flag=1&amp;title=Leonard%209'%20Turnaround%20Jump%20Shot%20(11%20PTS)", "Leonard 9' Turnaround Jump Shot (11 PTS)")</f>
        <v>Leonard 9' Turnaround Jump Shot (11 PTS)</v>
      </c>
      <c r="K3383" s="2" t="str">
        <f>HYPERLINK("https://www.nba.com/game/...-vs-...-0021600412/play-by-play?watchFullGame=true", "SAS vs NOP - Q2 04:29.00")</f>
        <v>SAS vs NOP - Q2 04:29.00</v>
      </c>
      <c r="L3383">
        <v>9</v>
      </c>
      <c r="M3383">
        <v>50</v>
      </c>
      <c r="N3383">
        <v>70</v>
      </c>
      <c r="O3383">
        <v>50</v>
      </c>
      <c r="P3383">
        <v>70</v>
      </c>
    </row>
    <row r="3384" spans="1:16" x14ac:dyDescent="0.25">
      <c r="A3384">
        <v>21500439</v>
      </c>
      <c r="B3384">
        <v>2015</v>
      </c>
      <c r="C3384" t="s">
        <v>32</v>
      </c>
      <c r="D3384" t="s">
        <v>34</v>
      </c>
      <c r="E3384">
        <v>45</v>
      </c>
      <c r="F3384">
        <v>49</v>
      </c>
      <c r="G3384">
        <v>3</v>
      </c>
      <c r="H3384" s="1">
        <v>6.3657407407407404E-3</v>
      </c>
      <c r="I3384" t="s">
        <v>18</v>
      </c>
      <c r="J3384" s="2" t="str">
        <f>HYPERLINK("https://www.nba.com/stats/events?CFID=&amp;CFPARAMS=&amp;GameEventID=276&amp;GameID=0021500439&amp;Season=2015-16&amp;flag=1&amp;title=Leonard%209'%20Turnaround%20Fadeaway%20(13%20PTS)", "Leonard 9' Turnaround Fadeaway (13 PTS)")</f>
        <v>Leonard 9' Turnaround Fadeaway (13 PTS)</v>
      </c>
      <c r="K3384" s="2" t="str">
        <f>HYPERLINK("https://www.nba.com/game/...-vs-...-0021500439/play-by-play?watchFullGame=true", "SAS vs HOU - Q3 09:10.00")</f>
        <v>SAS vs HOU - Q3 09:10.00</v>
      </c>
      <c r="L3384">
        <v>9</v>
      </c>
      <c r="M3384">
        <v>50</v>
      </c>
      <c r="N3384">
        <v>75</v>
      </c>
      <c r="O3384">
        <v>50</v>
      </c>
      <c r="P3384">
        <v>75</v>
      </c>
    </row>
    <row r="3385" spans="1:16" x14ac:dyDescent="0.25">
      <c r="A3385">
        <v>22300982</v>
      </c>
      <c r="B3385">
        <v>2023</v>
      </c>
      <c r="C3385" t="s">
        <v>32</v>
      </c>
      <c r="D3385" t="s">
        <v>19</v>
      </c>
      <c r="E3385">
        <v>42</v>
      </c>
      <c r="F3385">
        <v>61</v>
      </c>
      <c r="G3385">
        <v>2</v>
      </c>
      <c r="H3385" s="1">
        <v>1.3657407407407407E-3</v>
      </c>
      <c r="I3385" t="s">
        <v>23</v>
      </c>
      <c r="J3385" s="2" t="str">
        <f>HYPERLINK("https://www.nba.com/stats/events?CFID=&amp;CFPARAMS=&amp;GameEventID=290&amp;GameID=0022300982&amp;Season=2023-24&amp;flag=1&amp;title=Leonard%209'%20fadeaway%20Jump%20Shot%20(19%20PTS)", "9' fadeaway Jump Shot (19 PTS)")</f>
        <v>9' fadeaway Jump Shot (19 PTS)</v>
      </c>
      <c r="K3385" s="2" t="str">
        <f>HYPERLINK("https://www.nba.com/game/...-vs-...-0022300982/play-by-play?watchFullGame=true", "LAC vs ATL - Q2 01:58.00")</f>
        <v>LAC vs ATL - Q2 01:58.00</v>
      </c>
      <c r="L3385">
        <v>9.07</v>
      </c>
      <c r="M3385">
        <v>86.38</v>
      </c>
      <c r="N3385">
        <v>60.05</v>
      </c>
      <c r="O3385">
        <v>50</v>
      </c>
      <c r="P3385">
        <v>75</v>
      </c>
    </row>
    <row r="3386" spans="1:16" x14ac:dyDescent="0.25">
      <c r="A3386">
        <v>21600942</v>
      </c>
      <c r="B3386">
        <v>2016</v>
      </c>
      <c r="C3386" t="s">
        <v>32</v>
      </c>
      <c r="D3386" t="s">
        <v>37</v>
      </c>
      <c r="E3386">
        <v>32</v>
      </c>
      <c r="F3386">
        <v>42</v>
      </c>
      <c r="G3386">
        <v>2</v>
      </c>
      <c r="H3386" s="1">
        <v>5.4745370370370373E-3</v>
      </c>
      <c r="I3386" t="s">
        <v>18</v>
      </c>
      <c r="J3386" s="2" t="str">
        <f>HYPERLINK("https://www.nba.com/stats/events?CFID=&amp;CFPARAMS=&amp;GameEventID=143&amp;GameID=0021600942&amp;Season=2016-17&amp;flag=1&amp;title=Leonard%209'%20Floating%20Jump%20Shot%20(10%20PTS)%20(Green%202%20AST)", "Leonard 9' Floating Jump Shot (10 PTS) (Green 2 AST)")</f>
        <v>Leonard 9' Floating Jump Shot (10 PTS) (Green 2 AST)</v>
      </c>
      <c r="K3386" s="2" t="str">
        <f>HYPERLINK("https://www.nba.com/game/...-vs-...-0021600942/play-by-play?watchFullGame=true", "SAS vs HOU - Q2 07:53.00")</f>
        <v>SAS vs HOU - Q2 07:53.00</v>
      </c>
      <c r="L3386">
        <v>9</v>
      </c>
      <c r="M3386">
        <v>50</v>
      </c>
      <c r="N3386">
        <v>80</v>
      </c>
      <c r="O3386">
        <v>50</v>
      </c>
      <c r="P3386">
        <v>80</v>
      </c>
    </row>
    <row r="3387" spans="1:16" x14ac:dyDescent="0.25">
      <c r="A3387">
        <v>41800114</v>
      </c>
      <c r="B3387" t="s">
        <v>20</v>
      </c>
      <c r="C3387" t="s">
        <v>32</v>
      </c>
      <c r="D3387" t="s">
        <v>29</v>
      </c>
      <c r="E3387">
        <v>58</v>
      </c>
      <c r="F3387">
        <v>72</v>
      </c>
      <c r="G3387">
        <v>3</v>
      </c>
      <c r="H3387" s="1">
        <v>2.7314814814814814E-3</v>
      </c>
      <c r="I3387" t="s">
        <v>21</v>
      </c>
      <c r="J3387" s="2" t="str">
        <f>HYPERLINK("https://www.nba.com/stats/events?CFID=&amp;CFPARAMS=&amp;GameEventID=376&amp;GameID=0041800114&amp;Season=2018-19&amp;flag=1&amp;title=Leonard%2013'%20Pullup%20Jump%20Shot%20(27%20PTS)", "Leonard 13' Pullup Jump Shot (27 PTS)")</f>
        <v>Leonard 13' Pullup Jump Shot (27 PTS)</v>
      </c>
      <c r="K3387" s="2" t="str">
        <f>HYPERLINK("https://www.nba.com/game/...-vs-...-0041800114/play-by-play?watchFullGame=true", "TOR vs ORL - Q3 03:56.00")</f>
        <v>TOR vs ORL - Q3 03:56.00</v>
      </c>
      <c r="L3387">
        <v>13</v>
      </c>
      <c r="M3387">
        <v>50</v>
      </c>
      <c r="N3387">
        <v>117</v>
      </c>
      <c r="O3387">
        <v>50</v>
      </c>
      <c r="P3387">
        <v>117</v>
      </c>
    </row>
    <row r="3388" spans="1:16" x14ac:dyDescent="0.25">
      <c r="A3388">
        <v>22300273</v>
      </c>
      <c r="B3388">
        <v>2023</v>
      </c>
      <c r="C3388" t="s">
        <v>32</v>
      </c>
      <c r="D3388" t="s">
        <v>19</v>
      </c>
      <c r="E3388">
        <v>5</v>
      </c>
      <c r="F3388">
        <v>4</v>
      </c>
      <c r="G3388">
        <v>1</v>
      </c>
      <c r="H3388" s="1">
        <v>6.7939814814814816E-3</v>
      </c>
      <c r="I3388" t="s">
        <v>23</v>
      </c>
      <c r="J3388" s="2" t="str">
        <f>HYPERLINK("https://www.nba.com/stats/events?CFID=&amp;CFPARAMS=&amp;GameEventID=22&amp;GameID=0022300273&amp;Season=2023-24&amp;flag=1&amp;title=Leonard%2013'%20fadeaway%20Jump%20Shot%20(2%20PTS)", "13' fadeaway Jump Shot (2 PTS)")</f>
        <v>13' fadeaway Jump Shot (2 PTS)</v>
      </c>
      <c r="K3388" s="2" t="str">
        <f>HYPERLINK("https://www.nba.com/game/...-vs-...-0022300273/play-by-play?watchFullGame=true", "LAC vs GSW - Q1 09:47.00")</f>
        <v>LAC vs GSW - Q1 09:47.00</v>
      </c>
      <c r="L3388">
        <v>13.43</v>
      </c>
      <c r="M3388">
        <v>81.16</v>
      </c>
      <c r="N3388">
        <v>60.05</v>
      </c>
      <c r="O3388">
        <v>50</v>
      </c>
      <c r="P3388">
        <v>125</v>
      </c>
    </row>
    <row r="3389" spans="1:16" x14ac:dyDescent="0.25">
      <c r="A3389">
        <v>21600425</v>
      </c>
      <c r="B3389">
        <v>2016</v>
      </c>
      <c r="C3389" t="s">
        <v>32</v>
      </c>
      <c r="D3389" t="s">
        <v>29</v>
      </c>
      <c r="E3389">
        <v>61</v>
      </c>
      <c r="F3389">
        <v>67</v>
      </c>
      <c r="G3389">
        <v>3</v>
      </c>
      <c r="H3389" s="1">
        <v>3.3564814814814816E-3</v>
      </c>
      <c r="I3389" t="s">
        <v>18</v>
      </c>
      <c r="J3389" s="2" t="str">
        <f>HYPERLINK("https://www.nba.com/stats/events?CFID=&amp;CFPARAMS=&amp;GameEventID=332&amp;GameID=0021600425&amp;Season=2016-17&amp;flag=1&amp;title=Leonard%2017'%20Pullup%20Jump%20Shot%20(17%20PTS)%20(Aldridge%204%20AST)", "Leonard 17' Pullup Jump Shot (17 PTS) (Aldridge 4 AST)")</f>
        <v>Leonard 17' Pullup Jump Shot (17 PTS) (Aldridge 4 AST)</v>
      </c>
      <c r="K3389" s="2" t="str">
        <f>HYPERLINK("https://www.nba.com/game/...-vs-...-0021600425/play-by-play?watchFullGame=true", "SAS vs HOU - Q3 04:50.00")</f>
        <v>SAS vs HOU - Q3 04:50.00</v>
      </c>
      <c r="L3389">
        <v>17</v>
      </c>
      <c r="M3389">
        <v>50</v>
      </c>
      <c r="N3389">
        <v>165</v>
      </c>
      <c r="O3389">
        <v>50</v>
      </c>
      <c r="P3389">
        <v>165</v>
      </c>
    </row>
    <row r="3390" spans="1:16" x14ac:dyDescent="0.25">
      <c r="A3390">
        <v>22201082</v>
      </c>
      <c r="B3390">
        <v>2022</v>
      </c>
      <c r="C3390" t="s">
        <v>16</v>
      </c>
      <c r="D3390" t="s">
        <v>19</v>
      </c>
      <c r="E3390">
        <v>69</v>
      </c>
      <c r="F3390">
        <v>65</v>
      </c>
      <c r="G3390">
        <v>3</v>
      </c>
      <c r="H3390" s="1">
        <v>4.2592592592592595E-3</v>
      </c>
      <c r="I3390" t="s">
        <v>23</v>
      </c>
      <c r="J3390" s="2" t="str">
        <f>HYPERLINK("https://www.nba.com/stats/events?CFID=&amp;CFPARAMS=&amp;GameEventID=432&amp;GameID=0022201082&amp;Season=2022-23&amp;flag=1&amp;title=Leonard%2025'%203PT%20pullup%20(15%20PTS)%20(P.%20George%204%20AST)", "25' 3PT pullup (15 PTS) (P. George 4 AST)")</f>
        <v>25' 3PT pullup (15 PTS) (P. George 4 AST)</v>
      </c>
      <c r="K3390" s="2" t="str">
        <f>HYPERLINK("https://www.nba.com/game/...-vs-...-0022201082/play-by-play?watchFullGame=true", "LAC vs OKC - Q3 06:08.00")</f>
        <v>LAC vs OKC - Q3 06:08.00</v>
      </c>
      <c r="L3390">
        <v>25.68</v>
      </c>
      <c r="M3390">
        <v>32.380000000000003</v>
      </c>
      <c r="N3390">
        <v>39.950000000000003</v>
      </c>
      <c r="O3390">
        <v>50</v>
      </c>
      <c r="P3390">
        <v>252</v>
      </c>
    </row>
    <row r="3391" spans="1:16" x14ac:dyDescent="0.25">
      <c r="A3391">
        <v>21600727</v>
      </c>
      <c r="B3391">
        <v>2016</v>
      </c>
      <c r="C3391" t="s">
        <v>16</v>
      </c>
      <c r="D3391" t="s">
        <v>29</v>
      </c>
      <c r="E3391">
        <v>96</v>
      </c>
      <c r="F3391">
        <v>82</v>
      </c>
      <c r="G3391">
        <v>4</v>
      </c>
      <c r="H3391" s="1">
        <v>4.2476851851851851E-3</v>
      </c>
      <c r="I3391" t="s">
        <v>18</v>
      </c>
      <c r="J3391" s="2" t="str">
        <f>HYPERLINK("https://www.nba.com/stats/events?CFID=&amp;CFPARAMS=&amp;GameEventID=578&amp;GameID=0021600727&amp;Season=2016-17&amp;flag=1&amp;title=Leonard%2029'%203PT%20Pullup%20Jump%20Shot%20(34%20PTS)", "Leonard 29' 3PT Pullup Jump Shot (34 PTS)")</f>
        <v>Leonard 29' 3PT Pullup Jump Shot (34 PTS)</v>
      </c>
      <c r="K3391" s="2" t="str">
        <f>HYPERLINK("https://www.nba.com/game/...-vs-...-0021600727/play-by-play?watchFullGame=true", "SAS vs OKC - Q4 06:07.00")</f>
        <v>SAS vs OKC - Q4 06:07.00</v>
      </c>
      <c r="L3391">
        <v>29</v>
      </c>
      <c r="M3391">
        <v>50</v>
      </c>
      <c r="N3391">
        <v>282</v>
      </c>
      <c r="O3391">
        <v>50</v>
      </c>
      <c r="P3391">
        <v>282</v>
      </c>
    </row>
    <row r="3392" spans="1:16" x14ac:dyDescent="0.25">
      <c r="A3392">
        <v>21900115</v>
      </c>
      <c r="B3392">
        <v>2019</v>
      </c>
      <c r="C3392" t="s">
        <v>32</v>
      </c>
      <c r="D3392" t="s">
        <v>22</v>
      </c>
      <c r="E3392">
        <v>90</v>
      </c>
      <c r="F3392">
        <v>93</v>
      </c>
      <c r="G3392">
        <v>4</v>
      </c>
      <c r="H3392" s="1">
        <v>2.673611111111111E-3</v>
      </c>
      <c r="I3392" t="s">
        <v>23</v>
      </c>
      <c r="J3392" s="2" t="str">
        <f>HYPERLINK("https://www.nba.com/stats/events?CFID=&amp;CFPARAMS=&amp;GameEventID=623&amp;GameID=0021900115&amp;Season=2019-20&amp;flag=1&amp;title=[LAC]%20Leonard%20jumpshot:%20Made%20(19%20PTS)", "[LAC] Leonard jumpshot: Made (19 PTS)")</f>
        <v>[LAC] Leonard jumpshot: Made (19 PTS)</v>
      </c>
      <c r="K3392" s="2" t="str">
        <f>HYPERLINK("https://www.nba.com/game/...-vs-...-0021900115/play-by-play?watchFullGame=true", "LAC vs POR - Q4 03:51.00")</f>
        <v>LAC vs POR - Q4 03:51.00</v>
      </c>
      <c r="L3392">
        <v>6.82</v>
      </c>
      <c r="M3392">
        <v>90.19</v>
      </c>
      <c r="N3392">
        <v>60.23</v>
      </c>
      <c r="O3392">
        <v>51</v>
      </c>
      <c r="P3392">
        <v>40</v>
      </c>
    </row>
    <row r="3393" spans="1:16" x14ac:dyDescent="0.25">
      <c r="A3393">
        <v>21400354</v>
      </c>
      <c r="B3393">
        <v>2014</v>
      </c>
      <c r="C3393" t="s">
        <v>32</v>
      </c>
      <c r="D3393" t="s">
        <v>17</v>
      </c>
      <c r="E3393">
        <v>77</v>
      </c>
      <c r="F3393">
        <v>85</v>
      </c>
      <c r="G3393">
        <v>4</v>
      </c>
      <c r="H3393" s="1">
        <v>2.9861111111111113E-3</v>
      </c>
      <c r="I3393" t="s">
        <v>18</v>
      </c>
      <c r="J3393" s="2" t="str">
        <f>HYPERLINK("https://www.nba.com/stats/events?CFID=&amp;CFPARAMS=&amp;GameEventID=509&amp;GameID=0021400354&amp;Season=2014-15&amp;flag=1&amp;title=Leonard%207'%20Running%20Jump%20Shot%20(16%20PTS)", "Leonard 7' Running Jump Shot (16 PTS)")</f>
        <v>Leonard 7' Running Jump Shot (16 PTS)</v>
      </c>
      <c r="K3393" s="2" t="str">
        <f>HYPERLINK("https://www.nba.com/game/...-vs-...-0021400354/play-by-play?watchFullGame=true", "SAS vs DEN - Q4 04:18.00")</f>
        <v>SAS vs DEN - Q4 04:18.00</v>
      </c>
      <c r="L3393">
        <v>7</v>
      </c>
      <c r="M3393">
        <v>51</v>
      </c>
      <c r="N3393">
        <v>44</v>
      </c>
      <c r="O3393">
        <v>51</v>
      </c>
      <c r="P3393">
        <v>44</v>
      </c>
    </row>
    <row r="3394" spans="1:16" x14ac:dyDescent="0.25">
      <c r="A3394">
        <v>22000324</v>
      </c>
      <c r="B3394">
        <v>2020</v>
      </c>
      <c r="C3394" t="s">
        <v>32</v>
      </c>
      <c r="D3394" t="s">
        <v>19</v>
      </c>
      <c r="E3394">
        <v>72</v>
      </c>
      <c r="F3394">
        <v>72</v>
      </c>
      <c r="G3394">
        <v>3</v>
      </c>
      <c r="H3394" s="1">
        <v>3.5995370370370369E-3</v>
      </c>
      <c r="I3394" t="s">
        <v>23</v>
      </c>
      <c r="J3394" s="2" t="str">
        <f>HYPERLINK("https://www.nba.com/stats/events?CFID=&amp;CFPARAMS=&amp;GameEventID=365&amp;GameID=0022000324&amp;Season=2020-21&amp;flag=1&amp;title=Leonard%207'%20driving%20floating%20bank%20Jump%20Shot%20(18%20PTS)%20(P.%20George%203%20AST)", "7' driving floating bank Jump Shot (18 PTS) (P. George 3 AST)")</f>
        <v>7' driving floating bank Jump Shot (18 PTS) (P. George 3 AST)</v>
      </c>
      <c r="K3394" s="2" t="str">
        <f>HYPERLINK("https://www.nba.com/game/...-vs-...-0022000324/play-by-play?watchFullGame=true", "LAC vs BKN - Q3 05:11.00")</f>
        <v>LAC vs BKN - Q3 05:11.00</v>
      </c>
      <c r="L3394">
        <v>7.23</v>
      </c>
      <c r="M3394">
        <v>88.91</v>
      </c>
      <c r="N3394">
        <v>60.12</v>
      </c>
      <c r="O3394">
        <v>51</v>
      </c>
      <c r="P3394">
        <v>52</v>
      </c>
    </row>
    <row r="3395" spans="1:16" x14ac:dyDescent="0.25">
      <c r="A3395">
        <v>21600657</v>
      </c>
      <c r="B3395">
        <v>2016</v>
      </c>
      <c r="C3395" t="s">
        <v>32</v>
      </c>
      <c r="D3395" t="s">
        <v>37</v>
      </c>
      <c r="E3395">
        <v>89</v>
      </c>
      <c r="F3395">
        <v>86</v>
      </c>
      <c r="G3395">
        <v>4</v>
      </c>
      <c r="H3395" s="1">
        <v>7.766203703703704E-3</v>
      </c>
      <c r="I3395" t="s">
        <v>18</v>
      </c>
      <c r="J3395" s="2" t="str">
        <f>HYPERLINK("https://www.nba.com/stats/events?CFID=&amp;CFPARAMS=&amp;GameEventID=372&amp;GameID=0021600657&amp;Season=2016-17&amp;flag=1&amp;title=Leonard%208'%20Floating%20Jump%20Shot%20(25%20PTS)%20(Murray%205%20AST)", "Leonard 8' Floating Jump Shot (25 PTS) (Murray 5 AST)")</f>
        <v>Leonard 8' Floating Jump Shot (25 PTS) (Murray 5 AST)</v>
      </c>
      <c r="K3395" s="2" t="str">
        <f>HYPERLINK("https://www.nba.com/game/...-vs-...-0021600657/play-by-play?watchFullGame=true", "SAS vs CLE - Q4 11:11.00")</f>
        <v>SAS vs CLE - Q4 11:11.00</v>
      </c>
      <c r="L3395">
        <v>8</v>
      </c>
      <c r="M3395">
        <v>51</v>
      </c>
      <c r="N3395">
        <v>56</v>
      </c>
      <c r="O3395">
        <v>51</v>
      </c>
      <c r="P3395">
        <v>56</v>
      </c>
    </row>
    <row r="3396" spans="1:16" x14ac:dyDescent="0.25">
      <c r="A3396">
        <v>21300245</v>
      </c>
      <c r="B3396">
        <v>2013</v>
      </c>
      <c r="C3396" t="s">
        <v>32</v>
      </c>
      <c r="D3396" t="s">
        <v>19</v>
      </c>
      <c r="E3396">
        <v>50</v>
      </c>
      <c r="F3396">
        <v>60</v>
      </c>
      <c r="G3396">
        <v>3</v>
      </c>
      <c r="H3396" s="1">
        <v>7.3032407407407404E-3</v>
      </c>
      <c r="I3396" t="s">
        <v>18</v>
      </c>
      <c r="J3396" s="2" t="str">
        <f>HYPERLINK("https://www.nba.com/stats/events?CFID=&amp;CFPARAMS=&amp;GameEventID=261&amp;GameID=0021300245&amp;Season=2013-14&amp;flag=1&amp;title=Leonard%208'%20Jump%20Shot%20(6%20PTS)", "Leonard 8' Jump Shot (6 PTS)")</f>
        <v>Leonard 8' Jump Shot (6 PTS)</v>
      </c>
      <c r="K3396" s="2" t="str">
        <f>HYPERLINK("https://www.nba.com/game/...-vs-...-0021300245/play-by-play?watchFullGame=true", "SAS vs HOU - Q3 10:31.00")</f>
        <v>SAS vs HOU - Q3 10:31.00</v>
      </c>
      <c r="L3396">
        <v>8</v>
      </c>
      <c r="M3396">
        <v>51</v>
      </c>
      <c r="N3396">
        <v>63</v>
      </c>
      <c r="O3396">
        <v>51</v>
      </c>
      <c r="P3396">
        <v>63</v>
      </c>
    </row>
    <row r="3397" spans="1:16" x14ac:dyDescent="0.25">
      <c r="A3397">
        <v>22000105</v>
      </c>
      <c r="B3397">
        <v>2020</v>
      </c>
      <c r="C3397" t="s">
        <v>32</v>
      </c>
      <c r="D3397" t="s">
        <v>19</v>
      </c>
      <c r="E3397">
        <v>71</v>
      </c>
      <c r="F3397">
        <v>79</v>
      </c>
      <c r="G3397">
        <v>3</v>
      </c>
      <c r="H3397" s="1">
        <v>2.9513888888888888E-3</v>
      </c>
      <c r="I3397" t="s">
        <v>23</v>
      </c>
      <c r="J3397" s="2" t="str">
        <f>HYPERLINK("https://www.nba.com/stats/events?CFID=&amp;CFPARAMS=&amp;GameEventID=407&amp;GameID=0022000105&amp;Season=2020-21&amp;flag=1&amp;title=Leonard%2010'%20pullup%20Jump%20Shot%20(28%20PTS)", "10' pullup Jump Shot (28 PTS)")</f>
        <v>10' pullup Jump Shot (28 PTS)</v>
      </c>
      <c r="K3397" s="2" t="str">
        <f>HYPERLINK("https://www.nba.com/game/...-vs-...-0022000105/play-by-play?watchFullGame=true", "LAC vs SAS - Q3 04:15.00")</f>
        <v>LAC vs SAS - Q3 04:15.00</v>
      </c>
      <c r="L3397">
        <v>10.220000000000001</v>
      </c>
      <c r="M3397">
        <v>84.97</v>
      </c>
      <c r="N3397">
        <v>60.12</v>
      </c>
      <c r="O3397">
        <v>51</v>
      </c>
      <c r="P3397">
        <v>89</v>
      </c>
    </row>
    <row r="3398" spans="1:16" x14ac:dyDescent="0.25">
      <c r="A3398">
        <v>41800114</v>
      </c>
      <c r="B3398" t="s">
        <v>20</v>
      </c>
      <c r="C3398" t="s">
        <v>32</v>
      </c>
      <c r="D3398" t="s">
        <v>29</v>
      </c>
      <c r="E3398">
        <v>41</v>
      </c>
      <c r="F3398">
        <v>52</v>
      </c>
      <c r="G3398">
        <v>2</v>
      </c>
      <c r="H3398" s="1">
        <v>1.712962962962963E-3</v>
      </c>
      <c r="I3398" t="s">
        <v>21</v>
      </c>
      <c r="J3398" s="2" t="str">
        <f>HYPERLINK("https://www.nba.com/stats/events?CFID=&amp;CFPARAMS=&amp;GameEventID=259&amp;GameID=0041800114&amp;Season=2018-19&amp;flag=1&amp;title=Leonard%2011'%20Pullup%20Jump%20Shot%20(18%20PTS)", "Leonard 11' Pullup Jump Shot (18 PTS)")</f>
        <v>Leonard 11' Pullup Jump Shot (18 PTS)</v>
      </c>
      <c r="K3398" s="2" t="str">
        <f>HYPERLINK("https://www.nba.com/game/...-vs-...-0041800114/play-by-play?watchFullGame=true", "TOR vs ORL - Q2 02:28.00")</f>
        <v>TOR vs ORL - Q2 02:28.00</v>
      </c>
      <c r="L3398">
        <v>11</v>
      </c>
      <c r="M3398">
        <v>51</v>
      </c>
      <c r="N3398">
        <v>95</v>
      </c>
      <c r="O3398">
        <v>51</v>
      </c>
      <c r="P3398">
        <v>95</v>
      </c>
    </row>
    <row r="3399" spans="1:16" x14ac:dyDescent="0.25">
      <c r="A3399">
        <v>22400874</v>
      </c>
      <c r="B3399">
        <v>2024</v>
      </c>
      <c r="C3399" t="s">
        <v>32</v>
      </c>
      <c r="D3399" t="s">
        <v>19</v>
      </c>
      <c r="E3399">
        <v>37</v>
      </c>
      <c r="F3399">
        <v>32</v>
      </c>
      <c r="G3399">
        <v>2</v>
      </c>
      <c r="H3399" s="1">
        <v>6.898148148148148E-3</v>
      </c>
      <c r="I3399" t="s">
        <v>23</v>
      </c>
      <c r="J3399" s="2" t="str">
        <f>HYPERLINK("https://www.nba.com/stats/events?CFID=&amp;CFPARAMS=&amp;GameEventID=182&amp;GameID=0022400874&amp;Season=2024-25&amp;flag=1&amp;title=Leonard%2010'%20driving%20floating%20Jump%20Shot%20(7%20PTS)%20(D.%20Eubanks%201%20AST)", "10' driving floating Jump Shot (7 PTS) (D. Eubanks 1 AST)")</f>
        <v>10' driving floating Jump Shot (7 PTS) (D. Eubanks 1 AST)</v>
      </c>
      <c r="K3399" s="2" t="str">
        <f>HYPERLINK("https://www.nba.com/game/...-vs-...-0022400874/play-by-play?watchFullGame=true", "LAC vs LAL - Q2 09:56.00")</f>
        <v>LAC vs LAL - Q2 09:56.00</v>
      </c>
      <c r="L3399">
        <v>10.94</v>
      </c>
      <c r="M3399">
        <v>84.15</v>
      </c>
      <c r="N3399">
        <v>60.29</v>
      </c>
      <c r="O3399">
        <v>51</v>
      </c>
      <c r="P3399">
        <v>96</v>
      </c>
    </row>
    <row r="3400" spans="1:16" x14ac:dyDescent="0.25">
      <c r="A3400">
        <v>21900016</v>
      </c>
      <c r="B3400">
        <v>2019</v>
      </c>
      <c r="C3400" t="s">
        <v>32</v>
      </c>
      <c r="D3400" t="s">
        <v>53</v>
      </c>
      <c r="E3400">
        <v>44</v>
      </c>
      <c r="F3400">
        <v>57</v>
      </c>
      <c r="G3400">
        <v>2</v>
      </c>
      <c r="H3400" s="1">
        <v>3.5648148148148149E-3</v>
      </c>
      <c r="I3400" t="s">
        <v>23</v>
      </c>
      <c r="J3400" s="2" t="str">
        <f>HYPERLINK("https://www.nba.com/stats/events?CFID=&amp;CFPARAMS=&amp;GameEventID=287&amp;GameID=0021900016&amp;Season=2019-20&amp;flag=1&amp;title=[LAC]%20Leonard%20hook:%20Made%20(10%20PTS)", "[LAC] Leonard hook: Made (10 PTS)")</f>
        <v>[LAC] Leonard hook: Made (10 PTS)</v>
      </c>
      <c r="K3400" s="2" t="str">
        <f>HYPERLINK("https://www.nba.com/game/...-vs-...-0021900016/play-by-play?watchFullGame=true", "LAC vs GSW - Q2 05:08.00")</f>
        <v>LAC vs GSW - Q2 05:08.00</v>
      </c>
      <c r="L3400">
        <v>12.41</v>
      </c>
      <c r="M3400">
        <v>17.03</v>
      </c>
      <c r="N3400">
        <v>39.770000000000003</v>
      </c>
      <c r="O3400">
        <v>51</v>
      </c>
      <c r="P3400">
        <v>108</v>
      </c>
    </row>
    <row r="3401" spans="1:16" x14ac:dyDescent="0.25">
      <c r="A3401">
        <v>41800211</v>
      </c>
      <c r="B3401" t="s">
        <v>20</v>
      </c>
      <c r="C3401" t="s">
        <v>32</v>
      </c>
      <c r="D3401" t="s">
        <v>29</v>
      </c>
      <c r="E3401">
        <v>55</v>
      </c>
      <c r="F3401">
        <v>46</v>
      </c>
      <c r="G3401">
        <v>2</v>
      </c>
      <c r="H3401" s="1">
        <v>2.476851851851852E-3</v>
      </c>
      <c r="I3401" t="s">
        <v>21</v>
      </c>
      <c r="J3401" s="2" t="str">
        <f>HYPERLINK("https://www.nba.com/stats/events?CFID=&amp;CFPARAMS=&amp;GameEventID=284&amp;GameID=0041800211&amp;Season=2018-19&amp;flag=1&amp;title=Leonard%2018'%20Pullup%20Jump%20Shot%20(25%20PTS)%20(Gasol%204%20AST)", "Leonard 18' Pullup Jump Shot (25 PTS) (Gasol 4 AST)")</f>
        <v>Leonard 18' Pullup Jump Shot (25 PTS) (Gasol 4 AST)</v>
      </c>
      <c r="K3401" s="2" t="str">
        <f>HYPERLINK("https://www.nba.com/game/...-vs-...-0041800211/play-by-play?watchFullGame=true", "TOR vs PHI - Q2 03:34.00")</f>
        <v>TOR vs PHI - Q2 03:34.00</v>
      </c>
      <c r="L3401">
        <v>18</v>
      </c>
      <c r="M3401">
        <v>51</v>
      </c>
      <c r="N3401">
        <v>174</v>
      </c>
      <c r="O3401">
        <v>51</v>
      </c>
      <c r="P3401">
        <v>174</v>
      </c>
    </row>
    <row r="3402" spans="1:16" x14ac:dyDescent="0.25">
      <c r="A3402">
        <v>21600213</v>
      </c>
      <c r="B3402">
        <v>2016</v>
      </c>
      <c r="C3402" t="s">
        <v>32</v>
      </c>
      <c r="D3402" t="s">
        <v>19</v>
      </c>
      <c r="E3402">
        <v>65</v>
      </c>
      <c r="F3402">
        <v>66</v>
      </c>
      <c r="G3402">
        <v>3</v>
      </c>
      <c r="H3402" s="1">
        <v>6.5972222222222222E-3</v>
      </c>
      <c r="I3402" t="s">
        <v>18</v>
      </c>
      <c r="J3402" s="2" t="str">
        <f>HYPERLINK("https://www.nba.com/stats/events?CFID=&amp;CFPARAMS=&amp;GameEventID=261&amp;GameID=0021600213&amp;Season=2016-17&amp;flag=1&amp;title=Leonard%2020'%20Jump%20Shot%20(20%20PTS)", "Leonard 20' Jump Shot (20 PTS)")</f>
        <v>Leonard 20' Jump Shot (20 PTS)</v>
      </c>
      <c r="K3402" s="2" t="str">
        <f>HYPERLINK("https://www.nba.com/game/...-vs-...-0021600213/play-by-play?watchFullGame=true", "SAS vs CHA - Q3 09:30.00")</f>
        <v>SAS vs CHA - Q3 09:30.00</v>
      </c>
      <c r="L3402">
        <v>20</v>
      </c>
      <c r="M3402">
        <v>51</v>
      </c>
      <c r="N3402">
        <v>190</v>
      </c>
      <c r="O3402">
        <v>51</v>
      </c>
      <c r="P3402">
        <v>190</v>
      </c>
    </row>
    <row r="3403" spans="1:16" x14ac:dyDescent="0.25">
      <c r="A3403">
        <v>21600319</v>
      </c>
      <c r="B3403">
        <v>2016</v>
      </c>
      <c r="C3403" t="s">
        <v>32</v>
      </c>
      <c r="D3403" t="s">
        <v>19</v>
      </c>
      <c r="E3403">
        <v>58</v>
      </c>
      <c r="F3403">
        <v>63</v>
      </c>
      <c r="G3403">
        <v>3</v>
      </c>
      <c r="H3403" s="1">
        <v>2.0486111111111113E-3</v>
      </c>
      <c r="I3403" t="s">
        <v>18</v>
      </c>
      <c r="J3403" s="2" t="str">
        <f>HYPERLINK("https://www.nba.com/stats/events?CFID=&amp;CFPARAMS=&amp;GameEventID=306&amp;GameID=0021600319&amp;Season=2016-17&amp;flag=1&amp;title=Leonard%2020'%20Jump%20Shot%20(20%20PTS)", "Leonard 20' Jump Shot (20 PTS)")</f>
        <v>Leonard 20' Jump Shot (20 PTS)</v>
      </c>
      <c r="K3403" s="2" t="str">
        <f>HYPERLINK("https://www.nba.com/game/...-vs-...-0021600319/play-by-play?watchFullGame=true", "SAS vs MIN - Q3 02:57.00")</f>
        <v>SAS vs MIN - Q3 02:57.00</v>
      </c>
      <c r="L3403">
        <v>20</v>
      </c>
      <c r="M3403">
        <v>51</v>
      </c>
      <c r="N3403">
        <v>193</v>
      </c>
      <c r="O3403">
        <v>51</v>
      </c>
      <c r="P3403">
        <v>193</v>
      </c>
    </row>
    <row r="3404" spans="1:16" x14ac:dyDescent="0.25">
      <c r="A3404">
        <v>41800115</v>
      </c>
      <c r="B3404" t="s">
        <v>20</v>
      </c>
      <c r="C3404" t="s">
        <v>16</v>
      </c>
      <c r="D3404" t="s">
        <v>19</v>
      </c>
      <c r="E3404">
        <v>70</v>
      </c>
      <c r="F3404">
        <v>47</v>
      </c>
      <c r="G3404">
        <v>3</v>
      </c>
      <c r="H3404" s="1">
        <v>7.9166666666666673E-3</v>
      </c>
      <c r="I3404" t="s">
        <v>21</v>
      </c>
      <c r="J3404" s="2" t="str">
        <f>HYPERLINK("https://www.nba.com/stats/events?CFID=&amp;CFPARAMS=&amp;GameEventID=343&amp;GameID=0041800115&amp;Season=2018-19&amp;flag=1&amp;title=Leonard%2025'%203PT%20Jump%20Shot%20(17%20PTS)%20(Lowry%206%20AST)", "Leonard 25' 3PT Jump Shot (17 PTS) (Lowry 6 AST)")</f>
        <v>Leonard 25' 3PT Jump Shot (17 PTS) (Lowry 6 AST)</v>
      </c>
      <c r="K3404" s="2" t="str">
        <f>HYPERLINK("https://www.nba.com/game/...-vs-...-0041800115/play-by-play?watchFullGame=true", "TOR vs ORL - Q3 11:24.00")</f>
        <v>TOR vs ORL - Q3 11:24.00</v>
      </c>
      <c r="L3404">
        <v>25</v>
      </c>
      <c r="M3404">
        <v>51</v>
      </c>
      <c r="N3404">
        <v>246</v>
      </c>
      <c r="O3404">
        <v>51</v>
      </c>
      <c r="P3404">
        <v>246</v>
      </c>
    </row>
    <row r="3405" spans="1:16" x14ac:dyDescent="0.25">
      <c r="A3405">
        <v>21500872</v>
      </c>
      <c r="B3405">
        <v>2015</v>
      </c>
      <c r="C3405" t="s">
        <v>16</v>
      </c>
      <c r="D3405" t="s">
        <v>19</v>
      </c>
      <c r="E3405">
        <v>27</v>
      </c>
      <c r="F3405">
        <v>41</v>
      </c>
      <c r="G3405">
        <v>2</v>
      </c>
      <c r="H3405" s="1">
        <v>2.8009259259259259E-3</v>
      </c>
      <c r="I3405" t="s">
        <v>18</v>
      </c>
      <c r="J3405" s="2" t="str">
        <f>HYPERLINK("https://www.nba.com/stats/events?CFID=&amp;CFPARAMS=&amp;GameEventID=185&amp;GameID=0021500872&amp;Season=2015-16&amp;flag=1&amp;title=Leonard%2025'%203PT%20Jump%20Shot%20(12%20PTS)%20(Anderson%203%20AST)", "Leonard 25' 3PT Jump Shot (12 PTS) (Anderson 3 AST)")</f>
        <v>Leonard 25' 3PT Jump Shot (12 PTS) (Anderson 3 AST)</v>
      </c>
      <c r="K3405" s="2" t="str">
        <f>HYPERLINK("https://www.nba.com/game/...-vs-...-0021500872/play-by-play?watchFullGame=true", "SAS vs HOU - Q2 04:02.00")</f>
        <v>SAS vs HOU - Q2 04:02.00</v>
      </c>
      <c r="L3405">
        <v>25</v>
      </c>
      <c r="M3405">
        <v>51</v>
      </c>
      <c r="N3405">
        <v>247</v>
      </c>
      <c r="O3405">
        <v>51</v>
      </c>
      <c r="P3405">
        <v>247</v>
      </c>
    </row>
    <row r="3406" spans="1:16" x14ac:dyDescent="0.25">
      <c r="A3406">
        <v>21900359</v>
      </c>
      <c r="B3406">
        <v>2019</v>
      </c>
      <c r="C3406" t="s">
        <v>32</v>
      </c>
      <c r="D3406" t="s">
        <v>22</v>
      </c>
      <c r="E3406">
        <v>42</v>
      </c>
      <c r="F3406">
        <v>55</v>
      </c>
      <c r="G3406">
        <v>2</v>
      </c>
      <c r="H3406" s="1">
        <v>1.5162037037037036E-3</v>
      </c>
      <c r="I3406" t="s">
        <v>23</v>
      </c>
      <c r="J3406" s="2" t="str">
        <f>HYPERLINK("https://www.nba.com/stats/events?CFID=&amp;CFPARAMS=&amp;GameEventID=317&amp;GameID=0021900359&amp;Season=2019-20&amp;flag=1&amp;title=Leonard%207'%20jumpshot%20(9%20PTS)%20(L.%20Williams%204%20AST)", "7' jumpshot (9 PTS) (L. Williams 4 AST)")</f>
        <v>7' jumpshot (9 PTS) (L. Williams 4 AST)</v>
      </c>
      <c r="K3406" s="2" t="str">
        <f>HYPERLINK("https://www.nba.com/game/...-vs-...-0021900359/play-by-play?watchFullGame=true", "LAC vs TOR - Q2 02:11.00")</f>
        <v>LAC vs TOR - Q2 02:11.00</v>
      </c>
      <c r="L3406">
        <v>7</v>
      </c>
      <c r="M3406">
        <v>9.94</v>
      </c>
      <c r="N3406">
        <v>39.53</v>
      </c>
      <c r="O3406">
        <v>52</v>
      </c>
      <c r="P3406">
        <v>41</v>
      </c>
    </row>
    <row r="3407" spans="1:16" x14ac:dyDescent="0.25">
      <c r="A3407">
        <v>22000387</v>
      </c>
      <c r="B3407">
        <v>2020</v>
      </c>
      <c r="C3407" t="s">
        <v>32</v>
      </c>
      <c r="D3407" t="s">
        <v>19</v>
      </c>
      <c r="E3407">
        <v>50</v>
      </c>
      <c r="F3407">
        <v>45</v>
      </c>
      <c r="G3407">
        <v>2</v>
      </c>
      <c r="H3407" s="1">
        <v>1.9444444444444444E-3</v>
      </c>
      <c r="I3407" t="s">
        <v>23</v>
      </c>
      <c r="J3407" s="2" t="str">
        <f>HYPERLINK("https://www.nba.com/stats/events?CFID=&amp;CFPARAMS=&amp;GameEventID=284&amp;GameID=0022000387&amp;Season=2020-21&amp;flag=1&amp;title=Leonard%207'%20pullup%20Jump%20Shot%20(16%20PTS)", "7' pullup Jump Shot (16 PTS)")</f>
        <v>7' pullup Jump Shot (16 PTS)</v>
      </c>
      <c r="K3407" s="2" t="str">
        <f>HYPERLINK("https://www.nba.com/game/...-vs-...-0022000387/play-by-play?watchFullGame=true", "LAC vs MIN - Q2 02:48.00")</f>
        <v>LAC vs MIN - Q2 02:48.00</v>
      </c>
      <c r="L3407">
        <v>7.41</v>
      </c>
      <c r="M3407">
        <v>88.78</v>
      </c>
      <c r="N3407">
        <v>60.36</v>
      </c>
      <c r="O3407">
        <v>52</v>
      </c>
      <c r="P3407">
        <v>53</v>
      </c>
    </row>
    <row r="3408" spans="1:16" x14ac:dyDescent="0.25">
      <c r="A3408">
        <v>22000400</v>
      </c>
      <c r="B3408">
        <v>2020</v>
      </c>
      <c r="C3408" t="s">
        <v>32</v>
      </c>
      <c r="D3408" t="s">
        <v>19</v>
      </c>
      <c r="E3408">
        <v>58</v>
      </c>
      <c r="F3408">
        <v>62</v>
      </c>
      <c r="G3408">
        <v>3</v>
      </c>
      <c r="H3408" s="1">
        <v>7.4074074074074077E-3</v>
      </c>
      <c r="I3408" t="s">
        <v>23</v>
      </c>
      <c r="J3408" s="2" t="str">
        <f>HYPERLINK("https://www.nba.com/stats/events?CFID=&amp;CFPARAMS=&amp;GameEventID=311&amp;GameID=0022000400&amp;Season=2020-21&amp;flag=1&amp;title=Leonard%2011'%20pullup%20Jump%20Shot%20(16%20PTS)", "11' pullup Jump Shot (16 PTS)")</f>
        <v>11' pullup Jump Shot (16 PTS)</v>
      </c>
      <c r="K3408" s="2" t="str">
        <f>HYPERLINK("https://www.nba.com/game/...-vs-...-0022000400/play-by-play?watchFullGame=true", "LAC vs CHI - Q3 10:40.00")</f>
        <v>LAC vs CHI - Q3 10:40.00</v>
      </c>
      <c r="L3408">
        <v>11.2</v>
      </c>
      <c r="M3408">
        <v>16.11</v>
      </c>
      <c r="N3408">
        <v>39.53</v>
      </c>
      <c r="O3408">
        <v>52</v>
      </c>
      <c r="P3408">
        <v>99</v>
      </c>
    </row>
    <row r="3409" spans="1:16" x14ac:dyDescent="0.25">
      <c r="A3409">
        <v>22000387</v>
      </c>
      <c r="B3409">
        <v>2020</v>
      </c>
      <c r="C3409" t="s">
        <v>32</v>
      </c>
      <c r="D3409" t="s">
        <v>19</v>
      </c>
      <c r="E3409">
        <v>18</v>
      </c>
      <c r="F3409">
        <v>11</v>
      </c>
      <c r="G3409">
        <v>1</v>
      </c>
      <c r="H3409" s="1">
        <v>5.115740740740741E-3</v>
      </c>
      <c r="I3409" t="s">
        <v>23</v>
      </c>
      <c r="J3409" s="2" t="str">
        <f>HYPERLINK("https://www.nba.com/stats/events?CFID=&amp;CFPARAMS=&amp;GameEventID=48&amp;GameID=0022000387&amp;Season=2020-21&amp;flag=1&amp;title=Leonard%2011'%20pullup%20Jump%20Shot%20(4%20PTS)%20(R.%20Jackson%201%20AST)", "11' pullup Jump Shot (4 PTS) (R. Jackson 1 AST)")</f>
        <v>11' pullup Jump Shot (4 PTS) (R. Jackson 1 AST)</v>
      </c>
      <c r="K3409" s="2" t="str">
        <f>HYPERLINK("https://www.nba.com/game/...-vs-...-0022000387/play-by-play?watchFullGame=true", "LAC vs MIN - Q1 07:22.00")</f>
        <v>LAC vs MIN - Q1 07:22.00</v>
      </c>
      <c r="L3409">
        <v>11.36</v>
      </c>
      <c r="M3409">
        <v>83.66</v>
      </c>
      <c r="N3409">
        <v>60.36</v>
      </c>
      <c r="O3409">
        <v>52</v>
      </c>
      <c r="P3409">
        <v>101</v>
      </c>
    </row>
    <row r="3410" spans="1:16" x14ac:dyDescent="0.25">
      <c r="A3410">
        <v>21900068</v>
      </c>
      <c r="B3410">
        <v>2019</v>
      </c>
      <c r="C3410" t="s">
        <v>32</v>
      </c>
      <c r="D3410" t="s">
        <v>22</v>
      </c>
      <c r="E3410">
        <v>97</v>
      </c>
      <c r="F3410">
        <v>87</v>
      </c>
      <c r="G3410">
        <v>4</v>
      </c>
      <c r="H3410" s="1">
        <v>2.662037037037037E-3</v>
      </c>
      <c r="I3410" t="s">
        <v>23</v>
      </c>
      <c r="J3410" s="2" t="str">
        <f>HYPERLINK("https://www.nba.com/stats/events?CFID=&amp;CFPARAMS=&amp;GameEventID=633&amp;GameID=0021900068&amp;Season=2019-20&amp;flag=1&amp;title=[LAC]%20Leonard%20jumpshot:%20Made%20(38%20PTS)", "[LAC] Leonard jumpshot: Made (38 PTS)")</f>
        <v>[LAC] Leonard jumpshot: Made (38 PTS)</v>
      </c>
      <c r="K3410" s="2" t="str">
        <f>HYPERLINK("https://www.nba.com/game/...-vs-...-0021900068/play-by-play?watchFullGame=true", "LAC vs SAS - Q4 03:50.00")</f>
        <v>LAC vs SAS - Q4 03:50.00</v>
      </c>
      <c r="L3410">
        <v>13.14</v>
      </c>
      <c r="M3410">
        <v>82.18</v>
      </c>
      <c r="N3410">
        <v>60.47</v>
      </c>
      <c r="O3410">
        <v>52</v>
      </c>
      <c r="P3410">
        <v>115</v>
      </c>
    </row>
    <row r="3411" spans="1:16" x14ac:dyDescent="0.25">
      <c r="A3411">
        <v>22000002</v>
      </c>
      <c r="B3411">
        <v>2020</v>
      </c>
      <c r="C3411" t="s">
        <v>32</v>
      </c>
      <c r="D3411" t="s">
        <v>19</v>
      </c>
      <c r="E3411">
        <v>94</v>
      </c>
      <c r="F3411">
        <v>107</v>
      </c>
      <c r="G3411">
        <v>4</v>
      </c>
      <c r="H3411" s="1">
        <v>4.2708333333333331E-3</v>
      </c>
      <c r="I3411" t="s">
        <v>23</v>
      </c>
      <c r="J3411" s="2" t="str">
        <f>HYPERLINK("https://www.nba.com/stats/events?CFID=&amp;CFPARAMS=&amp;GameEventID=624&amp;GameID=0022000002&amp;Season=2020-21&amp;flag=1&amp;title=Leonard%2012'%20turnaround%20Jump%20Shot%20(24%20PTS)", "12' turnaround Jump Shot (24 PTS)")</f>
        <v>12' turnaround Jump Shot (24 PTS)</v>
      </c>
      <c r="K3411" s="2" t="str">
        <f>HYPERLINK("https://www.nba.com/game/...-vs-...-0022000002/play-by-play?watchFullGame=true", "LAC vs LAL - Q4 06:09.00")</f>
        <v>LAC vs LAL - Q4 06:09.00</v>
      </c>
      <c r="L3411">
        <v>12.81</v>
      </c>
      <c r="M3411">
        <v>81.95</v>
      </c>
      <c r="N3411">
        <v>60.36</v>
      </c>
      <c r="O3411">
        <v>52</v>
      </c>
      <c r="P3411">
        <v>117</v>
      </c>
    </row>
    <row r="3412" spans="1:16" x14ac:dyDescent="0.25">
      <c r="A3412">
        <v>21901291</v>
      </c>
      <c r="B3412">
        <v>2019</v>
      </c>
      <c r="C3412" t="s">
        <v>16</v>
      </c>
      <c r="D3412" t="s">
        <v>22</v>
      </c>
      <c r="E3412">
        <v>68</v>
      </c>
      <c r="F3412">
        <v>74</v>
      </c>
      <c r="G3412">
        <v>3</v>
      </c>
      <c r="H3412" s="1">
        <v>7.905092592592592E-3</v>
      </c>
      <c r="I3412" t="s">
        <v>23</v>
      </c>
      <c r="J3412" s="2" t="str">
        <f>HYPERLINK("https://www.nba.com/stats/events?CFID=&amp;CFPARAMS=&amp;GameEventID=342&amp;GameID=0021901291&amp;Season=2019-20&amp;flag=1&amp;title=Leonard%2027'%203PT%20%20(24%20PTS)", "27' 3PT  (24 PTS)")</f>
        <v>27' 3PT  (24 PTS)</v>
      </c>
      <c r="K3412" s="2" t="str">
        <f>HYPERLINK("https://www.nba.com/game/...-vs-...-0021901291/play-by-play?watchFullGame=true", "LAC vs BKN - Q3 11:23.00")</f>
        <v>LAC vs BKN - Q3 11:23.00</v>
      </c>
      <c r="L3412">
        <v>27.14</v>
      </c>
      <c r="M3412">
        <v>33.33</v>
      </c>
      <c r="N3412">
        <v>39.53</v>
      </c>
      <c r="O3412">
        <v>52</v>
      </c>
      <c r="P3412">
        <v>261</v>
      </c>
    </row>
    <row r="3413" spans="1:16" x14ac:dyDescent="0.25">
      <c r="A3413">
        <v>21500280</v>
      </c>
      <c r="B3413">
        <v>2015</v>
      </c>
      <c r="C3413" t="s">
        <v>32</v>
      </c>
      <c r="D3413" t="s">
        <v>37</v>
      </c>
      <c r="E3413">
        <v>31</v>
      </c>
      <c r="F3413">
        <v>39</v>
      </c>
      <c r="G3413">
        <v>2</v>
      </c>
      <c r="H3413" s="1">
        <v>1.6666666666666668E-3</v>
      </c>
      <c r="I3413" t="s">
        <v>18</v>
      </c>
      <c r="J3413" s="2" t="str">
        <f>HYPERLINK("https://www.nba.com/stats/events?CFID=&amp;CFPARAMS=&amp;GameEventID=216&amp;GameID=0021500280&amp;Season=2015-16&amp;flag=1&amp;title=Leonard%205'%20Floating%20Jump%20Shot%20(7%20PTS)%20(Parker%201%20AST)", "Leonard 5' Floating Jump Shot (7 PTS) (Parker 1 AST)")</f>
        <v>Leonard 5' Floating Jump Shot (7 PTS) (Parker 1 AST)</v>
      </c>
      <c r="K3413" s="2" t="str">
        <f>HYPERLINK("https://www.nba.com/game/...-vs-...-0021500280/play-by-play?watchFullGame=true", "SAS vs MEM - Q2 02:24.00")</f>
        <v>SAS vs MEM - Q2 02:24.00</v>
      </c>
      <c r="L3413">
        <v>5</v>
      </c>
      <c r="M3413">
        <v>53</v>
      </c>
      <c r="N3413">
        <v>13</v>
      </c>
      <c r="O3413">
        <v>53</v>
      </c>
      <c r="P3413">
        <v>13</v>
      </c>
    </row>
    <row r="3414" spans="1:16" x14ac:dyDescent="0.25">
      <c r="A3414">
        <v>22300511</v>
      </c>
      <c r="B3414">
        <v>2023</v>
      </c>
      <c r="C3414" t="s">
        <v>32</v>
      </c>
      <c r="D3414" t="s">
        <v>19</v>
      </c>
      <c r="E3414">
        <v>116</v>
      </c>
      <c r="F3414">
        <v>96</v>
      </c>
      <c r="G3414">
        <v>4</v>
      </c>
      <c r="H3414" s="1">
        <v>5.5555555555555558E-3</v>
      </c>
      <c r="I3414" t="s">
        <v>23</v>
      </c>
      <c r="J3414" s="2" t="str">
        <f>HYPERLINK("https://www.nba.com/stats/events?CFID=&amp;CFPARAMS=&amp;GameEventID=521&amp;GameID=0022300511&amp;Season=2023-24&amp;flag=1&amp;title=Leonard%20fadeaway%20Jump%20Shot%20(17%20PTS)", "Fadeaway Jump Shot (17 PTS)")</f>
        <v>Fadeaway Jump Shot (17 PTS)</v>
      </c>
      <c r="K3414" s="2" t="str">
        <f>HYPERLINK("https://www.nba.com/game/...-vs-...-0022300511/play-by-play?watchFullGame=true", "LAC vs PHX - Q4 08:00.00")</f>
        <v>LAC vs PHX - Q4 08:00.00</v>
      </c>
      <c r="L3414">
        <v>5.76</v>
      </c>
      <c r="M3414">
        <v>8.07</v>
      </c>
      <c r="N3414">
        <v>39.46</v>
      </c>
      <c r="O3414">
        <v>53</v>
      </c>
      <c r="P3414">
        <v>23</v>
      </c>
    </row>
    <row r="3415" spans="1:16" x14ac:dyDescent="0.25">
      <c r="A3415">
        <v>21601118</v>
      </c>
      <c r="B3415">
        <v>2016</v>
      </c>
      <c r="C3415" t="s">
        <v>32</v>
      </c>
      <c r="D3415" t="s">
        <v>38</v>
      </c>
      <c r="E3415">
        <v>67</v>
      </c>
      <c r="F3415">
        <v>72</v>
      </c>
      <c r="G3415">
        <v>3</v>
      </c>
      <c r="H3415" s="1">
        <v>3.3680555555555556E-3</v>
      </c>
      <c r="I3415" t="s">
        <v>18</v>
      </c>
      <c r="J3415" s="2" t="str">
        <f>HYPERLINK("https://www.nba.com/stats/events?CFID=&amp;CFPARAMS=&amp;GameEventID=349&amp;GameID=0021601118&amp;Season=2016-17&amp;flag=1&amp;title=Leonard%206'%20Jump%20Bank%20Shot%20(14%20PTS)", "Leonard 6' Jump Bank Shot (14 PTS)")</f>
        <v>Leonard 6' Jump Bank Shot (14 PTS)</v>
      </c>
      <c r="K3415" s="2" t="str">
        <f>HYPERLINK("https://www.nba.com/game/...-vs-...-0021601118/play-by-play?watchFullGame=true", "SAS vs GSW - Q3 04:51.00")</f>
        <v>SAS vs GSW - Q3 04:51.00</v>
      </c>
      <c r="L3415">
        <v>6</v>
      </c>
      <c r="M3415">
        <v>53</v>
      </c>
      <c r="N3415">
        <v>28</v>
      </c>
      <c r="O3415">
        <v>53</v>
      </c>
      <c r="P3415">
        <v>28</v>
      </c>
    </row>
    <row r="3416" spans="1:16" x14ac:dyDescent="0.25">
      <c r="A3416">
        <v>22300799</v>
      </c>
      <c r="B3416">
        <v>2023</v>
      </c>
      <c r="C3416" t="s">
        <v>32</v>
      </c>
      <c r="D3416" t="s">
        <v>19</v>
      </c>
      <c r="E3416">
        <v>61</v>
      </c>
      <c r="F3416">
        <v>59</v>
      </c>
      <c r="G3416">
        <v>2</v>
      </c>
      <c r="H3416" s="1">
        <v>9.837962962962962E-4</v>
      </c>
      <c r="I3416" t="s">
        <v>23</v>
      </c>
      <c r="J3416" s="2" t="str">
        <f>HYPERLINK("https://www.nba.com/stats/events?CFID=&amp;CFPARAMS=&amp;GameEventID=291&amp;GameID=0022300799&amp;Season=2023-24&amp;flag=1&amp;title=Leonard%206'%20driving%20floating%20Jump%20Shot%20(12%20PTS)", "6' driving floating Jump Shot (12 PTS)")</f>
        <v>6' driving floating Jump Shot (12 PTS)</v>
      </c>
      <c r="K3416" s="2" t="str">
        <f>HYPERLINK("https://www.nba.com/game/...-vs-...-0022300799/play-by-play?watchFullGame=true", "LAC vs OKC - Q2 01:25.00")</f>
        <v>LAC vs OKC - Q2 01:25.00</v>
      </c>
      <c r="L3416">
        <v>6.75</v>
      </c>
      <c r="M3416">
        <v>10.07</v>
      </c>
      <c r="N3416">
        <v>39.46</v>
      </c>
      <c r="O3416">
        <v>53</v>
      </c>
      <c r="P3416">
        <v>42</v>
      </c>
    </row>
    <row r="3417" spans="1:16" x14ac:dyDescent="0.25">
      <c r="A3417">
        <v>41200233</v>
      </c>
      <c r="B3417" t="s">
        <v>27</v>
      </c>
      <c r="C3417" t="s">
        <v>32</v>
      </c>
      <c r="D3417" t="s">
        <v>90</v>
      </c>
      <c r="E3417">
        <v>21</v>
      </c>
      <c r="F3417">
        <v>22</v>
      </c>
      <c r="G3417">
        <v>1</v>
      </c>
      <c r="H3417" s="1">
        <v>1.5277777777777779E-3</v>
      </c>
      <c r="I3417" t="s">
        <v>18</v>
      </c>
      <c r="J3417" s="2" t="str">
        <f>HYPERLINK("https://www.nba.com/stats/events?CFID=&amp;CFPARAMS=&amp;GameEventID=88&amp;GameID=0041200233&amp;Season=2012-13&amp;flag=1&amp;title=Leonard%208'%20Jump%20Bank%20Hook%20Shot%20(2%20PTS)", "Leonard 8' Jump Bank Hook Shot (2 PTS)")</f>
        <v>Leonard 8' Jump Bank Hook Shot (2 PTS)</v>
      </c>
      <c r="K3417" s="2" t="str">
        <f>HYPERLINK("https://www.nba.com/game/...-vs-...-0041200233/play-by-play?watchFullGame=true", "SAS vs GSW - Q1 02:12.00")</f>
        <v>SAS vs GSW - Q1 02:12.00</v>
      </c>
      <c r="L3417">
        <v>8</v>
      </c>
      <c r="M3417">
        <v>53</v>
      </c>
      <c r="N3417">
        <v>56</v>
      </c>
      <c r="O3417">
        <v>53</v>
      </c>
      <c r="P3417">
        <v>56</v>
      </c>
    </row>
    <row r="3418" spans="1:16" x14ac:dyDescent="0.25">
      <c r="A3418">
        <v>22000788</v>
      </c>
      <c r="B3418">
        <v>2020</v>
      </c>
      <c r="C3418" t="s">
        <v>32</v>
      </c>
      <c r="D3418" t="s">
        <v>19</v>
      </c>
      <c r="E3418">
        <v>56</v>
      </c>
      <c r="F3418">
        <v>56</v>
      </c>
      <c r="G3418">
        <v>3</v>
      </c>
      <c r="H3418" s="1">
        <v>8.1481481481481474E-3</v>
      </c>
      <c r="I3418" t="s">
        <v>23</v>
      </c>
      <c r="J3418" s="2" t="str">
        <f>HYPERLINK("https://www.nba.com/stats/events?CFID=&amp;CFPARAMS=&amp;GameEventID=284&amp;GameID=0022000788&amp;Season=2020-21&amp;flag=1&amp;title=Leonard%208'%20pullup%20Jump%20Shot%20(10%20PTS)%20(P.%20George%202%20AST)", "8' pullup Jump Shot (10 PTS) (P. George 2 AST)")</f>
        <v>8' pullup Jump Shot (10 PTS) (P. George 2 AST)</v>
      </c>
      <c r="K3418" s="2" t="str">
        <f>HYPERLINK("https://www.nba.com/game/...-vs-...-0022000788/play-by-play?watchFullGame=true", "LAC vs PHX - Q3 11:44.00")</f>
        <v>LAC vs PHX - Q3 11:44.00</v>
      </c>
      <c r="L3418">
        <v>8.61</v>
      </c>
      <c r="M3418">
        <v>87.2</v>
      </c>
      <c r="N3418">
        <v>60.61</v>
      </c>
      <c r="O3418">
        <v>53</v>
      </c>
      <c r="P3418">
        <v>68</v>
      </c>
    </row>
    <row r="3419" spans="1:16" x14ac:dyDescent="0.25">
      <c r="A3419">
        <v>21500379</v>
      </c>
      <c r="B3419">
        <v>2015</v>
      </c>
      <c r="C3419" t="s">
        <v>32</v>
      </c>
      <c r="D3419" t="s">
        <v>37</v>
      </c>
      <c r="E3419">
        <v>21</v>
      </c>
      <c r="F3419">
        <v>20</v>
      </c>
      <c r="G3419">
        <v>1</v>
      </c>
      <c r="H3419" s="1">
        <v>2.2685185185185187E-3</v>
      </c>
      <c r="I3419" t="s">
        <v>18</v>
      </c>
      <c r="J3419" s="2" t="str">
        <f>HYPERLINK("https://www.nba.com/stats/events?CFID=&amp;CFPARAMS=&amp;GameEventID=75&amp;GameID=0021500379&amp;Season=2015-16&amp;flag=1&amp;title=Leonard%209'%20Floating%20Jump%20Shot%20(9%20PTS)", "Leonard 9' Floating Jump Shot (9 PTS)")</f>
        <v>Leonard 9' Floating Jump Shot (9 PTS)</v>
      </c>
      <c r="K3419" s="2" t="str">
        <f>HYPERLINK("https://www.nba.com/game/...-vs-...-0021500379/play-by-play?watchFullGame=true", "SAS vs WAS - Q1 03:16.00")</f>
        <v>SAS vs WAS - Q1 03:16.00</v>
      </c>
      <c r="L3419">
        <v>9</v>
      </c>
      <c r="M3419">
        <v>53</v>
      </c>
      <c r="N3419">
        <v>72</v>
      </c>
      <c r="O3419">
        <v>53</v>
      </c>
      <c r="P3419">
        <v>72</v>
      </c>
    </row>
    <row r="3420" spans="1:16" x14ac:dyDescent="0.25">
      <c r="A3420">
        <v>22300618</v>
      </c>
      <c r="B3420">
        <v>2023</v>
      </c>
      <c r="C3420" t="s">
        <v>32</v>
      </c>
      <c r="D3420" t="s">
        <v>19</v>
      </c>
      <c r="E3420">
        <v>27</v>
      </c>
      <c r="F3420">
        <v>23</v>
      </c>
      <c r="G3420">
        <v>1</v>
      </c>
      <c r="H3420" s="1">
        <v>1.5162037037037036E-3</v>
      </c>
      <c r="I3420" t="s">
        <v>23</v>
      </c>
      <c r="J3420" s="2" t="str">
        <f>HYPERLINK("https://www.nba.com/stats/events?CFID=&amp;CFPARAMS=&amp;GameEventID=116&amp;GameID=0022300618&amp;Season=2023-24&amp;flag=1&amp;title=Leonard%2011'%20fadeaway%20Jump%20Shot%20(6%20PTS)%20(R.%20Westbrook%202%20AST)", "11' fadeaway Jump Shot (6 PTS) (R. Westbrook 2 AST)")</f>
        <v>11' fadeaway Jump Shot (6 PTS) (R. Westbrook 2 AST)</v>
      </c>
      <c r="K3420" s="2" t="str">
        <f>HYPERLINK("https://www.nba.com/game/...-vs-...-0022300618/play-by-play?watchFullGame=true", "LAC vs LAL - Q1 02:11.00")</f>
        <v>LAC vs LAL - Q1 02:11.00</v>
      </c>
      <c r="L3420">
        <v>11.76</v>
      </c>
      <c r="M3420">
        <v>83.23</v>
      </c>
      <c r="N3420">
        <v>60.54</v>
      </c>
      <c r="O3420">
        <v>53</v>
      </c>
      <c r="P3420">
        <v>105</v>
      </c>
    </row>
    <row r="3421" spans="1:16" x14ac:dyDescent="0.25">
      <c r="A3421">
        <v>22300982</v>
      </c>
      <c r="B3421">
        <v>2023</v>
      </c>
      <c r="C3421" t="s">
        <v>32</v>
      </c>
      <c r="D3421" t="s">
        <v>19</v>
      </c>
      <c r="E3421">
        <v>22</v>
      </c>
      <c r="F3421">
        <v>24</v>
      </c>
      <c r="G3421">
        <v>1</v>
      </c>
      <c r="H3421" s="1">
        <v>2.1180555555555558E-3</v>
      </c>
      <c r="I3421" t="s">
        <v>23</v>
      </c>
      <c r="J3421" s="2" t="str">
        <f>HYPERLINK("https://www.nba.com/stats/events?CFID=&amp;CFPARAMS=&amp;GameEventID=116&amp;GameID=0022300982&amp;Season=2023-24&amp;flag=1&amp;title=Leonard%2012'%20pullup%20Jump%20Shot%20(13%20PTS)", "12' pullup Jump Shot (13 PTS)")</f>
        <v>12' pullup Jump Shot (13 PTS)</v>
      </c>
      <c r="K3421" s="2" t="str">
        <f>HYPERLINK("https://www.nba.com/game/...-vs-...-0022300982/play-by-play?watchFullGame=true", "LAC vs ATL - Q1 03:03.00")</f>
        <v>LAC vs ATL - Q1 03:03.00</v>
      </c>
      <c r="L3421">
        <v>12.31</v>
      </c>
      <c r="M3421">
        <v>82.57</v>
      </c>
      <c r="N3421">
        <v>60.54</v>
      </c>
      <c r="O3421">
        <v>53</v>
      </c>
      <c r="P3421">
        <v>111</v>
      </c>
    </row>
    <row r="3422" spans="1:16" x14ac:dyDescent="0.25">
      <c r="A3422">
        <v>22300280</v>
      </c>
      <c r="B3422">
        <v>2023</v>
      </c>
      <c r="C3422" t="s">
        <v>32</v>
      </c>
      <c r="D3422" t="s">
        <v>19</v>
      </c>
      <c r="E3422">
        <v>38</v>
      </c>
      <c r="F3422">
        <v>53</v>
      </c>
      <c r="G3422">
        <v>2</v>
      </c>
      <c r="H3422" s="1">
        <v>3.6226851851851854E-3</v>
      </c>
      <c r="I3422" t="s">
        <v>23</v>
      </c>
      <c r="J3422" s="2" t="str">
        <f>HYPERLINK("https://www.nba.com/stats/events?CFID=&amp;CFPARAMS=&amp;GameEventID=241&amp;GameID=0022300280&amp;Season=2023-24&amp;flag=1&amp;title=Leonard%2016'%20pullup%20Jump%20Shot%20(7%20PTS)", "16' pullup Jump Shot (7 PTS)")</f>
        <v>16' pullup Jump Shot (7 PTS)</v>
      </c>
      <c r="K3422" s="2" t="str">
        <f>HYPERLINK("https://www.nba.com/game/...-vs-...-0022300280/play-by-play?watchFullGame=true", "LAC vs GSW - Q2 05:13.00")</f>
        <v>LAC vs GSW - Q2 05:13.00</v>
      </c>
      <c r="L3422">
        <v>16.07</v>
      </c>
      <c r="M3422">
        <v>21.73</v>
      </c>
      <c r="N3422">
        <v>39.46</v>
      </c>
      <c r="O3422">
        <v>53</v>
      </c>
      <c r="P3422">
        <v>152</v>
      </c>
    </row>
    <row r="3423" spans="1:16" x14ac:dyDescent="0.25">
      <c r="A3423">
        <v>21400853</v>
      </c>
      <c r="B3423">
        <v>2014</v>
      </c>
      <c r="C3423" t="s">
        <v>16</v>
      </c>
      <c r="D3423" t="s">
        <v>19</v>
      </c>
      <c r="E3423">
        <v>46</v>
      </c>
      <c r="F3423">
        <v>35</v>
      </c>
      <c r="G3423">
        <v>2</v>
      </c>
      <c r="H3423" s="1">
        <v>3.7962962962962963E-3</v>
      </c>
      <c r="I3423" t="s">
        <v>18</v>
      </c>
      <c r="J3423" s="2" t="str">
        <f>HYPERLINK("https://www.nba.com/stats/events?CFID=&amp;CFPARAMS=&amp;GameEventID=148&amp;GameID=0021400853&amp;Season=2014-15&amp;flag=1&amp;title=Leonard%2024'%203PT%20Jump%20Shot%20(3%20PTS)%20(Baynes%201%20AST)", "Leonard 24' 3PT Jump Shot (3 PTS) (Baynes 1 AST)")</f>
        <v>Leonard 24' 3PT Jump Shot (3 PTS) (Baynes 1 AST)</v>
      </c>
      <c r="K3423" s="2" t="str">
        <f>HYPERLINK("https://www.nba.com/game/...-vs-...-0021400853/play-by-play?watchFullGame=true", "SAS vs POR - Q2 05:28.00")</f>
        <v>SAS vs POR - Q2 05:28.00</v>
      </c>
      <c r="L3423">
        <v>24</v>
      </c>
      <c r="M3423">
        <v>53</v>
      </c>
      <c r="N3423">
        <v>238</v>
      </c>
      <c r="O3423">
        <v>53</v>
      </c>
      <c r="P3423">
        <v>238</v>
      </c>
    </row>
    <row r="3424" spans="1:16" x14ac:dyDescent="0.25">
      <c r="A3424">
        <v>21500790</v>
      </c>
      <c r="B3424">
        <v>2015</v>
      </c>
      <c r="C3424" t="s">
        <v>16</v>
      </c>
      <c r="D3424" t="s">
        <v>19</v>
      </c>
      <c r="E3424">
        <v>89</v>
      </c>
      <c r="F3424">
        <v>86</v>
      </c>
      <c r="G3424">
        <v>4</v>
      </c>
      <c r="H3424" s="1">
        <v>3.5416666666666665E-3</v>
      </c>
      <c r="I3424" t="s">
        <v>18</v>
      </c>
      <c r="J3424" s="2" t="str">
        <f>HYPERLINK("https://www.nba.com/stats/events?CFID=&amp;CFPARAMS=&amp;GameEventID=447&amp;GameID=0021500790&amp;Season=2015-16&amp;flag=1&amp;title=Leonard%2025'%203PT%20Jump%20Shot%20(25%20PTS)%20(Green%202%20AST)", "Leonard 25' 3PT Jump Shot (25 PTS) (Green 2 AST)")</f>
        <v>Leonard 25' 3PT Jump Shot (25 PTS) (Green 2 AST)</v>
      </c>
      <c r="K3424" s="2" t="str">
        <f>HYPERLINK("https://www.nba.com/game/...-vs-...-0021500790/play-by-play?watchFullGame=true", "SAS vs ORL - Q4 05:06.00")</f>
        <v>SAS vs ORL - Q4 05:06.00</v>
      </c>
      <c r="L3424">
        <v>25</v>
      </c>
      <c r="M3424">
        <v>53</v>
      </c>
      <c r="N3424">
        <v>242</v>
      </c>
      <c r="O3424">
        <v>53</v>
      </c>
      <c r="P3424">
        <v>242</v>
      </c>
    </row>
    <row r="3425" spans="1:16" x14ac:dyDescent="0.25">
      <c r="A3425">
        <v>41500231</v>
      </c>
      <c r="B3425" t="s">
        <v>25</v>
      </c>
      <c r="C3425" t="s">
        <v>16</v>
      </c>
      <c r="D3425" t="s">
        <v>19</v>
      </c>
      <c r="E3425">
        <v>56</v>
      </c>
      <c r="F3425">
        <v>28</v>
      </c>
      <c r="G3425">
        <v>2</v>
      </c>
      <c r="H3425" s="1">
        <v>5.138888888888889E-3</v>
      </c>
      <c r="I3425" t="s">
        <v>18</v>
      </c>
      <c r="J3425" s="2" t="str">
        <f>HYPERLINK("https://www.nba.com/stats/events?CFID=&amp;CFPARAMS=&amp;GameEventID=172&amp;GameID=0041500231&amp;Season=2015-16&amp;flag=1&amp;title=Leonard%2025'%203PT%20Jump%20Shot%20(15%20PTS)%20(Diaw%202%20AST)", "Leonard 25' 3PT Jump Shot (15 PTS) (Diaw 2 AST)")</f>
        <v>Leonard 25' 3PT Jump Shot (15 PTS) (Diaw 2 AST)</v>
      </c>
      <c r="K3425" s="2" t="str">
        <f>HYPERLINK("https://www.nba.com/game/...-vs-...-0041500231/play-by-play?watchFullGame=true", "SAS vs OKC - Q2 07:24.00")</f>
        <v>SAS vs OKC - Q2 07:24.00</v>
      </c>
      <c r="L3425">
        <v>25</v>
      </c>
      <c r="M3425">
        <v>53</v>
      </c>
      <c r="N3425">
        <v>249</v>
      </c>
      <c r="O3425">
        <v>53</v>
      </c>
      <c r="P3425">
        <v>249</v>
      </c>
    </row>
    <row r="3426" spans="1:16" x14ac:dyDescent="0.25">
      <c r="A3426">
        <v>21300604</v>
      </c>
      <c r="B3426">
        <v>2013</v>
      </c>
      <c r="C3426" t="s">
        <v>32</v>
      </c>
      <c r="D3426" t="s">
        <v>38</v>
      </c>
      <c r="E3426">
        <v>2</v>
      </c>
      <c r="F3426">
        <v>0</v>
      </c>
      <c r="G3426">
        <v>1</v>
      </c>
      <c r="H3426" s="1">
        <v>8.0092592592592594E-3</v>
      </c>
      <c r="I3426" t="s">
        <v>18</v>
      </c>
      <c r="J3426" s="2" t="str">
        <f>HYPERLINK("https://www.nba.com/stats/events?CFID=&amp;CFPARAMS=&amp;GameEventID=4&amp;GameID=0021300604&amp;Season=2013-14&amp;flag=1&amp;title=Leonard%205'%20Jump%20Bank%20Shot%20(2%20PTS)", "Leonard 5' Jump Bank Shot (2 PTS)")</f>
        <v>Leonard 5' Jump Bank Shot (2 PTS)</v>
      </c>
      <c r="K3426" s="2" t="str">
        <f>HYPERLINK("https://www.nba.com/game/...-vs-...-0021300604/play-by-play?watchFullGame=true", "SAS vs MIL - Q1 11:32.00")</f>
        <v>SAS vs MIL - Q1 11:32.00</v>
      </c>
      <c r="L3426">
        <v>5</v>
      </c>
      <c r="M3426">
        <v>54</v>
      </c>
      <c r="N3426">
        <v>7</v>
      </c>
      <c r="O3426">
        <v>54</v>
      </c>
      <c r="P3426">
        <v>7</v>
      </c>
    </row>
    <row r="3427" spans="1:16" x14ac:dyDescent="0.25">
      <c r="A3427">
        <v>21400241</v>
      </c>
      <c r="B3427">
        <v>2014</v>
      </c>
      <c r="C3427" t="s">
        <v>32</v>
      </c>
      <c r="D3427" t="s">
        <v>17</v>
      </c>
      <c r="E3427">
        <v>69</v>
      </c>
      <c r="F3427">
        <v>73</v>
      </c>
      <c r="G3427">
        <v>3</v>
      </c>
      <c r="H3427" s="1">
        <v>1.6319444444444445E-3</v>
      </c>
      <c r="I3427" t="s">
        <v>18</v>
      </c>
      <c r="J3427" s="2" t="str">
        <f>HYPERLINK("https://www.nba.com/stats/events?CFID=&amp;CFPARAMS=&amp;GameEventID=327&amp;GameID=0021400241&amp;Season=2014-15&amp;flag=1&amp;title=Leonard%207'%20Running%20Jump%20Shot%20(12%20PTS)", "Leonard 7' Running Jump Shot (12 PTS)")</f>
        <v>Leonard 7' Running Jump Shot (12 PTS)</v>
      </c>
      <c r="K3427" s="2" t="str">
        <f>HYPERLINK("https://www.nba.com/game/...-vs-...-0021400241/play-by-play?watchFullGame=true", "SAS vs BOS - Q3 02:21.00")</f>
        <v>SAS vs BOS - Q3 02:21.00</v>
      </c>
      <c r="L3427">
        <v>7</v>
      </c>
      <c r="M3427">
        <v>54</v>
      </c>
      <c r="N3427">
        <v>37</v>
      </c>
      <c r="O3427">
        <v>54</v>
      </c>
      <c r="P3427">
        <v>37</v>
      </c>
    </row>
    <row r="3428" spans="1:16" x14ac:dyDescent="0.25">
      <c r="A3428">
        <v>22200438</v>
      </c>
      <c r="B3428">
        <v>2022</v>
      </c>
      <c r="C3428" t="s">
        <v>32</v>
      </c>
      <c r="D3428" t="s">
        <v>19</v>
      </c>
      <c r="E3428">
        <v>34</v>
      </c>
      <c r="F3428">
        <v>45</v>
      </c>
      <c r="G3428">
        <v>2</v>
      </c>
      <c r="H3428" s="1">
        <v>4.6296296296296294E-3</v>
      </c>
      <c r="I3428" t="s">
        <v>23</v>
      </c>
      <c r="J3428" s="2" t="str">
        <f>HYPERLINK("https://www.nba.com/stats/events?CFID=&amp;CFPARAMS=&amp;GameEventID=210&amp;GameID=0022200438&amp;Season=2022-23&amp;flag=1&amp;title=Leonard%207'%20step%20back%20Jump%20Shot%20(5%20PTS)", "7' step back Jump Shot (5 PTS)")</f>
        <v>7' step back Jump Shot (5 PTS)</v>
      </c>
      <c r="K3428" s="2" t="str">
        <f>HYPERLINK("https://www.nba.com/game/...-vs-...-0022200438/play-by-play?watchFullGame=true", "LAC vs WAS - Q2 06:40.00")</f>
        <v>LAC vs WAS - Q2 06:40.00</v>
      </c>
      <c r="L3428">
        <v>7.05</v>
      </c>
      <c r="M3428">
        <v>10.43</v>
      </c>
      <c r="N3428">
        <v>39.22</v>
      </c>
      <c r="O3428">
        <v>54</v>
      </c>
      <c r="P3428">
        <v>46</v>
      </c>
    </row>
    <row r="3429" spans="1:16" x14ac:dyDescent="0.25">
      <c r="A3429">
        <v>41200406</v>
      </c>
      <c r="B3429" t="s">
        <v>27</v>
      </c>
      <c r="C3429" t="s">
        <v>32</v>
      </c>
      <c r="D3429" t="s">
        <v>19</v>
      </c>
      <c r="E3429">
        <v>77</v>
      </c>
      <c r="F3429">
        <v>82</v>
      </c>
      <c r="G3429">
        <v>4</v>
      </c>
      <c r="H3429" s="1">
        <v>5.9490740740740745E-3</v>
      </c>
      <c r="I3429" t="s">
        <v>18</v>
      </c>
      <c r="J3429" s="2" t="str">
        <f>HYPERLINK("https://www.nba.com/stats/events?CFID=&amp;CFPARAMS=&amp;GameEventID=392&amp;GameID=0041200406&amp;Season=2012-13&amp;flag=1&amp;title=Leonard%209'%20Jump%20Shot%20(15%20PTS)", "Leonard 9' Jump Shot (15 PTS)")</f>
        <v>Leonard 9' Jump Shot (15 PTS)</v>
      </c>
      <c r="K3429" s="2" t="str">
        <f>HYPERLINK("https://www.nba.com/game/...-vs-...-0041200406/play-by-play?watchFullGame=true", "SAS vs MIA - Q4 08:34.00")</f>
        <v>SAS vs MIA - Q4 08:34.00</v>
      </c>
      <c r="L3429">
        <v>9</v>
      </c>
      <c r="M3429">
        <v>54</v>
      </c>
      <c r="N3429">
        <v>67</v>
      </c>
      <c r="O3429">
        <v>54</v>
      </c>
      <c r="P3429">
        <v>67</v>
      </c>
    </row>
    <row r="3430" spans="1:16" x14ac:dyDescent="0.25">
      <c r="A3430">
        <v>22200719</v>
      </c>
      <c r="B3430">
        <v>2022</v>
      </c>
      <c r="C3430" t="s">
        <v>32</v>
      </c>
      <c r="D3430" t="s">
        <v>19</v>
      </c>
      <c r="E3430">
        <v>106</v>
      </c>
      <c r="F3430">
        <v>123</v>
      </c>
      <c r="G3430">
        <v>4</v>
      </c>
      <c r="H3430" s="1">
        <v>3.1134259259259257E-3</v>
      </c>
      <c r="I3430" t="s">
        <v>23</v>
      </c>
      <c r="J3430" s="2" t="str">
        <f>HYPERLINK("https://www.nba.com/stats/events?CFID=&amp;CFPARAMS=&amp;GameEventID=587&amp;GameID=0022200719&amp;Season=2022-23&amp;flag=1&amp;title=Leonard%2011'%20pullup%20Jump%20Shot%20(25%20PTS)", "11' pullup Jump Shot (25 PTS)")</f>
        <v>11' pullup Jump Shot (25 PTS)</v>
      </c>
      <c r="K3430" s="2" t="str">
        <f>HYPERLINK("https://www.nba.com/game/...-vs-...-0022200719/play-by-play?watchFullGame=true", "LAC vs LAL - Q4 04:29.00")</f>
        <v>LAC vs LAL - Q4 04:29.00</v>
      </c>
      <c r="L3430">
        <v>11.13</v>
      </c>
      <c r="M3430">
        <v>15.95</v>
      </c>
      <c r="N3430">
        <v>39.22</v>
      </c>
      <c r="O3430">
        <v>54</v>
      </c>
      <c r="P3430">
        <v>97</v>
      </c>
    </row>
    <row r="3431" spans="1:16" x14ac:dyDescent="0.25">
      <c r="A3431">
        <v>22200668</v>
      </c>
      <c r="B3431">
        <v>2022</v>
      </c>
      <c r="C3431" t="s">
        <v>32</v>
      </c>
      <c r="D3431" t="s">
        <v>19</v>
      </c>
      <c r="E3431">
        <v>13</v>
      </c>
      <c r="F3431">
        <v>14</v>
      </c>
      <c r="G3431">
        <v>1</v>
      </c>
      <c r="H3431" s="1">
        <v>4.9884259259259257E-3</v>
      </c>
      <c r="I3431" t="s">
        <v>23</v>
      </c>
      <c r="J3431" s="2" t="str">
        <f>HYPERLINK("https://www.nba.com/stats/events?CFID=&amp;CFPARAMS=&amp;GameEventID=52&amp;GameID=0022200668&amp;Season=2022-23&amp;flag=1&amp;title=Leonard%2011'%20step%20back%20Jump%20Shot%20(2%20PTS)", "11' step back Jump Shot (2 PTS)")</f>
        <v>11' step back Jump Shot (2 PTS)</v>
      </c>
      <c r="K3431" s="2" t="str">
        <f>HYPERLINK("https://www.nba.com/game/...-vs-...-0022200668/play-by-play?watchFullGame=true", "LAC vs PHI - Q1 07:11.00")</f>
        <v>LAC vs PHI - Q1 07:11.00</v>
      </c>
      <c r="L3431">
        <v>11.38</v>
      </c>
      <c r="M3431">
        <v>83.75</v>
      </c>
      <c r="N3431">
        <v>60.78</v>
      </c>
      <c r="O3431">
        <v>54</v>
      </c>
      <c r="P3431">
        <v>100</v>
      </c>
    </row>
    <row r="3432" spans="1:16" x14ac:dyDescent="0.25">
      <c r="A3432">
        <v>22301043</v>
      </c>
      <c r="B3432">
        <v>2023</v>
      </c>
      <c r="C3432" t="s">
        <v>32</v>
      </c>
      <c r="D3432" t="s">
        <v>19</v>
      </c>
      <c r="E3432">
        <v>25</v>
      </c>
      <c r="F3432">
        <v>17</v>
      </c>
      <c r="G3432">
        <v>1</v>
      </c>
      <c r="H3432" s="1">
        <v>2.5694444444444445E-3</v>
      </c>
      <c r="I3432" t="s">
        <v>23</v>
      </c>
      <c r="J3432" s="2" t="str">
        <f>HYPERLINK("https://www.nba.com/stats/events?CFID=&amp;CFPARAMS=&amp;GameEventID=98&amp;GameID=0022301043&amp;Season=2023-24&amp;flag=1&amp;title=Leonard%2011'%20pullup%20Jump%20Shot%20(2%20PTS)", "11' pullup Jump Shot (2 PTS)")</f>
        <v>11' pullup Jump Shot (2 PTS)</v>
      </c>
      <c r="K3432" s="2" t="str">
        <f>HYPERLINK("https://www.nba.com/game/...-vs-...-0022301043/play-by-play?watchFullGame=true", "LAC vs IND - Q1 03:42.00")</f>
        <v>LAC vs IND - Q1 03:42.00</v>
      </c>
      <c r="L3432">
        <v>11.68</v>
      </c>
      <c r="M3432">
        <v>16.61</v>
      </c>
      <c r="N3432">
        <v>39.22</v>
      </c>
      <c r="O3432">
        <v>54</v>
      </c>
      <c r="P3432">
        <v>104</v>
      </c>
    </row>
    <row r="3433" spans="1:16" x14ac:dyDescent="0.25">
      <c r="A3433">
        <v>22300944</v>
      </c>
      <c r="B3433">
        <v>2023</v>
      </c>
      <c r="C3433" t="s">
        <v>32</v>
      </c>
      <c r="D3433" t="s">
        <v>19</v>
      </c>
      <c r="E3433">
        <v>18</v>
      </c>
      <c r="F3433">
        <v>8</v>
      </c>
      <c r="G3433">
        <v>1</v>
      </c>
      <c r="H3433" s="1">
        <v>3.9120370370370368E-3</v>
      </c>
      <c r="I3433" t="s">
        <v>23</v>
      </c>
      <c r="J3433" s="2" t="str">
        <f>HYPERLINK("https://www.nba.com/stats/events?CFID=&amp;CFPARAMS=&amp;GameEventID=69&amp;GameID=0022300944&amp;Season=2023-24&amp;flag=1&amp;title=Leonard%2011'%20driving%20floating%20Jump%20Shot%20(2%20PTS)%20(P.%20George%201%20AST)", "11' driving floating Jump Shot (2 PTS) (P. George 1 AST)")</f>
        <v>11' driving floating Jump Shot (2 PTS) (P. George 1 AST)</v>
      </c>
      <c r="K3433" s="2" t="str">
        <f>HYPERLINK("https://www.nba.com/game/...-vs-...-0022300944/play-by-play?watchFullGame=true", "LAC vs MIN - Q1 05:38.00")</f>
        <v>LAC vs MIN - Q1 05:38.00</v>
      </c>
      <c r="L3433">
        <v>11.78</v>
      </c>
      <c r="M3433">
        <v>16.739999999999998</v>
      </c>
      <c r="N3433">
        <v>39.22</v>
      </c>
      <c r="O3433">
        <v>54</v>
      </c>
      <c r="P3433">
        <v>105</v>
      </c>
    </row>
    <row r="3434" spans="1:16" x14ac:dyDescent="0.25">
      <c r="A3434">
        <v>22400553</v>
      </c>
      <c r="B3434">
        <v>2024</v>
      </c>
      <c r="C3434" t="s">
        <v>32</v>
      </c>
      <c r="D3434" t="s">
        <v>19</v>
      </c>
      <c r="E3434">
        <v>14</v>
      </c>
      <c r="F3434">
        <v>18</v>
      </c>
      <c r="G3434">
        <v>1</v>
      </c>
      <c r="H3434" s="1">
        <v>4.9421296296296297E-3</v>
      </c>
      <c r="I3434" t="s">
        <v>23</v>
      </c>
      <c r="J3434" s="2" t="str">
        <f>HYPERLINK("https://www.nba.com/stats/events?CFID=&amp;CFPARAMS=&amp;GameEventID=53&amp;GameID=0022400553&amp;Season=2024-25&amp;flag=1&amp;title=Leonard%2013'%20pullup%20Jump%20Shot%20(2%20PTS)%20(J.%20Harden%204%20AST)", "13' pullup Jump Shot (2 PTS) (J. Harden 4 AST)")</f>
        <v>13' pullup Jump Shot (2 PTS) (J. Harden 4 AST)</v>
      </c>
      <c r="K3434" s="2" t="str">
        <f>HYPERLINK("https://www.nba.com/game/...-vs-...-0022400553/play-by-play?watchFullGame=true", "LAC vs MIA - Q1 07:07.00")</f>
        <v>LAC vs MIA - Q1 07:07.00</v>
      </c>
      <c r="L3434">
        <v>13.13</v>
      </c>
      <c r="M3434">
        <v>81.69</v>
      </c>
      <c r="N3434">
        <v>60.78</v>
      </c>
      <c r="O3434">
        <v>54</v>
      </c>
      <c r="P3434">
        <v>120</v>
      </c>
    </row>
    <row r="3435" spans="1:16" x14ac:dyDescent="0.25">
      <c r="A3435">
        <v>22201129</v>
      </c>
      <c r="B3435">
        <v>2022</v>
      </c>
      <c r="C3435" t="s">
        <v>32</v>
      </c>
      <c r="D3435" t="s">
        <v>19</v>
      </c>
      <c r="E3435">
        <v>115</v>
      </c>
      <c r="F3435">
        <v>93</v>
      </c>
      <c r="G3435">
        <v>4</v>
      </c>
      <c r="H3435" s="1">
        <v>3.9583333333333337E-3</v>
      </c>
      <c r="I3435" t="s">
        <v>23</v>
      </c>
      <c r="J3435" s="2" t="str">
        <f>HYPERLINK("https://www.nba.com/stats/events?CFID=&amp;CFPARAMS=&amp;GameEventID=521&amp;GameID=0022201129&amp;Season=2022-23&amp;flag=1&amp;title=Leonard%2013'%20pullup%20Jump%20Shot%20(20%20PTS)%20(N.%20Batum%205%20AST)", "13' pullup Jump Shot (20 PTS) (N. Batum 5 AST)")</f>
        <v>13' pullup Jump Shot (20 PTS) (N. Batum 5 AST)</v>
      </c>
      <c r="K3435" s="2" t="str">
        <f>HYPERLINK("https://www.nba.com/game/...-vs-...-0022201129/play-by-play?watchFullGame=true", "LAC vs CHI - Q4 05:42.00")</f>
        <v>LAC vs CHI - Q4 05:42.00</v>
      </c>
      <c r="L3435">
        <v>13.49</v>
      </c>
      <c r="M3435">
        <v>81.260000000000005</v>
      </c>
      <c r="N3435">
        <v>60.78</v>
      </c>
      <c r="O3435">
        <v>54</v>
      </c>
      <c r="P3435">
        <v>124</v>
      </c>
    </row>
    <row r="3436" spans="1:16" x14ac:dyDescent="0.25">
      <c r="A3436">
        <v>21900115</v>
      </c>
      <c r="B3436">
        <v>2019</v>
      </c>
      <c r="C3436" t="s">
        <v>32</v>
      </c>
      <c r="D3436" t="s">
        <v>22</v>
      </c>
      <c r="E3436">
        <v>94</v>
      </c>
      <c r="F3436">
        <v>93</v>
      </c>
      <c r="G3436">
        <v>4</v>
      </c>
      <c r="H3436" s="1">
        <v>1.8518518518518519E-3</v>
      </c>
      <c r="I3436" t="s">
        <v>23</v>
      </c>
      <c r="J3436" s="2" t="str">
        <f>HYPERLINK("https://www.nba.com/stats/events?CFID=&amp;CFPARAMS=&amp;GameEventID=637&amp;GameID=0021900115&amp;Season=2019-20&amp;flag=1&amp;title=[LAC]%20Leonard%20jumpshot:%20Made%20(21%20PTS)", "[LAC] Leonard jumpshot: Made (21 PTS)")</f>
        <v>[LAC] Leonard jumpshot: Made (21 PTS)</v>
      </c>
      <c r="K3436" s="2" t="str">
        <f>HYPERLINK("https://www.nba.com/game/...-vs-...-0021900115/play-by-play?watchFullGame=true", "LAC vs POR - Q4 02:40.00")</f>
        <v>LAC vs POR - Q4 02:40.00</v>
      </c>
      <c r="L3436">
        <v>15.02</v>
      </c>
      <c r="M3436">
        <v>80.08</v>
      </c>
      <c r="N3436">
        <v>60.72</v>
      </c>
      <c r="O3436">
        <v>54</v>
      </c>
      <c r="P3436">
        <v>135</v>
      </c>
    </row>
    <row r="3437" spans="1:16" x14ac:dyDescent="0.25">
      <c r="A3437">
        <v>21900406</v>
      </c>
      <c r="B3437">
        <v>2019</v>
      </c>
      <c r="C3437" t="s">
        <v>32</v>
      </c>
      <c r="D3437" t="s">
        <v>22</v>
      </c>
      <c r="E3437">
        <v>10</v>
      </c>
      <c r="F3437">
        <v>10</v>
      </c>
      <c r="G3437">
        <v>1</v>
      </c>
      <c r="H3437" s="1">
        <v>5.7870370370370367E-3</v>
      </c>
      <c r="I3437" t="s">
        <v>23</v>
      </c>
      <c r="J3437" s="2" t="str">
        <f>HYPERLINK("https://www.nba.com/stats/events?CFID=&amp;CFPARAMS=&amp;GameEventID=35&amp;GameID=0021900406&amp;Season=2019-20&amp;flag=1&amp;title=Leonard%2017'%20jumpshot%20(2%20PTS)", "17' jumpshot (2 PTS)")</f>
        <v>17' jumpshot (2 PTS)</v>
      </c>
      <c r="K3437" s="2" t="str">
        <f>HYPERLINK("https://www.nba.com/game/...-vs-...-0021900406/play-by-play?watchFullGame=true", "LAC vs PHX - Q1 08:20.00")</f>
        <v>LAC vs PHX - Q1 08:20.00</v>
      </c>
      <c r="L3437">
        <v>16.87</v>
      </c>
      <c r="M3437">
        <v>21.99</v>
      </c>
      <c r="N3437">
        <v>39.15</v>
      </c>
      <c r="O3437">
        <v>54</v>
      </c>
      <c r="P3437">
        <v>154</v>
      </c>
    </row>
    <row r="3438" spans="1:16" x14ac:dyDescent="0.25">
      <c r="A3438">
        <v>22300799</v>
      </c>
      <c r="B3438">
        <v>2023</v>
      </c>
      <c r="C3438" t="s">
        <v>32</v>
      </c>
      <c r="D3438" t="s">
        <v>19</v>
      </c>
      <c r="E3438">
        <v>16</v>
      </c>
      <c r="F3438">
        <v>23</v>
      </c>
      <c r="G3438">
        <v>1</v>
      </c>
      <c r="H3438" s="1">
        <v>3.3680555555555556E-3</v>
      </c>
      <c r="I3438" t="s">
        <v>23</v>
      </c>
      <c r="J3438" s="2" t="str">
        <f>HYPERLINK("https://www.nba.com/stats/events?CFID=&amp;CFPARAMS=&amp;GameEventID=76&amp;GameID=0022300799&amp;Season=2023-24&amp;flag=1&amp;title=Leonard%2016'%20turnaround%20fadeaway%20Jump%20Shot%20(4%20PTS)", "16' turnaround fadeaway Jump Shot (4 PTS)")</f>
        <v>16' turnaround fadeaway Jump Shot (4 PTS)</v>
      </c>
      <c r="K3438" s="2" t="str">
        <f>HYPERLINK("https://www.nba.com/game/...-vs-...-0022300799/play-by-play?watchFullGame=true", "LAC vs OKC - Q1 04:51.00")</f>
        <v>LAC vs OKC - Q1 04:51.00</v>
      </c>
      <c r="L3438">
        <v>16.72</v>
      </c>
      <c r="M3438">
        <v>22.42</v>
      </c>
      <c r="N3438">
        <v>39.22</v>
      </c>
      <c r="O3438">
        <v>54</v>
      </c>
      <c r="P3438">
        <v>158</v>
      </c>
    </row>
    <row r="3439" spans="1:16" x14ac:dyDescent="0.25">
      <c r="A3439">
        <v>22200766</v>
      </c>
      <c r="B3439">
        <v>2022</v>
      </c>
      <c r="C3439" t="s">
        <v>32</v>
      </c>
      <c r="D3439" t="s">
        <v>19</v>
      </c>
      <c r="E3439">
        <v>48</v>
      </c>
      <c r="F3439">
        <v>40</v>
      </c>
      <c r="G3439">
        <v>2</v>
      </c>
      <c r="H3439" s="1">
        <v>3.414351851851852E-3</v>
      </c>
      <c r="I3439" t="s">
        <v>23</v>
      </c>
      <c r="J3439" s="2" t="str">
        <f>HYPERLINK("https://www.nba.com/stats/events?CFID=&amp;CFPARAMS=&amp;GameEventID=233&amp;GameID=0022200766&amp;Season=2022-23&amp;flag=1&amp;title=Leonard%2018'%20pullup%20Jump%20Shot%20(9%20PTS)", "18' pullup Jump Shot (9 PTS)")</f>
        <v>18' pullup Jump Shot (9 PTS)</v>
      </c>
      <c r="K3439" s="2" t="str">
        <f>HYPERLINK("https://www.nba.com/game/...-vs-...-0022200766/play-by-play?watchFullGame=true", "LAC vs CHI - Q2 04:55.00")</f>
        <v>LAC vs CHI - Q2 04:55.00</v>
      </c>
      <c r="L3439">
        <v>18.72</v>
      </c>
      <c r="M3439">
        <v>24.66</v>
      </c>
      <c r="N3439">
        <v>39.22</v>
      </c>
      <c r="O3439">
        <v>54</v>
      </c>
      <c r="P3439">
        <v>179</v>
      </c>
    </row>
    <row r="3440" spans="1:16" x14ac:dyDescent="0.25">
      <c r="A3440">
        <v>21900516</v>
      </c>
      <c r="B3440">
        <v>2019</v>
      </c>
      <c r="C3440" t="s">
        <v>32</v>
      </c>
      <c r="D3440" t="s">
        <v>22</v>
      </c>
      <c r="E3440">
        <v>85</v>
      </c>
      <c r="F3440">
        <v>73</v>
      </c>
      <c r="G3440">
        <v>3</v>
      </c>
      <c r="H3440" s="1">
        <v>4.2129629629629626E-3</v>
      </c>
      <c r="I3440" t="s">
        <v>23</v>
      </c>
      <c r="J3440" s="2" t="str">
        <f>HYPERLINK("https://www.nba.com/stats/events?CFID=&amp;CFPARAMS=&amp;GameEventID=442&amp;GameID=0021900516&amp;Season=2019-20&amp;flag=1&amp;title=Leonard%2021'%20jumpshot%20(18%20PTS)", "21' jumpshot (18 PTS)")</f>
        <v>21' jumpshot (18 PTS)</v>
      </c>
      <c r="K3440" s="2" t="str">
        <f>HYPERLINK("https://www.nba.com/game/...-vs-...-0021900516/play-by-play?watchFullGame=true", "LAC vs DET - Q3 06:04.00")</f>
        <v>LAC vs DET - Q3 06:04.00</v>
      </c>
      <c r="L3440">
        <v>21.25</v>
      </c>
      <c r="M3440">
        <v>26.86</v>
      </c>
      <c r="N3440">
        <v>39.15</v>
      </c>
      <c r="O3440">
        <v>54</v>
      </c>
      <c r="P3440">
        <v>200</v>
      </c>
    </row>
    <row r="3441" spans="1:16" x14ac:dyDescent="0.25">
      <c r="A3441">
        <v>21600782</v>
      </c>
      <c r="B3441">
        <v>2016</v>
      </c>
      <c r="C3441" t="s">
        <v>32</v>
      </c>
      <c r="D3441" t="s">
        <v>33</v>
      </c>
      <c r="E3441">
        <v>13</v>
      </c>
      <c r="F3441">
        <v>19</v>
      </c>
      <c r="G3441">
        <v>1</v>
      </c>
      <c r="H3441" s="1">
        <v>1.8518518518518519E-3</v>
      </c>
      <c r="I3441" t="s">
        <v>18</v>
      </c>
      <c r="J3441" s="2" t="str">
        <f>HYPERLINK("https://www.nba.com/stats/events?CFID=&amp;CFPARAMS=&amp;GameEventID=90&amp;GameID=0021600782&amp;Season=2016-17&amp;flag=1&amp;title=Leonard%206'%20Fadeaway%20Jumper%20(2%20PTS)", "Leonard 6' Fadeaway Jumper (2 PTS)")</f>
        <v>Leonard 6' Fadeaway Jumper (2 PTS)</v>
      </c>
      <c r="K3441" s="2" t="str">
        <f>HYPERLINK("https://www.nba.com/game/...-vs-...-0021600782/play-by-play?watchFullGame=true", "SAS vs PHI - Q1 02:40.00")</f>
        <v>SAS vs PHI - Q1 02:40.00</v>
      </c>
      <c r="L3441">
        <v>6</v>
      </c>
      <c r="M3441">
        <v>55</v>
      </c>
      <c r="N3441">
        <v>-15</v>
      </c>
      <c r="O3441">
        <v>55</v>
      </c>
      <c r="P3441">
        <v>-15</v>
      </c>
    </row>
    <row r="3442" spans="1:16" x14ac:dyDescent="0.25">
      <c r="A3442">
        <v>22300646</v>
      </c>
      <c r="B3442">
        <v>2023</v>
      </c>
      <c r="C3442" t="s">
        <v>32</v>
      </c>
      <c r="D3442" t="s">
        <v>19</v>
      </c>
      <c r="E3442">
        <v>13</v>
      </c>
      <c r="F3442">
        <v>21</v>
      </c>
      <c r="G3442">
        <v>1</v>
      </c>
      <c r="H3442" s="1">
        <v>1.2268518518518518E-3</v>
      </c>
      <c r="I3442" t="s">
        <v>23</v>
      </c>
      <c r="J3442" s="2" t="str">
        <f>HYPERLINK("https://www.nba.com/stats/events?CFID=&amp;CFPARAMS=&amp;GameEventID=144&amp;GameID=0022300646&amp;Season=2023-24&amp;flag=1&amp;title=Leonard%206'%20driving%20floating%20Jump%20Shot%20(9%20PTS)%20(N.%20Powell%201%20AST)", "6' driving floating Jump Shot (9 PTS) (N. Powell 1 AST)")</f>
        <v>6' driving floating Jump Shot (9 PTS) (N. Powell 1 AST)</v>
      </c>
      <c r="K3442" s="2" t="str">
        <f>HYPERLINK("https://www.nba.com/game/...-vs-...-0022300646/play-by-play?watchFullGame=true", "LAC vs BOS - Q1 01:46.00")</f>
        <v>LAC vs BOS - Q1 01:46.00</v>
      </c>
      <c r="L3442">
        <v>6.31</v>
      </c>
      <c r="M3442">
        <v>91.15</v>
      </c>
      <c r="N3442">
        <v>61.03</v>
      </c>
      <c r="O3442">
        <v>55</v>
      </c>
      <c r="P3442">
        <v>31</v>
      </c>
    </row>
    <row r="3443" spans="1:16" x14ac:dyDescent="0.25">
      <c r="A3443">
        <v>21601151</v>
      </c>
      <c r="B3443">
        <v>2016</v>
      </c>
      <c r="C3443" t="s">
        <v>32</v>
      </c>
      <c r="D3443" t="s">
        <v>38</v>
      </c>
      <c r="E3443">
        <v>88</v>
      </c>
      <c r="F3443">
        <v>73</v>
      </c>
      <c r="G3443">
        <v>3</v>
      </c>
      <c r="H3443" s="1">
        <v>7.1759259259259259E-4</v>
      </c>
      <c r="I3443" t="s">
        <v>18</v>
      </c>
      <c r="J3443" s="2" t="str">
        <f>HYPERLINK("https://www.nba.com/stats/events?CFID=&amp;CFPARAMS=&amp;GameEventID=328&amp;GameID=0021601151&amp;Season=2016-17&amp;flag=1&amp;title=Leonard%206'%20Jump%20Bank%20Shot%20(25%20PTS)", "Leonard 6' Jump Bank Shot (25 PTS)")</f>
        <v>Leonard 6' Jump Bank Shot (25 PTS)</v>
      </c>
      <c r="K3443" s="2" t="str">
        <f>HYPERLINK("https://www.nba.com/game/...-vs-...-0021601151/play-by-play?watchFullGame=true", "SAS vs UTA - Q3 01:02.00")</f>
        <v>SAS vs UTA - Q3 01:02.00</v>
      </c>
      <c r="L3443">
        <v>6</v>
      </c>
      <c r="M3443">
        <v>55</v>
      </c>
      <c r="N3443">
        <v>33</v>
      </c>
      <c r="O3443">
        <v>55</v>
      </c>
      <c r="P3443">
        <v>33</v>
      </c>
    </row>
    <row r="3444" spans="1:16" x14ac:dyDescent="0.25">
      <c r="A3444">
        <v>22001019</v>
      </c>
      <c r="B3444">
        <v>2020</v>
      </c>
      <c r="C3444" t="s">
        <v>32</v>
      </c>
      <c r="D3444" t="s">
        <v>19</v>
      </c>
      <c r="E3444">
        <v>19</v>
      </c>
      <c r="F3444">
        <v>18</v>
      </c>
      <c r="G3444">
        <v>1</v>
      </c>
      <c r="H3444" s="1">
        <v>1.6666666666666668E-3</v>
      </c>
      <c r="I3444" t="s">
        <v>23</v>
      </c>
      <c r="J3444" s="2" t="str">
        <f>HYPERLINK("https://www.nba.com/stats/events?CFID=&amp;CFPARAMS=&amp;GameEventID=104&amp;GameID=0022001019&amp;Season=2020-21&amp;flag=1&amp;title=Leonard%208'%20turnaround%20Jump%20Shot%20(9%20PTS)", "8' turnaround Jump Shot (9 PTS)")</f>
        <v>8' turnaround Jump Shot (9 PTS)</v>
      </c>
      <c r="K3444" s="2" t="str">
        <f>HYPERLINK("https://www.nba.com/game/...-vs-...-0022001019/play-by-play?watchFullGame=true", "LAC vs NYK - Q1 02:24.00")</f>
        <v>LAC vs NYK - Q1 02:24.00</v>
      </c>
      <c r="L3444">
        <v>8.1999999999999993</v>
      </c>
      <c r="M3444">
        <v>87.99</v>
      </c>
      <c r="N3444">
        <v>61.1</v>
      </c>
      <c r="O3444">
        <v>55</v>
      </c>
      <c r="P3444">
        <v>60</v>
      </c>
    </row>
    <row r="3445" spans="1:16" x14ac:dyDescent="0.25">
      <c r="A3445">
        <v>21600817</v>
      </c>
      <c r="B3445">
        <v>2016</v>
      </c>
      <c r="C3445" t="s">
        <v>32</v>
      </c>
      <c r="D3445" t="s">
        <v>33</v>
      </c>
      <c r="E3445">
        <v>73</v>
      </c>
      <c r="F3445">
        <v>71</v>
      </c>
      <c r="G3445">
        <v>4</v>
      </c>
      <c r="H3445" s="1">
        <v>5.4745370370370373E-3</v>
      </c>
      <c r="I3445" t="s">
        <v>18</v>
      </c>
      <c r="J3445" s="2" t="str">
        <f>HYPERLINK("https://www.nba.com/stats/events?CFID=&amp;CFPARAMS=&amp;GameEventID=411&amp;GameID=0021600817&amp;Season=2016-17&amp;flag=1&amp;title=Leonard%209'%20Fadeaway%20Jumper%20(24%20PTS)", "Leonard 9' Fadeaway Jumper (24 PTS)")</f>
        <v>Leonard 9' Fadeaway Jumper (24 PTS)</v>
      </c>
      <c r="K3445" s="2" t="str">
        <f>HYPERLINK("https://www.nba.com/game/...-vs-...-0021600817/play-by-play?watchFullGame=true", "SAS vs NYK - Q4 07:53.00")</f>
        <v>SAS vs NYK - Q4 07:53.00</v>
      </c>
      <c r="L3445">
        <v>9</v>
      </c>
      <c r="M3445">
        <v>55</v>
      </c>
      <c r="N3445">
        <v>65</v>
      </c>
      <c r="O3445">
        <v>55</v>
      </c>
      <c r="P3445">
        <v>65</v>
      </c>
    </row>
    <row r="3446" spans="1:16" x14ac:dyDescent="0.25">
      <c r="A3446">
        <v>22201069</v>
      </c>
      <c r="B3446">
        <v>2022</v>
      </c>
      <c r="C3446" t="s">
        <v>32</v>
      </c>
      <c r="D3446" t="s">
        <v>19</v>
      </c>
      <c r="E3446">
        <v>77</v>
      </c>
      <c r="F3446">
        <v>86</v>
      </c>
      <c r="G3446">
        <v>3</v>
      </c>
      <c r="H3446" s="1">
        <v>1.8518518518518519E-3</v>
      </c>
      <c r="I3446" t="s">
        <v>23</v>
      </c>
      <c r="J3446" s="2" t="str">
        <f>HYPERLINK("https://www.nba.com/stats/events?CFID=&amp;CFPARAMS=&amp;GameEventID=450&amp;GameID=0022201069&amp;Season=2022-23&amp;flag=1&amp;title=Leonard%2013'%20turnaround%20fadeaway%20Jump%20Shot%20(15%20PTS)", "13' turnaround fadeaway Jump Shot (15 PTS)")</f>
        <v>13' turnaround fadeaway Jump Shot (15 PTS)</v>
      </c>
      <c r="K3446" s="2" t="str">
        <f>HYPERLINK("https://www.nba.com/game/...-vs-...-0022201069/play-by-play?watchFullGame=true", "LAC vs POR - Q3 02:40.00")</f>
        <v>LAC vs POR - Q3 02:40.00</v>
      </c>
      <c r="L3446">
        <v>13.31</v>
      </c>
      <c r="M3446">
        <v>18.48</v>
      </c>
      <c r="N3446">
        <v>38.97</v>
      </c>
      <c r="O3446">
        <v>55</v>
      </c>
      <c r="P3446">
        <v>121</v>
      </c>
    </row>
    <row r="3447" spans="1:16" x14ac:dyDescent="0.25">
      <c r="A3447">
        <v>22200538</v>
      </c>
      <c r="B3447">
        <v>2022</v>
      </c>
      <c r="C3447" t="s">
        <v>32</v>
      </c>
      <c r="D3447" t="s">
        <v>19</v>
      </c>
      <c r="E3447">
        <v>21</v>
      </c>
      <c r="F3447">
        <v>16</v>
      </c>
      <c r="G3447">
        <v>1</v>
      </c>
      <c r="H3447" s="1">
        <v>3.2060185185185186E-3</v>
      </c>
      <c r="I3447" t="s">
        <v>23</v>
      </c>
      <c r="J3447" s="2" t="str">
        <f>HYPERLINK("https://www.nba.com/stats/events?CFID=&amp;CFPARAMS=&amp;GameEventID=75&amp;GameID=0022200538&amp;Season=2022-23&amp;flag=1&amp;title=Leonard%2013'%20fadeaway%20Jump%20Shot%20(2%20PTS)", "13' fadeaway Jump Shot (2 PTS)")</f>
        <v>13' fadeaway Jump Shot (2 PTS)</v>
      </c>
      <c r="K3447" s="2" t="str">
        <f>HYPERLINK("https://www.nba.com/game/...-vs-...-0022200538/play-by-play?watchFullGame=true", "LAC vs IND - Q1 04:37.00")</f>
        <v>LAC vs IND - Q1 04:37.00</v>
      </c>
      <c r="L3447">
        <v>13.73</v>
      </c>
      <c r="M3447">
        <v>81.03</v>
      </c>
      <c r="N3447">
        <v>61.03</v>
      </c>
      <c r="O3447">
        <v>55</v>
      </c>
      <c r="P3447">
        <v>126</v>
      </c>
    </row>
    <row r="3448" spans="1:16" x14ac:dyDescent="0.25">
      <c r="A3448">
        <v>22300309</v>
      </c>
      <c r="B3448">
        <v>2023</v>
      </c>
      <c r="C3448" t="s">
        <v>32</v>
      </c>
      <c r="D3448" t="s">
        <v>19</v>
      </c>
      <c r="E3448">
        <v>24</v>
      </c>
      <c r="F3448">
        <v>16</v>
      </c>
      <c r="G3448">
        <v>1</v>
      </c>
      <c r="H3448" s="1">
        <v>2.685185185185185E-3</v>
      </c>
      <c r="I3448" t="s">
        <v>23</v>
      </c>
      <c r="J3448" s="2" t="str">
        <f>HYPERLINK("https://www.nba.com/stats/events?CFID=&amp;CFPARAMS=&amp;GameEventID=100&amp;GameID=0022300309&amp;Season=2023-24&amp;flag=1&amp;title=Leonard%2014'%20pullup%20Jump%20Shot%20(4%20PTS)", "14' pullup Jump Shot (4 PTS)")</f>
        <v>14' pullup Jump Shot (4 PTS)</v>
      </c>
      <c r="K3448" s="2" t="str">
        <f>HYPERLINK("https://www.nba.com/game/...-vs-...-0022300309/play-by-play?watchFullGame=true", "LAC vs SAC - Q1 03:52.00")</f>
        <v>LAC vs SAC - Q1 03:52.00</v>
      </c>
      <c r="L3448">
        <v>14.22</v>
      </c>
      <c r="M3448">
        <v>80.47</v>
      </c>
      <c r="N3448">
        <v>61.03</v>
      </c>
      <c r="O3448">
        <v>55</v>
      </c>
      <c r="P3448">
        <v>131</v>
      </c>
    </row>
    <row r="3449" spans="1:16" x14ac:dyDescent="0.25">
      <c r="A3449">
        <v>22200255</v>
      </c>
      <c r="B3449">
        <v>2022</v>
      </c>
      <c r="C3449" t="s">
        <v>32</v>
      </c>
      <c r="D3449" t="s">
        <v>19</v>
      </c>
      <c r="E3449">
        <v>90</v>
      </c>
      <c r="F3449">
        <v>94</v>
      </c>
      <c r="G3449">
        <v>4</v>
      </c>
      <c r="H3449" s="1">
        <v>7.9861111111111105E-3</v>
      </c>
      <c r="I3449" t="s">
        <v>23</v>
      </c>
      <c r="J3449" s="2" t="str">
        <f>HYPERLINK("https://www.nba.com/stats/events?CFID=&amp;CFPARAMS=&amp;GameEventID=490&amp;GameID=0022200255&amp;Season=2022-23&amp;flag=1&amp;title=Leonard%2015'%20step%20back%20Jump%20Shot%20(8%20PTS)", "15' step back Jump Shot (8 PTS)")</f>
        <v>15' step back Jump Shot (8 PTS)</v>
      </c>
      <c r="K3449" s="2" t="str">
        <f>HYPERLINK("https://www.nba.com/game/...-vs-...-0022200255/play-by-play?watchFullGame=true", "LAC vs UTA - Q4 11:30.00")</f>
        <v>LAC vs UTA - Q4 11:30.00</v>
      </c>
      <c r="L3449">
        <v>15.71</v>
      </c>
      <c r="M3449">
        <v>78.760000000000005</v>
      </c>
      <c r="N3449">
        <v>61.03</v>
      </c>
      <c r="O3449">
        <v>55</v>
      </c>
      <c r="P3449">
        <v>147</v>
      </c>
    </row>
    <row r="3450" spans="1:16" x14ac:dyDescent="0.25">
      <c r="A3450">
        <v>21600319</v>
      </c>
      <c r="B3450">
        <v>2016</v>
      </c>
      <c r="C3450" t="s">
        <v>16</v>
      </c>
      <c r="D3450" t="s">
        <v>19</v>
      </c>
      <c r="E3450">
        <v>78</v>
      </c>
      <c r="F3450">
        <v>91</v>
      </c>
      <c r="G3450">
        <v>4</v>
      </c>
      <c r="H3450" s="1">
        <v>3.1597222222222222E-3</v>
      </c>
      <c r="I3450" t="s">
        <v>18</v>
      </c>
      <c r="J3450" s="2" t="str">
        <f>HYPERLINK("https://www.nba.com/stats/events?CFID=&amp;CFPARAMS=&amp;GameEventID=423&amp;GameID=0021600319&amp;Season=2016-17&amp;flag=1&amp;title=Leonard%2025'%203PT%20Jump%20Shot%20(28%20PTS)", "Leonard 25' 3PT Jump Shot (28 PTS)")</f>
        <v>Leonard 25' 3PT Jump Shot (28 PTS)</v>
      </c>
      <c r="K3450" s="2" t="str">
        <f>HYPERLINK("https://www.nba.com/game/...-vs-...-0021600319/play-by-play?watchFullGame=true", "SAS vs MIN - Q4 04:33.00")</f>
        <v>SAS vs MIN - Q4 04:33.00</v>
      </c>
      <c r="L3450">
        <v>25</v>
      </c>
      <c r="M3450">
        <v>55</v>
      </c>
      <c r="N3450">
        <v>239</v>
      </c>
      <c r="O3450">
        <v>55</v>
      </c>
      <c r="P3450">
        <v>239</v>
      </c>
    </row>
    <row r="3451" spans="1:16" x14ac:dyDescent="0.25">
      <c r="A3451">
        <v>22000105</v>
      </c>
      <c r="B3451">
        <v>2020</v>
      </c>
      <c r="C3451" t="s">
        <v>32</v>
      </c>
      <c r="D3451" t="s">
        <v>19</v>
      </c>
      <c r="E3451">
        <v>7</v>
      </c>
      <c r="F3451">
        <v>14</v>
      </c>
      <c r="G3451">
        <v>1</v>
      </c>
      <c r="H3451" s="1">
        <v>4.5254629629629629E-3</v>
      </c>
      <c r="I3451" t="s">
        <v>23</v>
      </c>
      <c r="J3451" s="2" t="str">
        <f>HYPERLINK("https://www.nba.com/stats/events?CFID=&amp;CFPARAMS=&amp;GameEventID=57&amp;GameID=0022000105&amp;Season=2020-21&amp;flag=1&amp;title=Leonard%206'%20pullup%20Jump%20Shot%20(2%20PTS)", "6' pullup Jump Shot (2 PTS)")</f>
        <v>6' pullup Jump Shot (2 PTS)</v>
      </c>
      <c r="K3451" s="2" t="str">
        <f>HYPERLINK("https://www.nba.com/game/...-vs-...-0022000105/play-by-play?watchFullGame=true", "LAC vs SAS - Q1 06:31.00")</f>
        <v>LAC vs SAS - Q1 06:31.00</v>
      </c>
      <c r="L3451">
        <v>6.72</v>
      </c>
      <c r="M3451">
        <v>9.5399999999999991</v>
      </c>
      <c r="N3451">
        <v>38.79</v>
      </c>
      <c r="O3451">
        <v>56</v>
      </c>
      <c r="P3451">
        <v>37</v>
      </c>
    </row>
    <row r="3452" spans="1:16" x14ac:dyDescent="0.25">
      <c r="A3452">
        <v>21400291</v>
      </c>
      <c r="B3452">
        <v>2014</v>
      </c>
      <c r="C3452" t="s">
        <v>32</v>
      </c>
      <c r="D3452" t="s">
        <v>31</v>
      </c>
      <c r="E3452">
        <v>39</v>
      </c>
      <c r="F3452">
        <v>26</v>
      </c>
      <c r="G3452">
        <v>2</v>
      </c>
      <c r="H3452" s="1">
        <v>6.5624999999999998E-3</v>
      </c>
      <c r="I3452" t="s">
        <v>18</v>
      </c>
      <c r="J3452" s="2" t="str">
        <f>HYPERLINK("https://www.nba.com/stats/events?CFID=&amp;CFPARAMS=&amp;GameEventID=153&amp;GameID=0021400291&amp;Season=2014-15&amp;flag=1&amp;title=Leonard%2012'%20Step%20Back%20Jump%20Shot%20(4%20PTS)%20(Duncan%203%20AST)", "Leonard 12' Step Back Jump Shot (4 PTS) (Duncan 3 AST)")</f>
        <v>Leonard 12' Step Back Jump Shot (4 PTS) (Duncan 3 AST)</v>
      </c>
      <c r="K3452" s="2" t="str">
        <f>HYPERLINK("https://www.nba.com/game/...-vs-...-0021400291/play-by-play?watchFullGame=true", "SAS vs MIN - Q2 09:27.00")</f>
        <v>SAS vs MIN - Q2 09:27.00</v>
      </c>
      <c r="L3452">
        <v>12</v>
      </c>
      <c r="M3452">
        <v>56</v>
      </c>
      <c r="N3452">
        <v>110</v>
      </c>
      <c r="O3452">
        <v>56</v>
      </c>
      <c r="P3452">
        <v>110</v>
      </c>
    </row>
    <row r="3453" spans="1:16" x14ac:dyDescent="0.25">
      <c r="A3453">
        <v>22300280</v>
      </c>
      <c r="B3453">
        <v>2023</v>
      </c>
      <c r="C3453" t="s">
        <v>32</v>
      </c>
      <c r="D3453" t="s">
        <v>19</v>
      </c>
      <c r="E3453">
        <v>8</v>
      </c>
      <c r="F3453">
        <v>12</v>
      </c>
      <c r="G3453">
        <v>1</v>
      </c>
      <c r="H3453" s="1">
        <v>5.0810185185185186E-3</v>
      </c>
      <c r="I3453" t="s">
        <v>23</v>
      </c>
      <c r="J3453" s="2" t="str">
        <f>HYPERLINK("https://www.nba.com/stats/events?CFID=&amp;CFPARAMS=&amp;GameEventID=51&amp;GameID=0022300280&amp;Season=2023-24&amp;flag=1&amp;title=Leonard%2012'%20pullup%20Jump%20Shot%20(2%20PTS)", "12' pullup Jump Shot (2 PTS)")</f>
        <v>12' pullup Jump Shot (2 PTS)</v>
      </c>
      <c r="K3453" s="2" t="str">
        <f>HYPERLINK("https://www.nba.com/game/...-vs-...-0022300280/play-by-play?watchFullGame=true", "LAC vs GSW - Q1 07:19.00")</f>
        <v>LAC vs GSW - Q1 07:19.00</v>
      </c>
      <c r="L3453">
        <v>12.34</v>
      </c>
      <c r="M3453">
        <v>17.260000000000002</v>
      </c>
      <c r="N3453">
        <v>38.729999999999997</v>
      </c>
      <c r="O3453">
        <v>56</v>
      </c>
      <c r="P3453">
        <v>110</v>
      </c>
    </row>
    <row r="3454" spans="1:16" x14ac:dyDescent="0.25">
      <c r="A3454">
        <v>21600825</v>
      </c>
      <c r="B3454">
        <v>2016</v>
      </c>
      <c r="C3454" t="s">
        <v>32</v>
      </c>
      <c r="D3454" t="s">
        <v>33</v>
      </c>
      <c r="E3454">
        <v>54</v>
      </c>
      <c r="F3454">
        <v>53</v>
      </c>
      <c r="G3454">
        <v>3</v>
      </c>
      <c r="H3454" s="1">
        <v>7.5347222222222222E-3</v>
      </c>
      <c r="I3454" t="s">
        <v>18</v>
      </c>
      <c r="J3454" s="2" t="str">
        <f>HYPERLINK("https://www.nba.com/stats/events?CFID=&amp;CFPARAMS=&amp;GameEventID=251&amp;GameID=0021600825&amp;Season=2016-17&amp;flag=1&amp;title=Leonard%2013'%20Fadeaway%20Jumper%20(17%20PTS)", "Leonard 13' Fadeaway Jumper (17 PTS)")</f>
        <v>Leonard 13' Fadeaway Jumper (17 PTS)</v>
      </c>
      <c r="K3454" s="2" t="str">
        <f>HYPERLINK("https://www.nba.com/game/...-vs-...-0021600825/play-by-play?watchFullGame=true", "SAS vs IND - Q3 10:51.00")</f>
        <v>SAS vs IND - Q3 10:51.00</v>
      </c>
      <c r="L3454">
        <v>13</v>
      </c>
      <c r="M3454">
        <v>56</v>
      </c>
      <c r="N3454">
        <v>120</v>
      </c>
      <c r="O3454">
        <v>56</v>
      </c>
      <c r="P3454">
        <v>120</v>
      </c>
    </row>
    <row r="3455" spans="1:16" x14ac:dyDescent="0.25">
      <c r="A3455">
        <v>41400163</v>
      </c>
      <c r="B3455" t="s">
        <v>28</v>
      </c>
      <c r="C3455" t="s">
        <v>16</v>
      </c>
      <c r="D3455" t="s">
        <v>19</v>
      </c>
      <c r="E3455">
        <v>25</v>
      </c>
      <c r="F3455">
        <v>13</v>
      </c>
      <c r="G3455">
        <v>1</v>
      </c>
      <c r="H3455" s="1">
        <v>1.4467592592592592E-3</v>
      </c>
      <c r="I3455" t="s">
        <v>18</v>
      </c>
      <c r="J3455" s="2" t="str">
        <f>HYPERLINK("https://www.nba.com/stats/events?CFID=&amp;CFPARAMS=&amp;GameEventID=63&amp;GameID=0041400163&amp;Season=2014-15&amp;flag=1&amp;title=Leonard%2025'%203PT%20Jump%20Shot%20(10%20PTS)%20(Duncan%201%20AST)", "Leonard 25' 3PT Jump Shot (10 PTS) (Duncan 1 AST)")</f>
        <v>Leonard 25' 3PT Jump Shot (10 PTS) (Duncan 1 AST)</v>
      </c>
      <c r="K3455" s="2" t="str">
        <f>HYPERLINK("https://www.nba.com/game/...-vs-...-0041400163/play-by-play?watchFullGame=true", "SAS vs LAC - Q1 02:05.00")</f>
        <v>SAS vs LAC - Q1 02:05.00</v>
      </c>
      <c r="L3455">
        <v>25</v>
      </c>
      <c r="M3455">
        <v>56</v>
      </c>
      <c r="N3455">
        <v>246</v>
      </c>
      <c r="O3455">
        <v>56</v>
      </c>
      <c r="P3455">
        <v>246</v>
      </c>
    </row>
    <row r="3456" spans="1:16" x14ac:dyDescent="0.25">
      <c r="A3456">
        <v>41800404</v>
      </c>
      <c r="B3456" t="s">
        <v>20</v>
      </c>
      <c r="C3456" t="s">
        <v>32</v>
      </c>
      <c r="D3456" t="s">
        <v>33</v>
      </c>
      <c r="E3456">
        <v>17</v>
      </c>
      <c r="F3456">
        <v>12</v>
      </c>
      <c r="G3456">
        <v>1</v>
      </c>
      <c r="H3456" s="1">
        <v>2.5115740740740741E-3</v>
      </c>
      <c r="I3456" t="s">
        <v>21</v>
      </c>
      <c r="J3456" s="2" t="str">
        <f>HYPERLINK("https://www.nba.com/stats/events?CFID=&amp;CFPARAMS=&amp;GameEventID=105&amp;GameID=0041800404&amp;Season=2018-19&amp;flag=1&amp;title=Leonard%2013'%20Fadeaway%20Jumper%20(9%20PTS)%20(Gasol%202%20AST)", "Leonard 13' Fadeaway Jumper (9 PTS) (Gasol 2 AST)")</f>
        <v>Leonard 13' Fadeaway Jumper (9 PTS) (Gasol 2 AST)</v>
      </c>
      <c r="K3456" s="2" t="str">
        <f>HYPERLINK("https://www.nba.com/game/...-vs-...-0041800404/play-by-play?watchFullGame=true", "TOR vs GSW - Q1 03:37.00")</f>
        <v>TOR vs GSW - Q1 03:37.00</v>
      </c>
      <c r="L3456">
        <v>13</v>
      </c>
      <c r="M3456">
        <v>57</v>
      </c>
      <c r="N3456">
        <v>115</v>
      </c>
      <c r="O3456">
        <v>57</v>
      </c>
      <c r="P3456">
        <v>115</v>
      </c>
    </row>
    <row r="3457" spans="1:16" x14ac:dyDescent="0.25">
      <c r="A3457">
        <v>21400853</v>
      </c>
      <c r="B3457">
        <v>2014</v>
      </c>
      <c r="C3457" t="s">
        <v>32</v>
      </c>
      <c r="D3457" t="s">
        <v>42</v>
      </c>
      <c r="E3457">
        <v>97</v>
      </c>
      <c r="F3457">
        <v>83</v>
      </c>
      <c r="G3457">
        <v>4</v>
      </c>
      <c r="H3457" s="1">
        <v>4.9884259259259257E-3</v>
      </c>
      <c r="I3457" t="s">
        <v>18</v>
      </c>
      <c r="J3457" s="2" t="str">
        <f>HYPERLINK("https://www.nba.com/stats/events?CFID=&amp;CFPARAMS=&amp;GameEventID=378&amp;GameID=0021400853&amp;Season=2014-15&amp;flag=1&amp;title=Leonard%206'%20Driving%20Jump%20Shot%20(13%20PTS)", "Leonard 6' Driving Jump Shot (13 PTS)")</f>
        <v>Leonard 6' Driving Jump Shot (13 PTS)</v>
      </c>
      <c r="K3457" s="2" t="str">
        <f>HYPERLINK("https://www.nba.com/game/...-vs-...-0021400853/play-by-play?watchFullGame=true", "SAS vs POR - Q4 07:11.00")</f>
        <v>SAS vs POR - Q4 07:11.00</v>
      </c>
      <c r="L3457">
        <v>6</v>
      </c>
      <c r="M3457">
        <v>58</v>
      </c>
      <c r="N3457">
        <v>6</v>
      </c>
      <c r="O3457">
        <v>58</v>
      </c>
      <c r="P3457">
        <v>6</v>
      </c>
    </row>
    <row r="3458" spans="1:16" x14ac:dyDescent="0.25">
      <c r="A3458">
        <v>41500235</v>
      </c>
      <c r="B3458" t="s">
        <v>25</v>
      </c>
      <c r="C3458" t="s">
        <v>32</v>
      </c>
      <c r="D3458" t="s">
        <v>40</v>
      </c>
      <c r="E3458">
        <v>4</v>
      </c>
      <c r="F3458">
        <v>9</v>
      </c>
      <c r="G3458">
        <v>1</v>
      </c>
      <c r="H3458" s="1">
        <v>5.092592592592593E-3</v>
      </c>
      <c r="I3458" t="s">
        <v>18</v>
      </c>
      <c r="J3458" s="2" t="str">
        <f>HYPERLINK("https://www.nba.com/stats/events?CFID=&amp;CFPARAMS=&amp;GameEventID=53&amp;GameID=0041500235&amp;Season=2015-16&amp;flag=1&amp;title=Leonard%206'%20Hook%20Shot%20(2%20PTS)", "Leonard 6' Hook Shot (2 PTS)")</f>
        <v>Leonard 6' Hook Shot (2 PTS)</v>
      </c>
      <c r="K3458" s="2" t="str">
        <f>HYPERLINK("https://www.nba.com/game/...-vs-...-0041500235/play-by-play?watchFullGame=true", "SAS vs OKC - Q1 07:20.00")</f>
        <v>SAS vs OKC - Q1 07:20.00</v>
      </c>
      <c r="L3458">
        <v>6</v>
      </c>
      <c r="M3458">
        <v>58</v>
      </c>
      <c r="N3458">
        <v>11</v>
      </c>
      <c r="O3458">
        <v>58</v>
      </c>
      <c r="P3458">
        <v>11</v>
      </c>
    </row>
    <row r="3459" spans="1:16" x14ac:dyDescent="0.25">
      <c r="A3459">
        <v>41300147</v>
      </c>
      <c r="B3459" t="s">
        <v>26</v>
      </c>
      <c r="C3459" t="s">
        <v>32</v>
      </c>
      <c r="D3459" t="s">
        <v>29</v>
      </c>
      <c r="E3459">
        <v>107</v>
      </c>
      <c r="F3459">
        <v>78</v>
      </c>
      <c r="G3459">
        <v>4</v>
      </c>
      <c r="H3459" s="1">
        <v>4.6412037037037038E-3</v>
      </c>
      <c r="I3459" t="s">
        <v>18</v>
      </c>
      <c r="J3459" s="2" t="str">
        <f>HYPERLINK("https://www.nba.com/stats/events?CFID=&amp;CFPARAMS=&amp;GameEventID=474&amp;GameID=0041300147&amp;Season=2013-14&amp;flag=1&amp;title=Leonard%207'%20Pullup%20Jump%20Shot%20(15%20PTS)", "Leonard 7' Pullup Jump Shot (15 PTS)")</f>
        <v>Leonard 7' Pullup Jump Shot (15 PTS)</v>
      </c>
      <c r="K3459" s="2" t="str">
        <f>HYPERLINK("https://www.nba.com/game/...-vs-...-0041300147/play-by-play?watchFullGame=true", "SAS vs DAL - Q4 06:41.00")</f>
        <v>SAS vs DAL - Q4 06:41.00</v>
      </c>
      <c r="L3459">
        <v>7</v>
      </c>
      <c r="M3459">
        <v>58</v>
      </c>
      <c r="N3459">
        <v>39</v>
      </c>
      <c r="O3459">
        <v>58</v>
      </c>
      <c r="P3459">
        <v>39</v>
      </c>
    </row>
    <row r="3460" spans="1:16" x14ac:dyDescent="0.25">
      <c r="A3460">
        <v>21400964</v>
      </c>
      <c r="B3460">
        <v>2014</v>
      </c>
      <c r="C3460" t="s">
        <v>32</v>
      </c>
      <c r="D3460" t="s">
        <v>29</v>
      </c>
      <c r="E3460">
        <v>16</v>
      </c>
      <c r="F3460">
        <v>13</v>
      </c>
      <c r="G3460">
        <v>1</v>
      </c>
      <c r="H3460" s="1">
        <v>5.4745370370370373E-3</v>
      </c>
      <c r="I3460" t="s">
        <v>18</v>
      </c>
      <c r="J3460" s="2" t="str">
        <f>HYPERLINK("https://www.nba.com/stats/events?CFID=&amp;CFPARAMS=&amp;GameEventID=27&amp;GameID=0021400964&amp;Season=2014-15&amp;flag=1&amp;title=Leonard%209'%20Pullup%20Jump%20Shot%20(4%20PTS)", "Leonard 9' Pullup Jump Shot (4 PTS)")</f>
        <v>Leonard 9' Pullup Jump Shot (4 PTS)</v>
      </c>
      <c r="K3460" s="2" t="str">
        <f>HYPERLINK("https://www.nba.com/game/...-vs-...-0021400964/play-by-play?watchFullGame=true", "SAS vs CLE - Q1 07:53.00")</f>
        <v>SAS vs CLE - Q1 07:53.00</v>
      </c>
      <c r="L3460">
        <v>9</v>
      </c>
      <c r="M3460">
        <v>58</v>
      </c>
      <c r="N3460">
        <v>75</v>
      </c>
      <c r="O3460">
        <v>58</v>
      </c>
      <c r="P3460">
        <v>75</v>
      </c>
    </row>
    <row r="3461" spans="1:16" x14ac:dyDescent="0.25">
      <c r="A3461">
        <v>22200668</v>
      </c>
      <c r="B3461">
        <v>2022</v>
      </c>
      <c r="C3461" t="s">
        <v>32</v>
      </c>
      <c r="D3461" t="s">
        <v>19</v>
      </c>
      <c r="E3461">
        <v>73</v>
      </c>
      <c r="F3461">
        <v>76</v>
      </c>
      <c r="G3461">
        <v>3</v>
      </c>
      <c r="H3461" s="1">
        <v>3.9351851851851848E-3</v>
      </c>
      <c r="I3461" t="s">
        <v>23</v>
      </c>
      <c r="J3461" s="2" t="str">
        <f>HYPERLINK("https://www.nba.com/stats/events?CFID=&amp;CFPARAMS=&amp;GameEventID=377&amp;GameID=0022200668&amp;Season=2022-23&amp;flag=1&amp;title=Leonard%2012'%20step%20back%20Jump%20Shot%20(23%20PTS)", "12' step back Jump Shot (23 PTS)")</f>
        <v>12' step back Jump Shot (23 PTS)</v>
      </c>
      <c r="K3461" s="2" t="str">
        <f>HYPERLINK("https://www.nba.com/game/...-vs-...-0022200668/play-by-play?watchFullGame=true", "LAC vs PHI - Q3 05:40.00")</f>
        <v>LAC vs PHI - Q3 05:40.00</v>
      </c>
      <c r="L3461">
        <v>12.07</v>
      </c>
      <c r="M3461">
        <v>16.87</v>
      </c>
      <c r="N3461">
        <v>38.479999999999997</v>
      </c>
      <c r="O3461">
        <v>58</v>
      </c>
      <c r="P3461">
        <v>106</v>
      </c>
    </row>
    <row r="3462" spans="1:16" x14ac:dyDescent="0.25">
      <c r="A3462">
        <v>21400108</v>
      </c>
      <c r="B3462">
        <v>2014</v>
      </c>
      <c r="C3462" t="s">
        <v>32</v>
      </c>
      <c r="D3462" t="s">
        <v>34</v>
      </c>
      <c r="E3462">
        <v>8</v>
      </c>
      <c r="F3462">
        <v>8</v>
      </c>
      <c r="G3462">
        <v>1</v>
      </c>
      <c r="H3462" s="1">
        <v>5.9259259259259256E-3</v>
      </c>
      <c r="I3462" t="s">
        <v>18</v>
      </c>
      <c r="J3462" s="2" t="str">
        <f>HYPERLINK("https://www.nba.com/stats/events?CFID=&amp;CFPARAMS=&amp;GameEventID=30&amp;GameID=0021400108&amp;Season=2014-15&amp;flag=1&amp;title=Leonard%2013'%20Turnaround%20Fadeaway%20(4%20PTS)", "Leonard 13' Turnaround Fadeaway (4 PTS)")</f>
        <v>Leonard 13' Turnaround Fadeaway (4 PTS)</v>
      </c>
      <c r="K3462" s="2" t="str">
        <f>HYPERLINK("https://www.nba.com/game/...-vs-...-0021400108/play-by-play?watchFullGame=true", "SAS vs GSW - Q1 08:32.00")</f>
        <v>SAS vs GSW - Q1 08:32.00</v>
      </c>
      <c r="L3462">
        <v>13</v>
      </c>
      <c r="M3462">
        <v>58</v>
      </c>
      <c r="N3462">
        <v>118</v>
      </c>
      <c r="O3462">
        <v>58</v>
      </c>
      <c r="P3462">
        <v>118</v>
      </c>
    </row>
    <row r="3463" spans="1:16" x14ac:dyDescent="0.25">
      <c r="A3463">
        <v>22000350</v>
      </c>
      <c r="B3463">
        <v>2020</v>
      </c>
      <c r="C3463" t="s">
        <v>32</v>
      </c>
      <c r="D3463" t="s">
        <v>19</v>
      </c>
      <c r="E3463">
        <v>17</v>
      </c>
      <c r="F3463">
        <v>7</v>
      </c>
      <c r="G3463">
        <v>1</v>
      </c>
      <c r="H3463" s="1">
        <v>4.4907407407407405E-3</v>
      </c>
      <c r="I3463" t="s">
        <v>23</v>
      </c>
      <c r="J3463" s="2" t="str">
        <f>HYPERLINK("https://www.nba.com/stats/events?CFID=&amp;CFPARAMS=&amp;GameEventID=73&amp;GameID=0022000350&amp;Season=2020-21&amp;flag=1&amp;title=Leonard%2013'%20turnaround%20Jump%20Shot%20(7%20PTS)", "13' turnaround Jump Shot (7 PTS)")</f>
        <v>13' turnaround Jump Shot (7 PTS)</v>
      </c>
      <c r="K3463" s="2" t="str">
        <f>HYPERLINK("https://www.nba.com/game/...-vs-...-0022000350/play-by-play?watchFullGame=true", "LAC vs BOS - Q1 06:28.00")</f>
        <v>LAC vs BOS - Q1 06:28.00</v>
      </c>
      <c r="L3463">
        <v>13.68</v>
      </c>
      <c r="M3463">
        <v>18.739999999999998</v>
      </c>
      <c r="N3463">
        <v>38.299999999999997</v>
      </c>
      <c r="O3463">
        <v>58</v>
      </c>
      <c r="P3463">
        <v>124</v>
      </c>
    </row>
    <row r="3464" spans="1:16" x14ac:dyDescent="0.25">
      <c r="A3464">
        <v>22000002</v>
      </c>
      <c r="B3464">
        <v>2020</v>
      </c>
      <c r="C3464" t="s">
        <v>32</v>
      </c>
      <c r="D3464" t="s">
        <v>19</v>
      </c>
      <c r="E3464">
        <v>37</v>
      </c>
      <c r="F3464">
        <v>49</v>
      </c>
      <c r="G3464">
        <v>2</v>
      </c>
      <c r="H3464" s="1">
        <v>2.8240740740740739E-3</v>
      </c>
      <c r="I3464" t="s">
        <v>23</v>
      </c>
      <c r="J3464" s="2" t="str">
        <f>HYPERLINK("https://www.nba.com/stats/events?CFID=&amp;CFPARAMS=&amp;GameEventID=306&amp;GameID=0022000002&amp;Season=2020-21&amp;flag=1&amp;title=Leonard%2013'%20fadeaway%20Jump%20Shot%20(13%20PTS)", "13' fadeaway Jump Shot (13 PTS)")</f>
        <v>13' fadeaway Jump Shot (13 PTS)</v>
      </c>
      <c r="K3464" s="2" t="str">
        <f>HYPERLINK("https://www.nba.com/game/...-vs-...-0022000002/play-by-play?watchFullGame=true", "LAC vs LAL - Q2 04:04.00")</f>
        <v>LAC vs LAL - Q2 04:04.00</v>
      </c>
      <c r="L3464">
        <v>13.9</v>
      </c>
      <c r="M3464">
        <v>19</v>
      </c>
      <c r="N3464">
        <v>38.299999999999997</v>
      </c>
      <c r="O3464">
        <v>58</v>
      </c>
      <c r="P3464">
        <v>126</v>
      </c>
    </row>
    <row r="3465" spans="1:16" x14ac:dyDescent="0.25">
      <c r="A3465">
        <v>21600168</v>
      </c>
      <c r="B3465">
        <v>2016</v>
      </c>
      <c r="C3465" t="s">
        <v>16</v>
      </c>
      <c r="D3465" t="s">
        <v>19</v>
      </c>
      <c r="E3465">
        <v>63</v>
      </c>
      <c r="F3465">
        <v>77</v>
      </c>
      <c r="G3465">
        <v>3</v>
      </c>
      <c r="H3465" s="1">
        <v>2.8240740740740739E-3</v>
      </c>
      <c r="I3465" t="s">
        <v>18</v>
      </c>
      <c r="J3465" s="2" t="str">
        <f>HYPERLINK("https://www.nba.com/stats/events?CFID=&amp;CFPARAMS=&amp;GameEventID=298&amp;GameID=0021600168&amp;Season=2016-17&amp;flag=1&amp;title=Leonard%2026'%203PT%20Jump%20Shot%20(15%20PTS)", "Leonard 26' 3PT Jump Shot (15 PTS)")</f>
        <v>Leonard 26' 3PT Jump Shot (15 PTS)</v>
      </c>
      <c r="K3465" s="2" t="str">
        <f>HYPERLINK("https://www.nba.com/game/...-vs-...-0021600168/play-by-play?watchFullGame=true", "SAS vs SAC - Q3 04:04.00")</f>
        <v>SAS vs SAC - Q3 04:04.00</v>
      </c>
      <c r="L3465">
        <v>26</v>
      </c>
      <c r="M3465">
        <v>58</v>
      </c>
      <c r="N3465">
        <v>257</v>
      </c>
      <c r="O3465">
        <v>58</v>
      </c>
      <c r="P3465">
        <v>257</v>
      </c>
    </row>
    <row r="3466" spans="1:16" x14ac:dyDescent="0.25">
      <c r="A3466">
        <v>21600701</v>
      </c>
      <c r="B3466">
        <v>2016</v>
      </c>
      <c r="C3466" t="s">
        <v>16</v>
      </c>
      <c r="D3466" t="s">
        <v>19</v>
      </c>
      <c r="E3466">
        <v>29</v>
      </c>
      <c r="F3466">
        <v>31</v>
      </c>
      <c r="G3466">
        <v>2</v>
      </c>
      <c r="H3466" s="1">
        <v>6.7939814814814816E-3</v>
      </c>
      <c r="I3466" t="s">
        <v>18</v>
      </c>
      <c r="J3466" s="2" t="str">
        <f>HYPERLINK("https://www.nba.com/stats/events?CFID=&amp;CFPARAMS=&amp;GameEventID=152&amp;GameID=0021600701&amp;Season=2016-17&amp;flag=1&amp;title=Leonard%2027'%203PT%20Jump%20Shot%20(5%20PTS)", "Leonard 27' 3PT Jump Shot (5 PTS)")</f>
        <v>Leonard 27' 3PT Jump Shot (5 PTS)</v>
      </c>
      <c r="K3466" s="2" t="str">
        <f>HYPERLINK("https://www.nba.com/game/...-vs-...-0021600701/play-by-play?watchFullGame=true", "SAS vs NOP - Q2 09:47.00")</f>
        <v>SAS vs NOP - Q2 09:47.00</v>
      </c>
      <c r="L3466">
        <v>27</v>
      </c>
      <c r="M3466">
        <v>58</v>
      </c>
      <c r="N3466">
        <v>259</v>
      </c>
      <c r="O3466">
        <v>58</v>
      </c>
      <c r="P3466">
        <v>259</v>
      </c>
    </row>
    <row r="3467" spans="1:16" x14ac:dyDescent="0.25">
      <c r="A3467">
        <v>22300688</v>
      </c>
      <c r="B3467">
        <v>2023</v>
      </c>
      <c r="C3467" t="s">
        <v>16</v>
      </c>
      <c r="D3467" t="s">
        <v>19</v>
      </c>
      <c r="E3467">
        <v>24</v>
      </c>
      <c r="F3467">
        <v>14</v>
      </c>
      <c r="G3467">
        <v>1</v>
      </c>
      <c r="H3467" s="1">
        <v>2.685185185185185E-3</v>
      </c>
      <c r="I3467" t="s">
        <v>23</v>
      </c>
      <c r="J3467" s="2" t="str">
        <f>HYPERLINK("https://www.nba.com/stats/events?CFID=&amp;CFPARAMS=&amp;GameEventID=97&amp;GameID=0022300688&amp;Season=2023-24&amp;flag=1&amp;title=Leonard%2027'%203PT%20step%20back%20(8%20PTS)", "27' 3PT step back (8 PTS)")</f>
        <v>27' 3PT step back (8 PTS)</v>
      </c>
      <c r="K3467" s="2" t="str">
        <f>HYPERLINK("https://www.nba.com/game/...-vs-...-0022300688/play-by-play?watchFullGame=true", "LAC vs DET - Q1 03:52.00")</f>
        <v>LAC vs DET - Q1 03:52.00</v>
      </c>
      <c r="L3467">
        <v>27.88</v>
      </c>
      <c r="M3467">
        <v>65.39</v>
      </c>
      <c r="N3467">
        <v>61.52</v>
      </c>
      <c r="O3467">
        <v>58</v>
      </c>
      <c r="P3467">
        <v>273</v>
      </c>
    </row>
    <row r="3468" spans="1:16" x14ac:dyDescent="0.25">
      <c r="A3468">
        <v>21400177</v>
      </c>
      <c r="B3468">
        <v>2014</v>
      </c>
      <c r="C3468" t="s">
        <v>32</v>
      </c>
      <c r="D3468" t="s">
        <v>54</v>
      </c>
      <c r="E3468">
        <v>37</v>
      </c>
      <c r="F3468">
        <v>49</v>
      </c>
      <c r="G3468">
        <v>2</v>
      </c>
      <c r="H3468" s="1">
        <v>3.5532407407407409E-3</v>
      </c>
      <c r="I3468" t="s">
        <v>18</v>
      </c>
      <c r="J3468" s="2" t="str">
        <f>HYPERLINK("https://www.nba.com/stats/events?CFID=&amp;CFPARAMS=&amp;GameEventID=193&amp;GameID=0021400177&amp;Season=2014-15&amp;flag=1&amp;title=Leonard%206'%20Driving%20Bank%20Shot%20(6%20PTS)", "Leonard 6' Driving Bank Shot (6 PTS)")</f>
        <v>Leonard 6' Driving Bank Shot (6 PTS)</v>
      </c>
      <c r="K3468" s="2" t="str">
        <f>HYPERLINK("https://www.nba.com/game/...-vs-...-0021400177/play-by-play?watchFullGame=true", "SAS vs MIN - Q2 05:07.00")</f>
        <v>SAS vs MIN - Q2 05:07.00</v>
      </c>
      <c r="L3468">
        <v>6</v>
      </c>
      <c r="M3468">
        <v>59</v>
      </c>
      <c r="N3468">
        <v>15</v>
      </c>
      <c r="O3468">
        <v>59</v>
      </c>
      <c r="P3468">
        <v>15</v>
      </c>
    </row>
    <row r="3469" spans="1:16" x14ac:dyDescent="0.25">
      <c r="A3469">
        <v>22300052</v>
      </c>
      <c r="B3469">
        <v>2023</v>
      </c>
      <c r="C3469" t="s">
        <v>32</v>
      </c>
      <c r="D3469" t="s">
        <v>19</v>
      </c>
      <c r="E3469">
        <v>6</v>
      </c>
      <c r="F3469">
        <v>9</v>
      </c>
      <c r="G3469">
        <v>1</v>
      </c>
      <c r="H3469" s="1">
        <v>6.5740740740740742E-3</v>
      </c>
      <c r="I3469" t="s">
        <v>23</v>
      </c>
      <c r="J3469" s="2" t="str">
        <f>HYPERLINK("https://www.nba.com/stats/events?CFID=&amp;CFPARAMS=&amp;GameEventID=25&amp;GameID=0022300052&amp;Season=2023-24&amp;flag=1&amp;title=Leonard%2011'%20pullup%20Jump%20Shot%20(2%20PTS)", "11' pullup Jump Shot (2 PTS)")</f>
        <v>11' pullup Jump Shot (2 PTS)</v>
      </c>
      <c r="K3469" s="2" t="str">
        <f>HYPERLINK("https://www.nba.com/game/...-vs-...-0022300052/play-by-play?watchFullGame=true", "LAC vs NOP - Q1 09:28.00")</f>
        <v>LAC vs NOP - Q1 09:28.00</v>
      </c>
      <c r="L3469">
        <v>11.17</v>
      </c>
      <c r="M3469">
        <v>15.69</v>
      </c>
      <c r="N3469">
        <v>38.24</v>
      </c>
      <c r="O3469">
        <v>59</v>
      </c>
      <c r="P3469">
        <v>95</v>
      </c>
    </row>
    <row r="3470" spans="1:16" x14ac:dyDescent="0.25">
      <c r="A3470">
        <v>22300014</v>
      </c>
      <c r="B3470">
        <v>2023</v>
      </c>
      <c r="C3470" t="s">
        <v>32</v>
      </c>
      <c r="D3470" t="s">
        <v>19</v>
      </c>
      <c r="E3470">
        <v>111</v>
      </c>
      <c r="F3470">
        <v>84</v>
      </c>
      <c r="G3470">
        <v>3</v>
      </c>
      <c r="H3470" s="1">
        <v>6.3773148148148153E-4</v>
      </c>
      <c r="I3470" t="s">
        <v>23</v>
      </c>
      <c r="J3470" s="2" t="str">
        <f>HYPERLINK("https://www.nba.com/stats/events?CFID=&amp;CFPARAMS=&amp;GameEventID=500&amp;GameID=0022300014&amp;Season=2023-24&amp;flag=1&amp;title=Leonard%2011'%20pullup%20Jump%20Shot%20(25%20PTS)", "11' pullup Jump Shot (25 PTS)")</f>
        <v>11' pullup Jump Shot (25 PTS)</v>
      </c>
      <c r="K3470" s="2" t="str">
        <f>HYPERLINK("https://www.nba.com/game/...-vs-...-0022300014/play-by-play?watchFullGame=true", "LAC vs DAL - Q3 00:55.10")</f>
        <v>LAC vs DAL - Q3 00:55.10</v>
      </c>
      <c r="L3470">
        <v>11.72</v>
      </c>
      <c r="M3470">
        <v>16.38</v>
      </c>
      <c r="N3470">
        <v>38.24</v>
      </c>
      <c r="O3470">
        <v>59</v>
      </c>
      <c r="P3470">
        <v>101</v>
      </c>
    </row>
    <row r="3471" spans="1:16" x14ac:dyDescent="0.25">
      <c r="A3471">
        <v>22000472</v>
      </c>
      <c r="B3471">
        <v>2020</v>
      </c>
      <c r="C3471" t="s">
        <v>32</v>
      </c>
      <c r="D3471" t="s">
        <v>19</v>
      </c>
      <c r="E3471">
        <v>48</v>
      </c>
      <c r="F3471">
        <v>52</v>
      </c>
      <c r="G3471">
        <v>2</v>
      </c>
      <c r="H3471" s="1">
        <v>1.6550925925925926E-3</v>
      </c>
      <c r="I3471" t="s">
        <v>23</v>
      </c>
      <c r="J3471" s="2" t="str">
        <f>HYPERLINK("https://www.nba.com/stats/events?CFID=&amp;CFPARAMS=&amp;GameEventID=280&amp;GameID=0022000472&amp;Season=2020-21&amp;flag=1&amp;title=Leonard%2012'%20pullup%20Jump%20Shot%20(18%20PTS)", "12' pullup Jump Shot (18 PTS)")</f>
        <v>12' pullup Jump Shot (18 PTS)</v>
      </c>
      <c r="K3471" s="2" t="str">
        <f>HYPERLINK("https://www.nba.com/game/...-vs-...-0022000472/play-by-play?watchFullGame=true", "LAC vs BKN - Q2 02:23.00")</f>
        <v>LAC vs BKN - Q2 02:23.00</v>
      </c>
      <c r="L3471">
        <v>12.58</v>
      </c>
      <c r="M3471">
        <v>82.61</v>
      </c>
      <c r="N3471">
        <v>61.83</v>
      </c>
      <c r="O3471">
        <v>59</v>
      </c>
      <c r="P3471">
        <v>111</v>
      </c>
    </row>
    <row r="3472" spans="1:16" x14ac:dyDescent="0.25">
      <c r="A3472">
        <v>21300559</v>
      </c>
      <c r="B3472">
        <v>2013</v>
      </c>
      <c r="C3472" t="s">
        <v>32</v>
      </c>
      <c r="D3472" t="s">
        <v>29</v>
      </c>
      <c r="E3472">
        <v>36</v>
      </c>
      <c r="F3472">
        <v>28</v>
      </c>
      <c r="G3472">
        <v>2</v>
      </c>
      <c r="H3472" s="1">
        <v>5.8333333333333336E-3</v>
      </c>
      <c r="I3472" t="s">
        <v>18</v>
      </c>
      <c r="J3472" s="2" t="str">
        <f>HYPERLINK("https://www.nba.com/stats/events?CFID=&amp;CFPARAMS=&amp;GameEventID=172&amp;GameID=0021300559&amp;Season=2013-14&amp;flag=1&amp;title=Leonard%2013'%20Pullup%20Jump%20Shot%20(2%20PTS)", "Leonard 13' Pullup Jump Shot (2 PTS)")</f>
        <v>Leonard 13' Pullup Jump Shot (2 PTS)</v>
      </c>
      <c r="K3472" s="2" t="str">
        <f>HYPERLINK("https://www.nba.com/game/...-vs-...-0021300559/play-by-play?watchFullGame=true", "SAS vs NOP - Q2 08:24.00")</f>
        <v>SAS vs NOP - Q2 08:24.00</v>
      </c>
      <c r="L3472">
        <v>13</v>
      </c>
      <c r="M3472">
        <v>59</v>
      </c>
      <c r="N3472">
        <v>113</v>
      </c>
      <c r="O3472">
        <v>59</v>
      </c>
      <c r="P3472">
        <v>113</v>
      </c>
    </row>
    <row r="3473" spans="1:16" x14ac:dyDescent="0.25">
      <c r="A3473">
        <v>22300014</v>
      </c>
      <c r="B3473">
        <v>2023</v>
      </c>
      <c r="C3473" t="s">
        <v>32</v>
      </c>
      <c r="D3473" t="s">
        <v>19</v>
      </c>
      <c r="E3473">
        <v>15</v>
      </c>
      <c r="F3473">
        <v>16</v>
      </c>
      <c r="G3473">
        <v>1</v>
      </c>
      <c r="H3473" s="1">
        <v>3.7499999999999999E-3</v>
      </c>
      <c r="I3473" t="s">
        <v>23</v>
      </c>
      <c r="J3473" s="2" t="str">
        <f>HYPERLINK("https://www.nba.com/stats/events?CFID=&amp;CFPARAMS=&amp;GameEventID=79&amp;GameID=0022300014&amp;Season=2023-24&amp;flag=1&amp;title=Leonard%2012'%20pullup%20Jump%20Shot%20(9%20PTS)", "12' pullup Jump Shot (9 PTS)")</f>
        <v>12' pullup Jump Shot (9 PTS)</v>
      </c>
      <c r="K3473" s="2" t="str">
        <f>HYPERLINK("https://www.nba.com/game/...-vs-...-0022300014/play-by-play?watchFullGame=true", "LAC vs DAL - Q1 05:24.00")</f>
        <v>LAC vs DAL - Q1 05:24.00</v>
      </c>
      <c r="L3473">
        <v>12.78</v>
      </c>
      <c r="M3473">
        <v>82.34</v>
      </c>
      <c r="N3473">
        <v>61.76</v>
      </c>
      <c r="O3473">
        <v>59</v>
      </c>
      <c r="P3473">
        <v>113</v>
      </c>
    </row>
    <row r="3474" spans="1:16" x14ac:dyDescent="0.25">
      <c r="A3474">
        <v>22300505</v>
      </c>
      <c r="B3474">
        <v>2023</v>
      </c>
      <c r="C3474" t="s">
        <v>16</v>
      </c>
      <c r="D3474" t="s">
        <v>19</v>
      </c>
      <c r="E3474">
        <v>69</v>
      </c>
      <c r="F3474">
        <v>73</v>
      </c>
      <c r="G3474">
        <v>3</v>
      </c>
      <c r="H3474" s="1">
        <v>2.5810185185185185E-3</v>
      </c>
      <c r="I3474" t="s">
        <v>23</v>
      </c>
      <c r="J3474" s="2" t="str">
        <f>HYPERLINK("https://www.nba.com/stats/events?CFID=&amp;CFPARAMS=&amp;GameEventID=407&amp;GameID=0022300505&amp;Season=2023-24&amp;flag=1&amp;title=Leonard%2026'%203PT%20running%20pullup%20(13%20PTS)", "26' 3PT running pullup (13 PTS)")</f>
        <v>26' 3PT running pullup (13 PTS)</v>
      </c>
      <c r="K3474" s="2" t="str">
        <f>HYPERLINK("https://www.nba.com/game/...-vs-...-0022300505/play-by-play?watchFullGame=true", "LAC vs LAL - Q3 03:43.00")</f>
        <v>LAC vs LAL - Q3 03:43.00</v>
      </c>
      <c r="L3474">
        <v>26.71</v>
      </c>
      <c r="M3474">
        <v>33.299999999999997</v>
      </c>
      <c r="N3474">
        <v>38.24</v>
      </c>
      <c r="O3474">
        <v>59</v>
      </c>
      <c r="P3474">
        <v>260</v>
      </c>
    </row>
    <row r="3475" spans="1:16" x14ac:dyDescent="0.25">
      <c r="A3475">
        <v>21400875</v>
      </c>
      <c r="B3475">
        <v>2014</v>
      </c>
      <c r="C3475" t="s">
        <v>32</v>
      </c>
      <c r="D3475" t="s">
        <v>40</v>
      </c>
      <c r="E3475">
        <v>24</v>
      </c>
      <c r="F3475">
        <v>53</v>
      </c>
      <c r="G3475">
        <v>3</v>
      </c>
      <c r="H3475" s="1">
        <v>8.0555555555555554E-3</v>
      </c>
      <c r="I3475" t="s">
        <v>18</v>
      </c>
      <c r="J3475" s="2" t="str">
        <f>HYPERLINK("https://www.nba.com/stats/events?CFID=&amp;CFPARAMS=&amp;GameEventID=293&amp;GameID=0021400875&amp;Season=2014-15&amp;flag=1&amp;title=Leonard%206'%20Hook%20Shot%20(13%20PTS)", "Leonard 6' Hook Shot (13 PTS)")</f>
        <v>Leonard 6' Hook Shot (13 PTS)</v>
      </c>
      <c r="K3475" s="2" t="str">
        <f>HYPERLINK("https://www.nba.com/game/...-vs-...-0021400875/play-by-play?watchFullGame=true", "SAS vs PHX - Q3 11:36.00")</f>
        <v>SAS vs PHX - Q3 11:36.00</v>
      </c>
      <c r="L3475">
        <v>6</v>
      </c>
      <c r="M3475">
        <v>60</v>
      </c>
      <c r="N3475">
        <v>9</v>
      </c>
      <c r="O3475">
        <v>60</v>
      </c>
      <c r="P3475">
        <v>9</v>
      </c>
    </row>
    <row r="3476" spans="1:16" x14ac:dyDescent="0.25">
      <c r="A3476">
        <v>21600319</v>
      </c>
      <c r="B3476">
        <v>2016</v>
      </c>
      <c r="C3476" t="s">
        <v>32</v>
      </c>
      <c r="D3476" t="s">
        <v>19</v>
      </c>
      <c r="E3476">
        <v>38</v>
      </c>
      <c r="F3476">
        <v>34</v>
      </c>
      <c r="G3476">
        <v>2</v>
      </c>
      <c r="H3476" s="1">
        <v>4.2476851851851851E-3</v>
      </c>
      <c r="I3476" t="s">
        <v>18</v>
      </c>
      <c r="J3476" s="2" t="str">
        <f>HYPERLINK("https://www.nba.com/stats/events?CFID=&amp;CFPARAMS=&amp;GameEventID=163&amp;GameID=0021600319&amp;Season=2016-17&amp;flag=1&amp;title=Leonard%206'%20Jump%20Shot%20(8%20PTS)", "Leonard 6' Jump Shot (8 PTS)")</f>
        <v>Leonard 6' Jump Shot (8 PTS)</v>
      </c>
      <c r="K3476" s="2" t="str">
        <f>HYPERLINK("https://www.nba.com/game/...-vs-...-0021600319/play-by-play?watchFullGame=true", "SAS vs MIN - Q2 06:07.00")</f>
        <v>SAS vs MIN - Q2 06:07.00</v>
      </c>
      <c r="L3476">
        <v>6</v>
      </c>
      <c r="M3476">
        <v>60</v>
      </c>
      <c r="N3476">
        <v>23</v>
      </c>
      <c r="O3476">
        <v>60</v>
      </c>
      <c r="P3476">
        <v>23</v>
      </c>
    </row>
    <row r="3477" spans="1:16" x14ac:dyDescent="0.25">
      <c r="A3477">
        <v>22000400</v>
      </c>
      <c r="B3477">
        <v>2020</v>
      </c>
      <c r="C3477" t="s">
        <v>32</v>
      </c>
      <c r="D3477" t="s">
        <v>19</v>
      </c>
      <c r="E3477">
        <v>20</v>
      </c>
      <c r="F3477">
        <v>28</v>
      </c>
      <c r="G3477">
        <v>1</v>
      </c>
      <c r="H3477" s="1">
        <v>4.5023148148148147E-4</v>
      </c>
      <c r="I3477" t="s">
        <v>23</v>
      </c>
      <c r="J3477" s="2" t="str">
        <f>HYPERLINK("https://www.nba.com/stats/events?CFID=&amp;CFPARAMS=&amp;GameEventID=143&amp;GameID=0022000400&amp;Season=2020-21&amp;flag=1&amp;title=Leonard%206'%20turnaround%20Jump%20Shot%20(8%20PTS)", "6' turnaround Jump Shot (8 PTS)")</f>
        <v>6' turnaround Jump Shot (8 PTS)</v>
      </c>
      <c r="K3477" s="2" t="str">
        <f>HYPERLINK("https://www.nba.com/game/...-vs-...-0022000400/play-by-play?watchFullGame=true", "LAC vs CHI - Q1 00:38.90")</f>
        <v>LAC vs CHI - Q1 00:38.90</v>
      </c>
      <c r="L3477">
        <v>6.47</v>
      </c>
      <c r="M3477">
        <v>91.93</v>
      </c>
      <c r="N3477">
        <v>62.08</v>
      </c>
      <c r="O3477">
        <v>60</v>
      </c>
      <c r="P3477">
        <v>23</v>
      </c>
    </row>
    <row r="3478" spans="1:16" x14ac:dyDescent="0.25">
      <c r="A3478">
        <v>21900068</v>
      </c>
      <c r="B3478">
        <v>2019</v>
      </c>
      <c r="C3478" t="s">
        <v>32</v>
      </c>
      <c r="D3478" t="s">
        <v>22</v>
      </c>
      <c r="E3478">
        <v>93</v>
      </c>
      <c r="F3478">
        <v>83</v>
      </c>
      <c r="G3478">
        <v>4</v>
      </c>
      <c r="H3478" s="1">
        <v>4.7569444444444447E-3</v>
      </c>
      <c r="I3478" t="s">
        <v>23</v>
      </c>
      <c r="J3478" s="2" t="str">
        <f>HYPERLINK("https://www.nba.com/stats/events?CFID=&amp;CFPARAMS=&amp;GameEventID=606&amp;GameID=0021900068&amp;Season=2019-20&amp;flag=1&amp;title=[LAC]%20Leonard%20jumpshot:%20Made%20(34%20PTS)", "[LAC] Leonard jumpshot: Made (34 PTS)")</f>
        <v>[LAC] Leonard jumpshot: Made (34 PTS)</v>
      </c>
      <c r="K3478" s="2" t="str">
        <f>HYPERLINK("https://www.nba.com/game/...-vs-...-0021900068/play-by-play?watchFullGame=true", "LAC vs SAS - Q4 06:51.00")</f>
        <v>LAC vs SAS - Q4 06:51.00</v>
      </c>
      <c r="L3478">
        <v>10.57</v>
      </c>
      <c r="M3478">
        <v>85.73</v>
      </c>
      <c r="N3478">
        <v>61.94</v>
      </c>
      <c r="O3478">
        <v>60</v>
      </c>
      <c r="P3478">
        <v>82</v>
      </c>
    </row>
    <row r="3479" spans="1:16" x14ac:dyDescent="0.25">
      <c r="A3479">
        <v>22300114</v>
      </c>
      <c r="B3479">
        <v>2023</v>
      </c>
      <c r="C3479" t="s">
        <v>32</v>
      </c>
      <c r="D3479" t="s">
        <v>19</v>
      </c>
      <c r="E3479">
        <v>94</v>
      </c>
      <c r="F3479">
        <v>75</v>
      </c>
      <c r="G3479">
        <v>4</v>
      </c>
      <c r="H3479" s="1">
        <v>6.875E-3</v>
      </c>
      <c r="I3479" t="s">
        <v>23</v>
      </c>
      <c r="J3479" s="2" t="str">
        <f>HYPERLINK("https://www.nba.com/stats/events?CFID=&amp;CFPARAMS=&amp;GameEventID=543&amp;GameID=0022300114&amp;Season=2023-24&amp;flag=1&amp;title=Leonard%2011'%20turnaround%20fadeaway%20Jump%20Shot%20(6%20PTS)", "11' turnaround fadeaway Jump Shot (6 PTS)")</f>
        <v>11' turnaround fadeaway Jump Shot (6 PTS)</v>
      </c>
      <c r="K3479" s="2" t="str">
        <f>HYPERLINK("https://www.nba.com/game/...-vs-...-0022300114/play-by-play?watchFullGame=true", "LAC vs ORL - Q4 09:54.00")</f>
        <v>LAC vs ORL - Q4 09:54.00</v>
      </c>
      <c r="L3479">
        <v>11.03</v>
      </c>
      <c r="M3479">
        <v>15.42</v>
      </c>
      <c r="N3479">
        <v>37.99</v>
      </c>
      <c r="O3479">
        <v>60</v>
      </c>
      <c r="P3479">
        <v>92</v>
      </c>
    </row>
    <row r="3480" spans="1:16" x14ac:dyDescent="0.25">
      <c r="A3480">
        <v>21500784</v>
      </c>
      <c r="B3480">
        <v>2015</v>
      </c>
      <c r="C3480" t="s">
        <v>32</v>
      </c>
      <c r="D3480" t="s">
        <v>24</v>
      </c>
      <c r="E3480">
        <v>65</v>
      </c>
      <c r="F3480">
        <v>80</v>
      </c>
      <c r="G3480">
        <v>3</v>
      </c>
      <c r="H3480" s="1">
        <v>1.261574074074074E-3</v>
      </c>
      <c r="I3480" t="s">
        <v>18</v>
      </c>
      <c r="J3480" s="2" t="str">
        <f>HYPERLINK("https://www.nba.com/stats/events?CFID=&amp;CFPARAMS=&amp;GameEventID=343&amp;GameID=0021500784&amp;Season=2015-16&amp;flag=1&amp;title=Leonard%2012'%20Turnaround%20Jump%20Shot%20(17%20PTS)", "Leonard 12' Turnaround Jump Shot (17 PTS)")</f>
        <v>Leonard 12' Turnaround Jump Shot (17 PTS)</v>
      </c>
      <c r="K3480" s="2" t="str">
        <f>HYPERLINK("https://www.nba.com/game/...-vs-...-0021500784/play-by-play?watchFullGame=true", "SAS vs MIA - Q3 01:49.00")</f>
        <v>SAS vs MIA - Q3 01:49.00</v>
      </c>
      <c r="L3480">
        <v>12</v>
      </c>
      <c r="M3480">
        <v>60</v>
      </c>
      <c r="N3480">
        <v>101</v>
      </c>
      <c r="O3480">
        <v>60</v>
      </c>
      <c r="P3480">
        <v>101</v>
      </c>
    </row>
    <row r="3481" spans="1:16" x14ac:dyDescent="0.25">
      <c r="A3481">
        <v>21500979</v>
      </c>
      <c r="B3481">
        <v>2015</v>
      </c>
      <c r="C3481" t="s">
        <v>32</v>
      </c>
      <c r="D3481" t="s">
        <v>29</v>
      </c>
      <c r="E3481">
        <v>87</v>
      </c>
      <c r="F3481">
        <v>81</v>
      </c>
      <c r="G3481">
        <v>4</v>
      </c>
      <c r="H3481" s="1">
        <v>2.476851851851852E-3</v>
      </c>
      <c r="I3481" t="s">
        <v>18</v>
      </c>
      <c r="J3481" s="2" t="str">
        <f>HYPERLINK("https://www.nba.com/stats/events?CFID=&amp;CFPARAMS=&amp;GameEventID=480&amp;GameID=0021500979&amp;Season=2015-16&amp;flag=1&amp;title=Leonard%2016'%20Pullup%20Jump%20Shot%20(24%20PTS)", "Leonard 16' Pullup Jump Shot (24 PTS)")</f>
        <v>Leonard 16' Pullup Jump Shot (24 PTS)</v>
      </c>
      <c r="K3481" s="2" t="str">
        <f>HYPERLINK("https://www.nba.com/game/...-vs-...-0021500979/play-by-play?watchFullGame=true", "SAS vs OKC - Q4 03:34.00")</f>
        <v>SAS vs OKC - Q4 03:34.00</v>
      </c>
      <c r="L3481">
        <v>16</v>
      </c>
      <c r="M3481">
        <v>60</v>
      </c>
      <c r="N3481">
        <v>144</v>
      </c>
      <c r="O3481">
        <v>60</v>
      </c>
      <c r="P3481">
        <v>144</v>
      </c>
    </row>
    <row r="3482" spans="1:16" x14ac:dyDescent="0.25">
      <c r="A3482">
        <v>21900523</v>
      </c>
      <c r="B3482">
        <v>2019</v>
      </c>
      <c r="C3482" t="s">
        <v>32</v>
      </c>
      <c r="D3482" t="s">
        <v>22</v>
      </c>
      <c r="E3482">
        <v>57</v>
      </c>
      <c r="F3482">
        <v>65</v>
      </c>
      <c r="G3482">
        <v>2</v>
      </c>
      <c r="H3482" s="1">
        <v>1.3657407407407409E-4</v>
      </c>
      <c r="I3482" t="s">
        <v>23</v>
      </c>
      <c r="J3482" s="2" t="str">
        <f>HYPERLINK("https://www.nba.com/stats/events?CFID=&amp;CFPARAMS=&amp;GameEventID=349&amp;GameID=0021900523&amp;Season=2019-20&amp;flag=1&amp;title=Leonard%2017'%20jumpshot%20(18%20PTS)", "17' jumpshot (18 PTS)")</f>
        <v>17' jumpshot (18 PTS)</v>
      </c>
      <c r="K3482" s="2" t="str">
        <f>HYPERLINK("https://www.nba.com/game/...-vs-...-0021900523/play-by-play?watchFullGame=true", "LAC vs MEM - Q2 00:11.80")</f>
        <v>LAC vs MEM - Q2 00:11.80</v>
      </c>
      <c r="L3482">
        <v>16.73</v>
      </c>
      <c r="M3482">
        <v>21.6</v>
      </c>
      <c r="N3482">
        <v>37.92</v>
      </c>
      <c r="O3482">
        <v>60</v>
      </c>
      <c r="P3482">
        <v>151</v>
      </c>
    </row>
    <row r="3483" spans="1:16" x14ac:dyDescent="0.25">
      <c r="A3483">
        <v>21600744</v>
      </c>
      <c r="B3483">
        <v>2016</v>
      </c>
      <c r="C3483" t="s">
        <v>32</v>
      </c>
      <c r="D3483" t="s">
        <v>29</v>
      </c>
      <c r="E3483">
        <v>79</v>
      </c>
      <c r="F3483">
        <v>73</v>
      </c>
      <c r="G3483">
        <v>3</v>
      </c>
      <c r="H3483" s="1">
        <v>1.1805555555555555E-4</v>
      </c>
      <c r="I3483" t="s">
        <v>18</v>
      </c>
      <c r="J3483" s="2" t="str">
        <f>HYPERLINK("https://www.nba.com/stats/events?CFID=&amp;CFPARAMS=&amp;GameEventID=458&amp;GameID=0021600744&amp;Season=2016-17&amp;flag=1&amp;title=Leonard%2018'%20Pullup%20Jump%20Shot%20(16%20PTS)", "Leonard 18' Pullup Jump Shot (16 PTS)")</f>
        <v>Leonard 18' Pullup Jump Shot (16 PTS)</v>
      </c>
      <c r="K3483" s="2" t="str">
        <f>HYPERLINK("https://www.nba.com/game/...-vs-...-0021600744/play-by-play?watchFullGame=true", "SAS vs PHI - Q3 00:10.20")</f>
        <v>SAS vs PHI - Q3 00:10.20</v>
      </c>
      <c r="L3483">
        <v>18</v>
      </c>
      <c r="M3483">
        <v>60</v>
      </c>
      <c r="N3483">
        <v>170</v>
      </c>
      <c r="O3483">
        <v>60</v>
      </c>
      <c r="P3483">
        <v>170</v>
      </c>
    </row>
    <row r="3484" spans="1:16" x14ac:dyDescent="0.25">
      <c r="A3484">
        <v>21600588</v>
      </c>
      <c r="B3484">
        <v>2016</v>
      </c>
      <c r="C3484" t="s">
        <v>16</v>
      </c>
      <c r="D3484" t="s">
        <v>19</v>
      </c>
      <c r="E3484">
        <v>15</v>
      </c>
      <c r="F3484">
        <v>9</v>
      </c>
      <c r="G3484">
        <v>1</v>
      </c>
      <c r="H3484" s="1">
        <v>5.37037037037037E-3</v>
      </c>
      <c r="I3484" t="s">
        <v>18</v>
      </c>
      <c r="J3484" s="2" t="str">
        <f>HYPERLINK("https://www.nba.com/stats/events?CFID=&amp;CFPARAMS=&amp;GameEventID=41&amp;GameID=0021600588&amp;Season=2016-17&amp;flag=1&amp;title=Leonard%2024'%203PT%20Jump%20Shot%20(5%20PTS)%20(Green%201%20AST)", "Leonard 24' 3PT Jump Shot (5 PTS) (Green 1 AST)")</f>
        <v>Leonard 24' 3PT Jump Shot (5 PTS) (Green 1 AST)</v>
      </c>
      <c r="K3484" s="2" t="str">
        <f>HYPERLINK("https://www.nba.com/game/...-vs-...-0021600588/play-by-play?watchFullGame=true", "SAS vs LAL - Q1 07:44.00")</f>
        <v>SAS vs LAL - Q1 07:44.00</v>
      </c>
      <c r="L3484">
        <v>24</v>
      </c>
      <c r="M3484">
        <v>60</v>
      </c>
      <c r="N3484">
        <v>237</v>
      </c>
      <c r="O3484">
        <v>60</v>
      </c>
      <c r="P3484">
        <v>237</v>
      </c>
    </row>
    <row r="3485" spans="1:16" x14ac:dyDescent="0.25">
      <c r="A3485">
        <v>21601151</v>
      </c>
      <c r="B3485">
        <v>2016</v>
      </c>
      <c r="C3485" t="s">
        <v>16</v>
      </c>
      <c r="D3485" t="s">
        <v>29</v>
      </c>
      <c r="E3485">
        <v>70</v>
      </c>
      <c r="F3485">
        <v>60</v>
      </c>
      <c r="G3485">
        <v>3</v>
      </c>
      <c r="H3485" s="1">
        <v>5.6712962962962967E-3</v>
      </c>
      <c r="I3485" t="s">
        <v>18</v>
      </c>
      <c r="J3485" s="2" t="str">
        <f>HYPERLINK("https://www.nba.com/stats/events?CFID=&amp;CFPARAMS=&amp;GameEventID=259&amp;GameID=0021601151&amp;Season=2016-17&amp;flag=1&amp;title=Leonard%2025'%203PT%20Pullup%20Jump%20Shot%20(14%20PTS)", "Leonard 25' 3PT Pullup Jump Shot (14 PTS)")</f>
        <v>Leonard 25' 3PT Pullup Jump Shot (14 PTS)</v>
      </c>
      <c r="K3485" s="2" t="str">
        <f>HYPERLINK("https://www.nba.com/game/...-vs-...-0021601151/play-by-play?watchFullGame=true", "SAS vs UTA - Q3 08:10.00")</f>
        <v>SAS vs UTA - Q3 08:10.00</v>
      </c>
      <c r="L3485">
        <v>25</v>
      </c>
      <c r="M3485">
        <v>60</v>
      </c>
      <c r="N3485">
        <v>247</v>
      </c>
      <c r="O3485">
        <v>60</v>
      </c>
      <c r="P3485">
        <v>247</v>
      </c>
    </row>
    <row r="3486" spans="1:16" x14ac:dyDescent="0.25">
      <c r="A3486">
        <v>22200932</v>
      </c>
      <c r="B3486">
        <v>2022</v>
      </c>
      <c r="C3486" t="s">
        <v>16</v>
      </c>
      <c r="D3486" t="s">
        <v>19</v>
      </c>
      <c r="E3486">
        <v>89</v>
      </c>
      <c r="F3486">
        <v>95</v>
      </c>
      <c r="G3486">
        <v>4</v>
      </c>
      <c r="H3486" s="1">
        <v>4.9189814814814816E-3</v>
      </c>
      <c r="I3486" t="s">
        <v>23</v>
      </c>
      <c r="J3486" s="2" t="str">
        <f>HYPERLINK("https://www.nba.com/stats/events?CFID=&amp;CFPARAMS=&amp;GameEventID=576&amp;GameID=0022200932&amp;Season=2022-23&amp;flag=1&amp;title=Leonard%2027'%203PT%20pullup%20(23%20PTS)", "27' 3PT pullup (23 PTS)")</f>
        <v>27' 3PT pullup (23 PTS)</v>
      </c>
      <c r="K3486" s="2" t="str">
        <f>HYPERLINK("https://www.nba.com/game/...-vs-...-0022200932/play-by-play?watchFullGame=true", "LAC vs MIN - Q4 07:05.00")</f>
        <v>LAC vs MIN - Q4 07:05.00</v>
      </c>
      <c r="L3486">
        <v>27.33</v>
      </c>
      <c r="M3486">
        <v>33.950000000000003</v>
      </c>
      <c r="N3486">
        <v>37.99</v>
      </c>
      <c r="O3486">
        <v>60</v>
      </c>
      <c r="P3486">
        <v>267</v>
      </c>
    </row>
    <row r="3487" spans="1:16" x14ac:dyDescent="0.25">
      <c r="A3487">
        <v>22200408</v>
      </c>
      <c r="B3487">
        <v>2022</v>
      </c>
      <c r="C3487" t="s">
        <v>32</v>
      </c>
      <c r="D3487" t="s">
        <v>19</v>
      </c>
      <c r="E3487">
        <v>73</v>
      </c>
      <c r="F3487">
        <v>57</v>
      </c>
      <c r="G3487">
        <v>3</v>
      </c>
      <c r="H3487" s="1">
        <v>3.9236111111111112E-3</v>
      </c>
      <c r="I3487" t="s">
        <v>23</v>
      </c>
      <c r="J3487" s="2" t="str">
        <f>HYPERLINK("https://www.nba.com/stats/events?CFID=&amp;CFPARAMS=&amp;GameEventID=414&amp;GameID=0022200408&amp;Season=2022-23&amp;flag=1&amp;title=Leonard%206'%20fadeaway%20Jump%20Shot%20(20%20PTS)%20(P.%20George%202%20AST)", "6' fadeaway Jump Shot (20 PTS) (P. George 2 AST)")</f>
        <v>6' fadeaway Jump Shot (20 PTS) (P. George 2 AST)</v>
      </c>
      <c r="K3487" s="2" t="str">
        <f>HYPERLINK("https://www.nba.com/game/...-vs-...-0022200408/play-by-play?watchFullGame=true", "LAC vs BOS - Q3 05:39.00")</f>
        <v>LAC vs BOS - Q3 05:39.00</v>
      </c>
      <c r="L3487">
        <v>6.23</v>
      </c>
      <c r="M3487">
        <v>6.75</v>
      </c>
      <c r="N3487">
        <v>37.75</v>
      </c>
      <c r="O3487">
        <v>61</v>
      </c>
      <c r="P3487">
        <v>11</v>
      </c>
    </row>
    <row r="3488" spans="1:16" x14ac:dyDescent="0.25">
      <c r="A3488">
        <v>21600353</v>
      </c>
      <c r="B3488">
        <v>2016</v>
      </c>
      <c r="C3488" t="s">
        <v>32</v>
      </c>
      <c r="D3488" t="s">
        <v>38</v>
      </c>
      <c r="E3488">
        <v>13</v>
      </c>
      <c r="F3488">
        <v>6</v>
      </c>
      <c r="G3488">
        <v>1</v>
      </c>
      <c r="H3488" s="1">
        <v>6.0416666666666665E-3</v>
      </c>
      <c r="I3488" t="s">
        <v>18</v>
      </c>
      <c r="J3488" s="2" t="str">
        <f>HYPERLINK("https://www.nba.com/stats/events?CFID=&amp;CFPARAMS=&amp;GameEventID=21&amp;GameID=0021600353&amp;Season=2016-17&amp;flag=1&amp;title=Leonard%206'%20Jump%20Bank%20Shot%20(2%20PTS)%20(Parker%204%20AST)", "Leonard 6' Jump Bank Shot (2 PTS) (Parker 4 AST)")</f>
        <v>Leonard 6' Jump Bank Shot (2 PTS) (Parker 4 AST)</v>
      </c>
      <c r="K3488" s="2" t="str">
        <f>HYPERLINK("https://www.nba.com/game/...-vs-...-0021600353/play-by-play?watchFullGame=true", "SAS vs BKN - Q1 08:42.00")</f>
        <v>SAS vs BKN - Q1 08:42.00</v>
      </c>
      <c r="L3488">
        <v>6</v>
      </c>
      <c r="M3488">
        <v>61</v>
      </c>
      <c r="N3488">
        <v>11</v>
      </c>
      <c r="O3488">
        <v>61</v>
      </c>
      <c r="P3488">
        <v>11</v>
      </c>
    </row>
    <row r="3489" spans="1:16" x14ac:dyDescent="0.25">
      <c r="A3489">
        <v>41200403</v>
      </c>
      <c r="B3489" t="s">
        <v>27</v>
      </c>
      <c r="C3489" t="s">
        <v>32</v>
      </c>
      <c r="D3489" t="s">
        <v>19</v>
      </c>
      <c r="E3489">
        <v>73</v>
      </c>
      <c r="F3489">
        <v>52</v>
      </c>
      <c r="G3489">
        <v>3</v>
      </c>
      <c r="H3489" s="1">
        <v>2.0370370370370369E-3</v>
      </c>
      <c r="I3489" t="s">
        <v>18</v>
      </c>
      <c r="J3489" s="2" t="str">
        <f>HYPERLINK("https://www.nba.com/stats/events?CFID=&amp;CFPARAMS=&amp;GameEventID=340&amp;GameID=0041200403&amp;Season=2012-13&amp;flag=1&amp;title=Leonard%207'%20Jump%20Shot%20(12%20PTS)", "Leonard 7' Jump Shot (12 PTS)")</f>
        <v>Leonard 7' Jump Shot (12 PTS)</v>
      </c>
      <c r="K3489" s="2" t="str">
        <f>HYPERLINK("https://www.nba.com/game/...-vs-...-0041200403/play-by-play?watchFullGame=true", "SAS vs MIA - Q3 02:56.00")</f>
        <v>SAS vs MIA - Q3 02:56.00</v>
      </c>
      <c r="L3489">
        <v>7</v>
      </c>
      <c r="M3489">
        <v>61</v>
      </c>
      <c r="N3489">
        <v>36</v>
      </c>
      <c r="O3489">
        <v>61</v>
      </c>
      <c r="P3489">
        <v>36</v>
      </c>
    </row>
    <row r="3490" spans="1:16" x14ac:dyDescent="0.25">
      <c r="A3490">
        <v>22300799</v>
      </c>
      <c r="B3490">
        <v>2023</v>
      </c>
      <c r="C3490" t="s">
        <v>32</v>
      </c>
      <c r="D3490" t="s">
        <v>19</v>
      </c>
      <c r="E3490">
        <v>19</v>
      </c>
      <c r="F3490">
        <v>25</v>
      </c>
      <c r="G3490">
        <v>1</v>
      </c>
      <c r="H3490" s="1">
        <v>2.7546296296296294E-3</v>
      </c>
      <c r="I3490" t="s">
        <v>23</v>
      </c>
      <c r="J3490" s="2" t="str">
        <f>HYPERLINK("https://www.nba.com/stats/events?CFID=&amp;CFPARAMS=&amp;GameEventID=94&amp;GameID=0022300799&amp;Season=2023-24&amp;flag=1&amp;title=Leonard%208'%20driving%20bank%20Jump%20Shot%20(6%20PTS)", "8' driving bank Jump Shot (6 PTS)")</f>
        <v>8' driving bank Jump Shot (6 PTS)</v>
      </c>
      <c r="K3490" s="2" t="str">
        <f>HYPERLINK("https://www.nba.com/game/...-vs-...-0022300799/play-by-play?watchFullGame=true", "LAC vs OKC - Q1 03:58.00")</f>
        <v>LAC vs OKC - Q1 03:58.00</v>
      </c>
      <c r="L3490">
        <v>8.1199999999999992</v>
      </c>
      <c r="M3490">
        <v>11.25</v>
      </c>
      <c r="N3490">
        <v>37.75</v>
      </c>
      <c r="O3490">
        <v>61</v>
      </c>
      <c r="P3490">
        <v>53</v>
      </c>
    </row>
    <row r="3491" spans="1:16" x14ac:dyDescent="0.25">
      <c r="A3491">
        <v>22200932</v>
      </c>
      <c r="B3491">
        <v>2022</v>
      </c>
      <c r="C3491" t="s">
        <v>32</v>
      </c>
      <c r="D3491" t="s">
        <v>19</v>
      </c>
      <c r="E3491">
        <v>75</v>
      </c>
      <c r="F3491">
        <v>79</v>
      </c>
      <c r="G3491">
        <v>3</v>
      </c>
      <c r="H3491" s="1">
        <v>1.4120370370370369E-3</v>
      </c>
      <c r="I3491" t="s">
        <v>23</v>
      </c>
      <c r="J3491" s="2" t="str">
        <f>HYPERLINK("https://www.nba.com/stats/events?CFID=&amp;CFPARAMS=&amp;GameEventID=488&amp;GameID=0022200932&amp;Season=2022-23&amp;flag=1&amp;title=Leonard%208'%20fadeaway%20Jump%20Shot%20(20%20PTS)", "8' fadeaway Jump Shot (20 PTS)")</f>
        <v>8' fadeaway Jump Shot (20 PTS)</v>
      </c>
      <c r="K3491" s="2" t="str">
        <f>HYPERLINK("https://www.nba.com/game/...-vs-...-0022200932/play-by-play?watchFullGame=true", "LAC vs MIN - Q3 02:02.00")</f>
        <v>LAC vs MIN - Q3 02:02.00</v>
      </c>
      <c r="L3491">
        <v>8.35</v>
      </c>
      <c r="M3491">
        <v>11.61</v>
      </c>
      <c r="N3491">
        <v>37.75</v>
      </c>
      <c r="O3491">
        <v>61</v>
      </c>
      <c r="P3491">
        <v>57</v>
      </c>
    </row>
    <row r="3492" spans="1:16" x14ac:dyDescent="0.25">
      <c r="A3492">
        <v>21401150</v>
      </c>
      <c r="B3492">
        <v>2014</v>
      </c>
      <c r="C3492" t="s">
        <v>32</v>
      </c>
      <c r="D3492" t="s">
        <v>29</v>
      </c>
      <c r="E3492">
        <v>73</v>
      </c>
      <c r="F3492">
        <v>53</v>
      </c>
      <c r="G3492">
        <v>3</v>
      </c>
      <c r="H3492" s="1">
        <v>4.386574074074074E-3</v>
      </c>
      <c r="I3492" t="s">
        <v>18</v>
      </c>
      <c r="J3492" s="2" t="str">
        <f>HYPERLINK("https://www.nba.com/stats/events?CFID=&amp;CFPARAMS=&amp;GameEventID=288&amp;GameID=0021401150&amp;Season=2014-15&amp;flag=1&amp;title=Leonard%209'%20Pullup%20Jump%20Shot%20(21%20PTS)", "Leonard 9' Pullup Jump Shot (21 PTS)")</f>
        <v>Leonard 9' Pullup Jump Shot (21 PTS)</v>
      </c>
      <c r="K3492" s="2" t="str">
        <f>HYPERLINK("https://www.nba.com/game/...-vs-...-0021401150/play-by-play?watchFullGame=true", "SAS vs GSW - Q3 06:19.00")</f>
        <v>SAS vs GSW - Q3 06:19.00</v>
      </c>
      <c r="L3492">
        <v>9</v>
      </c>
      <c r="M3492">
        <v>61</v>
      </c>
      <c r="N3492">
        <v>64</v>
      </c>
      <c r="O3492">
        <v>61</v>
      </c>
      <c r="P3492">
        <v>64</v>
      </c>
    </row>
    <row r="3493" spans="1:16" x14ac:dyDescent="0.25">
      <c r="A3493">
        <v>21900035</v>
      </c>
      <c r="B3493">
        <v>2019</v>
      </c>
      <c r="C3493" t="s">
        <v>32</v>
      </c>
      <c r="D3493" t="s">
        <v>22</v>
      </c>
      <c r="E3493">
        <v>32</v>
      </c>
      <c r="F3493">
        <v>29</v>
      </c>
      <c r="G3493">
        <v>2</v>
      </c>
      <c r="H3493" s="1">
        <v>6.7592592592592591E-3</v>
      </c>
      <c r="I3493" t="s">
        <v>23</v>
      </c>
      <c r="J3493" s="2" t="str">
        <f>HYPERLINK("https://www.nba.com/stats/events?CFID=&amp;CFPARAMS=&amp;GameEventID=231&amp;GameID=0021900035&amp;Season=2019-20&amp;flag=1&amp;title=[LAC]%20Leonard%20jumpshot:%20Made%20(5%20PTS)", "[LAC] Leonard jumpshot: Made (5 PTS)")</f>
        <v>[LAC] Leonard jumpshot: Made (5 PTS)</v>
      </c>
      <c r="K3493" s="2" t="str">
        <f>HYPERLINK("https://www.nba.com/game/...-vs-...-0021900035/play-by-play?watchFullGame=true", "LAC vs PHX - Q2 09:44.00")</f>
        <v>LAC vs PHX - Q2 09:44.00</v>
      </c>
      <c r="L3493">
        <v>12.85</v>
      </c>
      <c r="M3493">
        <v>17.03</v>
      </c>
      <c r="N3493">
        <v>37.81</v>
      </c>
      <c r="O3493">
        <v>61</v>
      </c>
      <c r="P3493">
        <v>108</v>
      </c>
    </row>
    <row r="3494" spans="1:16" x14ac:dyDescent="0.25">
      <c r="A3494">
        <v>21400757</v>
      </c>
      <c r="B3494">
        <v>2014</v>
      </c>
      <c r="C3494" t="s">
        <v>16</v>
      </c>
      <c r="D3494" t="s">
        <v>19</v>
      </c>
      <c r="E3494">
        <v>55</v>
      </c>
      <c r="F3494">
        <v>43</v>
      </c>
      <c r="G3494">
        <v>3</v>
      </c>
      <c r="H3494" s="1">
        <v>7.7546296296296295E-3</v>
      </c>
      <c r="I3494" t="s">
        <v>18</v>
      </c>
      <c r="J3494" s="2" t="str">
        <f>HYPERLINK("https://www.nba.com/stats/events?CFID=&amp;CFPARAMS=&amp;GameEventID=210&amp;GameID=0021400757&amp;Season=2014-15&amp;flag=1&amp;title=Leonard%2025'%203PT%20Jump%20Shot%20(19%20PTS)", "Leonard 25' 3PT Jump Shot (19 PTS)")</f>
        <v>Leonard 25' 3PT Jump Shot (19 PTS)</v>
      </c>
      <c r="K3494" s="2" t="str">
        <f>HYPERLINK("https://www.nba.com/game/...-vs-...-0021400757/play-by-play?watchFullGame=true", "SAS vs MIA - Q3 11:10.00")</f>
        <v>SAS vs MIA - Q3 11:10.00</v>
      </c>
      <c r="L3494">
        <v>25</v>
      </c>
      <c r="M3494">
        <v>61</v>
      </c>
      <c r="N3494">
        <v>241</v>
      </c>
      <c r="O3494">
        <v>61</v>
      </c>
      <c r="P3494">
        <v>241</v>
      </c>
    </row>
    <row r="3495" spans="1:16" x14ac:dyDescent="0.25">
      <c r="A3495">
        <v>22300085</v>
      </c>
      <c r="B3495">
        <v>2023</v>
      </c>
      <c r="C3495" t="s">
        <v>32</v>
      </c>
      <c r="D3495" t="s">
        <v>44</v>
      </c>
      <c r="E3495">
        <v>63</v>
      </c>
      <c r="F3495">
        <v>56</v>
      </c>
      <c r="G3495">
        <v>3</v>
      </c>
      <c r="H3495" s="1">
        <v>8.1365740740740738E-3</v>
      </c>
      <c r="I3495" t="s">
        <v>23</v>
      </c>
      <c r="J3495" s="2" t="str">
        <f>HYPERLINK("https://www.nba.com/stats/events?CFID=&amp;CFPARAMS=&amp;GameEventID=330&amp;GameID=0022300085&amp;Season=2023-24&amp;flag=1&amp;title=Leonard%206'%20turnaround%20Hook%20(14%20PTS)", "6' turnaround Hook (14 PTS)")</f>
        <v>6' turnaround Hook (14 PTS)</v>
      </c>
      <c r="K3495" s="2" t="str">
        <f>HYPERLINK("https://www.nba.com/game/...-vs-...-0022300085/play-by-play?watchFullGame=true", "LAC vs UTA - Q3 11:43.00")</f>
        <v>LAC vs UTA - Q3 11:43.00</v>
      </c>
      <c r="L3495">
        <v>6.49</v>
      </c>
      <c r="M3495">
        <v>7.44</v>
      </c>
      <c r="N3495">
        <v>37.5</v>
      </c>
      <c r="O3495">
        <v>62</v>
      </c>
      <c r="P3495">
        <v>17</v>
      </c>
    </row>
    <row r="3496" spans="1:16" x14ac:dyDescent="0.25">
      <c r="A3496">
        <v>41400167</v>
      </c>
      <c r="B3496" t="s">
        <v>28</v>
      </c>
      <c r="C3496" t="s">
        <v>32</v>
      </c>
      <c r="D3496" t="s">
        <v>37</v>
      </c>
      <c r="E3496">
        <v>0</v>
      </c>
      <c r="F3496">
        <v>2</v>
      </c>
      <c r="G3496">
        <v>1</v>
      </c>
      <c r="H3496" s="1">
        <v>8.067129629629629E-3</v>
      </c>
      <c r="I3496" t="s">
        <v>18</v>
      </c>
      <c r="J3496" s="2" t="str">
        <f>HYPERLINK("https://www.nba.com/stats/events?CFID=&amp;CFPARAMS=&amp;GameEventID=2&amp;GameID=0041400167&amp;Season=2014-15&amp;flag=1&amp;title=Leonard%208'%20Floating%20Jump%20Shot%20(2%20PTS)%20(Parker%201%20AST)", "Leonard 8' Floating Jump Shot (2 PTS) (Parker 1 AST)")</f>
        <v>Leonard 8' Floating Jump Shot (2 PTS) (Parker 1 AST)</v>
      </c>
      <c r="K3496" s="2" t="str">
        <f>HYPERLINK("https://www.nba.com/game/...-vs-...-0041400167/play-by-play?watchFullGame=true", "SAS vs LAC - Q1 11:37.00")</f>
        <v>SAS vs LAC - Q1 11:37.00</v>
      </c>
      <c r="L3496">
        <v>8</v>
      </c>
      <c r="M3496">
        <v>62</v>
      </c>
      <c r="N3496">
        <v>53</v>
      </c>
      <c r="O3496">
        <v>62</v>
      </c>
      <c r="P3496">
        <v>53</v>
      </c>
    </row>
    <row r="3497" spans="1:16" x14ac:dyDescent="0.25">
      <c r="A3497">
        <v>21901291</v>
      </c>
      <c r="B3497">
        <v>2019</v>
      </c>
      <c r="C3497" t="s">
        <v>32</v>
      </c>
      <c r="D3497" t="s">
        <v>22</v>
      </c>
      <c r="E3497">
        <v>109</v>
      </c>
      <c r="F3497">
        <v>118</v>
      </c>
      <c r="G3497">
        <v>4</v>
      </c>
      <c r="H3497" s="1">
        <v>2.1064814814814813E-3</v>
      </c>
      <c r="I3497" t="s">
        <v>23</v>
      </c>
      <c r="J3497" s="2" t="str">
        <f>HYPERLINK("https://www.nba.com/stats/events?CFID=&amp;CFPARAMS=&amp;GameEventID=629&amp;GameID=0021901291&amp;Season=2019-20&amp;flag=1&amp;title=Leonard%209'%20jumpshot%20(34%20PTS)%20(M.%20Morris%20Sr.%202%20AST)", "9' jumpshot (34 PTS) (M. Morris Sr. 2 AST)")</f>
        <v>9' jumpshot (34 PTS) (M. Morris Sr. 2 AST)</v>
      </c>
      <c r="K3497" s="2" t="str">
        <f>HYPERLINK("https://www.nba.com/game/...-vs-...-0021901291/play-by-play?watchFullGame=true", "LAC vs BKN - Q4 03:02.00")</f>
        <v>LAC vs BKN - Q4 03:02.00</v>
      </c>
      <c r="L3497">
        <v>8.82</v>
      </c>
      <c r="M3497">
        <v>11.65</v>
      </c>
      <c r="N3497">
        <v>37.57</v>
      </c>
      <c r="O3497">
        <v>62</v>
      </c>
      <c r="P3497">
        <v>57</v>
      </c>
    </row>
    <row r="3498" spans="1:16" x14ac:dyDescent="0.25">
      <c r="A3498">
        <v>22301225</v>
      </c>
      <c r="B3498">
        <v>2023</v>
      </c>
      <c r="C3498" t="s">
        <v>32</v>
      </c>
      <c r="D3498" t="s">
        <v>19</v>
      </c>
      <c r="E3498">
        <v>63</v>
      </c>
      <c r="F3498">
        <v>79</v>
      </c>
      <c r="G3498">
        <v>3</v>
      </c>
      <c r="H3498" s="1">
        <v>2.9745370370370373E-3</v>
      </c>
      <c r="I3498" t="s">
        <v>23</v>
      </c>
      <c r="J3498" s="2" t="str">
        <f>HYPERLINK("https://www.nba.com/stats/events?CFID=&amp;CFPARAMS=&amp;GameEventID=429&amp;GameID=0022301225&amp;Season=2023-24&amp;flag=1&amp;title=Leonard%209'%20driving%20floating%20Jump%20Shot%20(28%20PTS)", "9' driving floating Jump Shot (28 PTS)")</f>
        <v>9' driving floating Jump Shot (28 PTS)</v>
      </c>
      <c r="K3498" s="2" t="str">
        <f>HYPERLINK("https://www.nba.com/game/...-vs-...-0022301225/play-by-play?watchFullGame=true", "LAC vs UTA - Q3 04:17.00")</f>
        <v>LAC vs UTA - Q3 04:17.00</v>
      </c>
      <c r="L3498">
        <v>9.43</v>
      </c>
      <c r="M3498">
        <v>13.09</v>
      </c>
      <c r="N3498">
        <v>37.5</v>
      </c>
      <c r="O3498">
        <v>62</v>
      </c>
      <c r="P3498">
        <v>71</v>
      </c>
    </row>
    <row r="3499" spans="1:16" x14ac:dyDescent="0.25">
      <c r="A3499">
        <v>22200538</v>
      </c>
      <c r="B3499">
        <v>2022</v>
      </c>
      <c r="C3499" t="s">
        <v>32</v>
      </c>
      <c r="D3499" t="s">
        <v>19</v>
      </c>
      <c r="E3499">
        <v>79</v>
      </c>
      <c r="F3499">
        <v>75</v>
      </c>
      <c r="G3499">
        <v>3</v>
      </c>
      <c r="H3499" s="1">
        <v>4.4444444444444444E-3</v>
      </c>
      <c r="I3499" t="s">
        <v>23</v>
      </c>
      <c r="J3499" s="2" t="str">
        <f>HYPERLINK("https://www.nba.com/stats/events?CFID=&amp;CFPARAMS=&amp;GameEventID=355&amp;GameID=0022200538&amp;Season=2022-23&amp;flag=1&amp;title=Leonard%2010'%20pullup%20Jump%20Shot%20(14%20PTS)", "10' pullup Jump Shot (14 PTS)")</f>
        <v>10' pullup Jump Shot (14 PTS)</v>
      </c>
      <c r="K3499" s="2" t="str">
        <f>HYPERLINK("https://www.nba.com/game/...-vs-...-0022200538/play-by-play?watchFullGame=true", "LAC vs IND - Q3 06:24.00")</f>
        <v>LAC vs IND - Q3 06:24.00</v>
      </c>
      <c r="L3499">
        <v>10</v>
      </c>
      <c r="M3499">
        <v>13.88</v>
      </c>
      <c r="N3499">
        <v>37.5</v>
      </c>
      <c r="O3499">
        <v>62</v>
      </c>
      <c r="P3499">
        <v>78</v>
      </c>
    </row>
    <row r="3500" spans="1:16" x14ac:dyDescent="0.25">
      <c r="A3500">
        <v>22001019</v>
      </c>
      <c r="B3500">
        <v>2020</v>
      </c>
      <c r="C3500" t="s">
        <v>32</v>
      </c>
      <c r="D3500" t="s">
        <v>19</v>
      </c>
      <c r="E3500">
        <v>94</v>
      </c>
      <c r="F3500">
        <v>100</v>
      </c>
      <c r="G3500">
        <v>4</v>
      </c>
      <c r="H3500" s="1">
        <v>6.9444444444444447E-4</v>
      </c>
      <c r="I3500" t="s">
        <v>23</v>
      </c>
      <c r="J3500" s="2" t="str">
        <f>HYPERLINK("https://www.nba.com/stats/events?CFID=&amp;CFPARAMS=&amp;GameEventID=533&amp;GameID=0022001019&amp;Season=2020-21&amp;flag=1&amp;title=Leonard%209'%20Jump%20Shot%20(23%20PTS)%20(N.%20Batum%203%20AST)", "9' Jump Shot (23 PTS) (N. Batum 3 AST)")</f>
        <v>9' Jump Shot (23 PTS) (N. Batum 3 AST)</v>
      </c>
      <c r="K3500" s="2" t="str">
        <f>HYPERLINK("https://www.nba.com/game/...-vs-...-0022001019/play-by-play?watchFullGame=true", "LAC vs NYK - Q4 01:00.00")</f>
        <v>LAC vs NYK - Q4 01:00.00</v>
      </c>
      <c r="L3500">
        <v>9.98</v>
      </c>
      <c r="M3500">
        <v>13.88</v>
      </c>
      <c r="N3500">
        <v>37.57</v>
      </c>
      <c r="O3500">
        <v>62</v>
      </c>
      <c r="P3500">
        <v>78</v>
      </c>
    </row>
    <row r="3501" spans="1:16" x14ac:dyDescent="0.25">
      <c r="A3501">
        <v>22201004</v>
      </c>
      <c r="B3501">
        <v>2022</v>
      </c>
      <c r="C3501" t="s">
        <v>32</v>
      </c>
      <c r="D3501" t="s">
        <v>19</v>
      </c>
      <c r="E3501">
        <v>20</v>
      </c>
      <c r="F3501">
        <v>17</v>
      </c>
      <c r="G3501">
        <v>1</v>
      </c>
      <c r="H3501" s="1">
        <v>1.5046296296296296E-3</v>
      </c>
      <c r="I3501" t="s">
        <v>23</v>
      </c>
      <c r="J3501" s="2" t="str">
        <f>HYPERLINK("https://www.nba.com/stats/events?CFID=&amp;CFPARAMS=&amp;GameEventID=117&amp;GameID=0022201004&amp;Season=2022-23&amp;flag=1&amp;title=Leonard%2011'%20pullup%20Jump%20Shot%20(8%20PTS)", "11' pullup Jump Shot (8 PTS)")</f>
        <v>11' pullup Jump Shot (8 PTS)</v>
      </c>
      <c r="K3501" s="2" t="str">
        <f>HYPERLINK("https://www.nba.com/game/...-vs-...-0022201004/play-by-play?watchFullGame=true", "LAC vs NYK - Q1 02:10.00")</f>
        <v>LAC vs NYK - Q1 02:10.00</v>
      </c>
      <c r="L3501">
        <v>11.29</v>
      </c>
      <c r="M3501">
        <v>84.41</v>
      </c>
      <c r="N3501">
        <v>62.5</v>
      </c>
      <c r="O3501">
        <v>62</v>
      </c>
      <c r="P3501">
        <v>94</v>
      </c>
    </row>
    <row r="3502" spans="1:16" x14ac:dyDescent="0.25">
      <c r="A3502">
        <v>22200639</v>
      </c>
      <c r="B3502">
        <v>2022</v>
      </c>
      <c r="C3502" t="s">
        <v>32</v>
      </c>
      <c r="D3502" t="s">
        <v>19</v>
      </c>
      <c r="E3502">
        <v>64</v>
      </c>
      <c r="F3502">
        <v>61</v>
      </c>
      <c r="G3502">
        <v>3</v>
      </c>
      <c r="H3502" s="1">
        <v>7.0023148148148145E-3</v>
      </c>
      <c r="I3502" t="s">
        <v>23</v>
      </c>
      <c r="J3502" s="2" t="str">
        <f>HYPERLINK("https://www.nba.com/stats/events?CFID=&amp;CFPARAMS=&amp;GameEventID=295&amp;GameID=0022200639&amp;Season=2022-23&amp;flag=1&amp;title=Leonard%2014'%20step%20back%20Jump%20Shot%20(18%20PTS)", "14' step back Jump Shot (18 PTS)")</f>
        <v>14' step back Jump Shot (18 PTS)</v>
      </c>
      <c r="K3502" s="2" t="str">
        <f>HYPERLINK("https://www.nba.com/game/...-vs-...-0022200639/play-by-play?watchFullGame=true", "LAC vs DEN - Q3 10:05.00")</f>
        <v>LAC vs DEN - Q3 10:05.00</v>
      </c>
      <c r="L3502">
        <v>14.27</v>
      </c>
      <c r="M3502">
        <v>19.23</v>
      </c>
      <c r="N3502">
        <v>37.5</v>
      </c>
      <c r="O3502">
        <v>62</v>
      </c>
      <c r="P3502">
        <v>128</v>
      </c>
    </row>
    <row r="3503" spans="1:16" x14ac:dyDescent="0.25">
      <c r="A3503">
        <v>22300127</v>
      </c>
      <c r="B3503">
        <v>2023</v>
      </c>
      <c r="C3503" t="s">
        <v>32</v>
      </c>
      <c r="D3503" t="s">
        <v>19</v>
      </c>
      <c r="E3503">
        <v>48</v>
      </c>
      <c r="F3503">
        <v>61</v>
      </c>
      <c r="G3503">
        <v>2</v>
      </c>
      <c r="H3503" s="1">
        <v>1.574074074074074E-4</v>
      </c>
      <c r="I3503" t="s">
        <v>23</v>
      </c>
      <c r="J3503" s="2" t="str">
        <f>HYPERLINK("https://www.nba.com/stats/events?CFID=&amp;CFPARAMS=&amp;GameEventID=314&amp;GameID=0022300127&amp;Season=2023-24&amp;flag=1&amp;title=Leonard%2015'%20step%20back%20Jump%20Shot%20(22%20PTS)", "15' step back Jump Shot (22 PTS)")</f>
        <v>15' step back Jump Shot (22 PTS)</v>
      </c>
      <c r="K3503" s="2" t="str">
        <f>HYPERLINK("https://www.nba.com/game/...-vs-...-0022300127/play-by-play?watchFullGame=true", "LAC vs LAL - Q2 00:13.60")</f>
        <v>LAC vs LAL - Q2 00:13.60</v>
      </c>
      <c r="L3503">
        <v>15.76</v>
      </c>
      <c r="M3503">
        <v>79.02</v>
      </c>
      <c r="N3503">
        <v>62.5</v>
      </c>
      <c r="O3503">
        <v>62</v>
      </c>
      <c r="P3503">
        <v>145</v>
      </c>
    </row>
    <row r="3504" spans="1:16" x14ac:dyDescent="0.25">
      <c r="A3504">
        <v>21400663</v>
      </c>
      <c r="B3504">
        <v>2014</v>
      </c>
      <c r="C3504" t="s">
        <v>32</v>
      </c>
      <c r="D3504" t="s">
        <v>29</v>
      </c>
      <c r="E3504">
        <v>61</v>
      </c>
      <c r="F3504">
        <v>62</v>
      </c>
      <c r="G3504">
        <v>3</v>
      </c>
      <c r="H3504" s="1">
        <v>2.7777777777777779E-3</v>
      </c>
      <c r="I3504" t="s">
        <v>18</v>
      </c>
      <c r="J3504" s="2" t="str">
        <f>HYPERLINK("https://www.nba.com/stats/events?CFID=&amp;CFPARAMS=&amp;GameEventID=343&amp;GameID=0021400663&amp;Season=2014-15&amp;flag=1&amp;title=Leonard%2020'%20Pullup%20Jump%20Shot%20(10%20PTS)", "Leonard 20' Pullup Jump Shot (10 PTS)")</f>
        <v>Leonard 20' Pullup Jump Shot (10 PTS)</v>
      </c>
      <c r="K3504" s="2" t="str">
        <f>HYPERLINK("https://www.nba.com/game/...-vs-...-0021400663/play-by-play?watchFullGame=true", "SAS vs MIL - Q3 04:00.00")</f>
        <v>SAS vs MIL - Q3 04:00.00</v>
      </c>
      <c r="L3504">
        <v>20</v>
      </c>
      <c r="M3504">
        <v>62</v>
      </c>
      <c r="N3504">
        <v>187</v>
      </c>
      <c r="O3504">
        <v>62</v>
      </c>
      <c r="P3504">
        <v>187</v>
      </c>
    </row>
    <row r="3505" spans="1:16" x14ac:dyDescent="0.25">
      <c r="A3505">
        <v>21401168</v>
      </c>
      <c r="B3505">
        <v>2014</v>
      </c>
      <c r="C3505" t="s">
        <v>32</v>
      </c>
      <c r="D3505" t="s">
        <v>29</v>
      </c>
      <c r="E3505">
        <v>98</v>
      </c>
      <c r="F3505">
        <v>81</v>
      </c>
      <c r="G3505">
        <v>4</v>
      </c>
      <c r="H3505" s="1">
        <v>4.9189814814814816E-3</v>
      </c>
      <c r="I3505" t="s">
        <v>18</v>
      </c>
      <c r="J3505" s="2" t="str">
        <f>HYPERLINK("https://www.nba.com/stats/events?CFID=&amp;CFPARAMS=&amp;GameEventID=405&amp;GameID=0021401168&amp;Season=2014-15&amp;flag=1&amp;title=Leonard%2020'%20Pullup%20Jump%20Shot%20(18%20PTS)", "Leonard 20' Pullup Jump Shot (18 PTS)")</f>
        <v>Leonard 20' Pullup Jump Shot (18 PTS)</v>
      </c>
      <c r="K3505" s="2" t="str">
        <f>HYPERLINK("https://www.nba.com/game/...-vs-...-0021401168/play-by-play?watchFullGame=true", "SAS vs HOU - Q4 07:05.00")</f>
        <v>SAS vs HOU - Q4 07:05.00</v>
      </c>
      <c r="L3505">
        <v>20</v>
      </c>
      <c r="M3505">
        <v>62</v>
      </c>
      <c r="N3505">
        <v>192</v>
      </c>
      <c r="O3505">
        <v>62</v>
      </c>
      <c r="P3505">
        <v>192</v>
      </c>
    </row>
    <row r="3506" spans="1:16" x14ac:dyDescent="0.25">
      <c r="A3506">
        <v>22301225</v>
      </c>
      <c r="B3506">
        <v>2023</v>
      </c>
      <c r="C3506" t="s">
        <v>32</v>
      </c>
      <c r="D3506" t="s">
        <v>19</v>
      </c>
      <c r="E3506">
        <v>13</v>
      </c>
      <c r="F3506">
        <v>24</v>
      </c>
      <c r="G3506">
        <v>1</v>
      </c>
      <c r="H3506" s="1">
        <v>2.7314814814814814E-3</v>
      </c>
      <c r="I3506" t="s">
        <v>23</v>
      </c>
      <c r="J3506" s="2" t="str">
        <f>HYPERLINK("https://www.nba.com/stats/events?CFID=&amp;CFPARAMS=&amp;GameEventID=103&amp;GameID=0022301225&amp;Season=2023-24&amp;flag=1&amp;title=Leonard%2020'%20pullup%20Jump%20Shot%20(14%20PTS)%20(R.%20Westbrook%202%20AST)", "20' pullup Jump Shot (14 PTS) (R. Westbrook 2 AST)")</f>
        <v>20' pullup Jump Shot (14 PTS) (R. Westbrook 2 AST)</v>
      </c>
      <c r="K3506" s="2" t="str">
        <f>HYPERLINK("https://www.nba.com/game/...-vs-...-0022301225/play-by-play?watchFullGame=true", "LAC vs UTA - Q1 03:56.00")</f>
        <v>LAC vs UTA - Q1 03:56.00</v>
      </c>
      <c r="L3506">
        <v>20.83</v>
      </c>
      <c r="M3506">
        <v>73.28</v>
      </c>
      <c r="N3506">
        <v>62.5</v>
      </c>
      <c r="O3506">
        <v>62</v>
      </c>
      <c r="P3506">
        <v>199</v>
      </c>
    </row>
    <row r="3507" spans="1:16" x14ac:dyDescent="0.25">
      <c r="A3507">
        <v>22300304</v>
      </c>
      <c r="B3507">
        <v>2023</v>
      </c>
      <c r="C3507" t="s">
        <v>16</v>
      </c>
      <c r="D3507" t="s">
        <v>19</v>
      </c>
      <c r="E3507">
        <v>105</v>
      </c>
      <c r="F3507">
        <v>99</v>
      </c>
      <c r="G3507">
        <v>3</v>
      </c>
      <c r="H3507" s="1">
        <v>1.5046296296296297E-5</v>
      </c>
      <c r="I3507" t="s">
        <v>23</v>
      </c>
      <c r="J3507" s="2" t="str">
        <f>HYPERLINK("https://www.nba.com/stats/events?CFID=&amp;CFPARAMS=&amp;GameEventID=452&amp;GameID=0022300304&amp;Season=2023-24&amp;flag=1&amp;title=Leonard%2027'%203PT%20step%20back%20(24%20PTS)", "27' 3PT step back (24 PTS)")</f>
        <v>27' 3PT step back (24 PTS)</v>
      </c>
      <c r="K3507" s="2" t="str">
        <f>HYPERLINK("https://www.nba.com/game/...-vs-...-0022300304/play-by-play?watchFullGame=true", "LAC vs POR - Q3 00:01.30")</f>
        <v>LAC vs POR - Q3 00:01.30</v>
      </c>
      <c r="L3507">
        <v>27.51</v>
      </c>
      <c r="M3507">
        <v>34.08</v>
      </c>
      <c r="N3507">
        <v>37.5</v>
      </c>
      <c r="O3507">
        <v>62</v>
      </c>
      <c r="P3507">
        <v>268</v>
      </c>
    </row>
    <row r="3508" spans="1:16" x14ac:dyDescent="0.25">
      <c r="A3508">
        <v>21401039</v>
      </c>
      <c r="B3508">
        <v>2014</v>
      </c>
      <c r="C3508" t="s">
        <v>32</v>
      </c>
      <c r="D3508" t="s">
        <v>19</v>
      </c>
      <c r="E3508">
        <v>6</v>
      </c>
      <c r="F3508">
        <v>22</v>
      </c>
      <c r="G3508">
        <v>1</v>
      </c>
      <c r="H3508" s="1">
        <v>3.5763888888888889E-3</v>
      </c>
      <c r="I3508" t="s">
        <v>18</v>
      </c>
      <c r="J3508" s="2" t="str">
        <f>HYPERLINK("https://www.nba.com/stats/events?CFID=&amp;CFPARAMS=&amp;GameEventID=47&amp;GameID=0021401039&amp;Season=2014-15&amp;flag=1&amp;title=Leonard%2011'%20Jump%20Shot%20(6%20PTS)", "Leonard 11' Jump Shot (6 PTS)")</f>
        <v>Leonard 11' Jump Shot (6 PTS)</v>
      </c>
      <c r="K3508" s="2" t="str">
        <f>HYPERLINK("https://www.nba.com/game/...-vs-...-0021401039/play-by-play?watchFullGame=true", "SAS vs ATL - Q1 05:09.00")</f>
        <v>SAS vs ATL - Q1 05:09.00</v>
      </c>
      <c r="L3508">
        <v>11</v>
      </c>
      <c r="M3508">
        <v>63</v>
      </c>
      <c r="N3508">
        <v>89</v>
      </c>
      <c r="O3508">
        <v>63</v>
      </c>
      <c r="P3508">
        <v>89</v>
      </c>
    </row>
    <row r="3509" spans="1:16" x14ac:dyDescent="0.25">
      <c r="A3509">
        <v>21500979</v>
      </c>
      <c r="B3509">
        <v>2015</v>
      </c>
      <c r="C3509" t="s">
        <v>32</v>
      </c>
      <c r="D3509" t="s">
        <v>19</v>
      </c>
      <c r="E3509">
        <v>89</v>
      </c>
      <c r="F3509">
        <v>81</v>
      </c>
      <c r="G3509">
        <v>4</v>
      </c>
      <c r="H3509" s="1">
        <v>1.9212962962962964E-3</v>
      </c>
      <c r="I3509" t="s">
        <v>18</v>
      </c>
      <c r="J3509" s="2" t="str">
        <f>HYPERLINK("https://www.nba.com/stats/events?CFID=&amp;CFPARAMS=&amp;GameEventID=484&amp;GameID=0021500979&amp;Season=2015-16&amp;flag=1&amp;title=Leonard%2013'%20Jump%20Shot%20(26%20PTS)%20(Aldridge%203%20AST)", "Leonard 13' Jump Shot (26 PTS) (Aldridge 3 AST)")</f>
        <v>Leonard 13' Jump Shot (26 PTS) (Aldridge 3 AST)</v>
      </c>
      <c r="K3509" s="2" t="str">
        <f>HYPERLINK("https://www.nba.com/game/...-vs-...-0021500979/play-by-play?watchFullGame=true", "SAS vs OKC - Q4 02:46.00")</f>
        <v>SAS vs OKC - Q4 02:46.00</v>
      </c>
      <c r="L3509">
        <v>13</v>
      </c>
      <c r="M3509">
        <v>63</v>
      </c>
      <c r="N3509">
        <v>116</v>
      </c>
      <c r="O3509">
        <v>63</v>
      </c>
      <c r="P3509">
        <v>116</v>
      </c>
    </row>
    <row r="3510" spans="1:16" x14ac:dyDescent="0.25">
      <c r="A3510">
        <v>21600639</v>
      </c>
      <c r="B3510">
        <v>2016</v>
      </c>
      <c r="C3510" t="s">
        <v>32</v>
      </c>
      <c r="D3510" t="s">
        <v>29</v>
      </c>
      <c r="E3510">
        <v>74</v>
      </c>
      <c r="F3510">
        <v>58</v>
      </c>
      <c r="G3510">
        <v>3</v>
      </c>
      <c r="H3510" s="1">
        <v>6.2384259259259259E-3</v>
      </c>
      <c r="I3510" t="s">
        <v>18</v>
      </c>
      <c r="J3510" s="2" t="str">
        <f>HYPERLINK("https://www.nba.com/stats/events?CFID=&amp;CFPARAMS=&amp;GameEventID=299&amp;GameID=0021600639&amp;Season=2016-17&amp;flag=1&amp;title=Leonard%2017'%20Pullup%20Jump%20Shot%20(17%20PTS)", "Leonard 17' Pullup Jump Shot (17 PTS)")</f>
        <v>Leonard 17' Pullup Jump Shot (17 PTS)</v>
      </c>
      <c r="K3510" s="2" t="str">
        <f>HYPERLINK("https://www.nba.com/game/...-vs-...-0021600639/play-by-play?watchFullGame=true", "SAS vs DEN - Q3 08:59.00")</f>
        <v>SAS vs DEN - Q3 08:59.00</v>
      </c>
      <c r="L3510">
        <v>17</v>
      </c>
      <c r="M3510">
        <v>63</v>
      </c>
      <c r="N3510">
        <v>156</v>
      </c>
      <c r="O3510">
        <v>63</v>
      </c>
      <c r="P3510">
        <v>156</v>
      </c>
    </row>
    <row r="3511" spans="1:16" x14ac:dyDescent="0.25">
      <c r="A3511">
        <v>21600336</v>
      </c>
      <c r="B3511">
        <v>2016</v>
      </c>
      <c r="C3511" t="s">
        <v>16</v>
      </c>
      <c r="D3511" t="s">
        <v>19</v>
      </c>
      <c r="E3511">
        <v>65</v>
      </c>
      <c r="F3511">
        <v>52</v>
      </c>
      <c r="G3511">
        <v>3</v>
      </c>
      <c r="H3511" s="1">
        <v>2.9050925925925928E-3</v>
      </c>
      <c r="I3511" t="s">
        <v>18</v>
      </c>
      <c r="J3511" s="2" t="str">
        <f>HYPERLINK("https://www.nba.com/stats/events?CFID=&amp;CFPARAMS=&amp;GameEventID=342&amp;GameID=0021600336&amp;Season=2016-17&amp;flag=1&amp;title=Leonard%2024'%203PT%20Jump%20Shot%20(14%20PTS)%20(Lee%201%20AST)", "Leonard 24' 3PT Jump Shot (14 PTS) (Lee 1 AST)")</f>
        <v>Leonard 24' 3PT Jump Shot (14 PTS) (Lee 1 AST)</v>
      </c>
      <c r="K3511" s="2" t="str">
        <f>HYPERLINK("https://www.nba.com/game/...-vs-...-0021600336/play-by-play?watchFullGame=true", "SAS vs CHI - Q3 04:11.00")</f>
        <v>SAS vs CHI - Q3 04:11.00</v>
      </c>
      <c r="L3511">
        <v>24</v>
      </c>
      <c r="M3511">
        <v>63</v>
      </c>
      <c r="N3511">
        <v>232</v>
      </c>
      <c r="O3511">
        <v>63</v>
      </c>
      <c r="P3511">
        <v>232</v>
      </c>
    </row>
    <row r="3512" spans="1:16" x14ac:dyDescent="0.25">
      <c r="A3512">
        <v>21600942</v>
      </c>
      <c r="B3512">
        <v>2016</v>
      </c>
      <c r="C3512" t="s">
        <v>16</v>
      </c>
      <c r="D3512" t="s">
        <v>19</v>
      </c>
      <c r="E3512">
        <v>96</v>
      </c>
      <c r="F3512">
        <v>98</v>
      </c>
      <c r="G3512">
        <v>4</v>
      </c>
      <c r="H3512" s="1">
        <v>3.472222222222222E-3</v>
      </c>
      <c r="I3512" t="s">
        <v>18</v>
      </c>
      <c r="J3512" s="2" t="str">
        <f>HYPERLINK("https://www.nba.com/stats/events?CFID=&amp;CFPARAMS=&amp;GameEventID=428&amp;GameID=0021600942&amp;Season=2016-17&amp;flag=1&amp;title=Leonard%2025'%203PT%20Jump%20Shot%20(27%20PTS)", "Leonard 25' 3PT Jump Shot (27 PTS)")</f>
        <v>Leonard 25' 3PT Jump Shot (27 PTS)</v>
      </c>
      <c r="K3512" s="2" t="str">
        <f>HYPERLINK("https://www.nba.com/game/...-vs-...-0021600942/play-by-play?watchFullGame=true", "SAS vs HOU - Q4 05:00.00")</f>
        <v>SAS vs HOU - Q4 05:00.00</v>
      </c>
      <c r="L3512">
        <v>25</v>
      </c>
      <c r="M3512">
        <v>63</v>
      </c>
      <c r="N3512">
        <v>237</v>
      </c>
      <c r="O3512">
        <v>63</v>
      </c>
      <c r="P3512">
        <v>237</v>
      </c>
    </row>
    <row r="3513" spans="1:16" x14ac:dyDescent="0.25">
      <c r="A3513">
        <v>41600156</v>
      </c>
      <c r="B3513" t="s">
        <v>30</v>
      </c>
      <c r="C3513" t="s">
        <v>16</v>
      </c>
      <c r="D3513" t="s">
        <v>19</v>
      </c>
      <c r="E3513">
        <v>88</v>
      </c>
      <c r="F3513">
        <v>87</v>
      </c>
      <c r="G3513">
        <v>4</v>
      </c>
      <c r="H3513" s="1">
        <v>3.6111111111111109E-3</v>
      </c>
      <c r="I3513" t="s">
        <v>18</v>
      </c>
      <c r="J3513" s="2" t="str">
        <f>HYPERLINK("https://www.nba.com/stats/events?CFID=&amp;CFPARAMS=&amp;GameEventID=423&amp;GameID=0041600156&amp;Season=2016-17&amp;flag=1&amp;title=Leonard%2025'%203PT%20Jump%20Shot%20(27%20PTS)", "Leonard 25' 3PT Jump Shot (27 PTS)")</f>
        <v>Leonard 25' 3PT Jump Shot (27 PTS)</v>
      </c>
      <c r="K3513" s="2" t="str">
        <f>HYPERLINK("https://www.nba.com/game/...-vs-...-0041600156/play-by-play?watchFullGame=true", "SAS vs MEM - Q4 05:12.00")</f>
        <v>SAS vs MEM - Q4 05:12.00</v>
      </c>
      <c r="L3513">
        <v>25</v>
      </c>
      <c r="M3513">
        <v>63</v>
      </c>
      <c r="N3513">
        <v>237</v>
      </c>
      <c r="O3513">
        <v>63</v>
      </c>
      <c r="P3513">
        <v>237</v>
      </c>
    </row>
    <row r="3514" spans="1:16" x14ac:dyDescent="0.25">
      <c r="A3514">
        <v>22000251</v>
      </c>
      <c r="B3514">
        <v>2020</v>
      </c>
      <c r="C3514" t="s">
        <v>16</v>
      </c>
      <c r="D3514" t="s">
        <v>19</v>
      </c>
      <c r="E3514">
        <v>75</v>
      </c>
      <c r="F3514">
        <v>67</v>
      </c>
      <c r="G3514">
        <v>3</v>
      </c>
      <c r="H3514" s="1">
        <v>2.7083333333333334E-3</v>
      </c>
      <c r="I3514" t="s">
        <v>23</v>
      </c>
      <c r="J3514" s="2" t="str">
        <f>HYPERLINK("https://www.nba.com/stats/events?CFID=&amp;CFPARAMS=&amp;GameEventID=397&amp;GameID=0022000251&amp;Season=2020-21&amp;flag=1&amp;title=Leonard%2025'%203PT%20pullup%20(26%20PTS)%20(L.%20Kennard%202%20AST)", "25' 3PT pullup (26 PTS) (L. Kennard 2 AST)")</f>
        <v>25' 3PT pullup (26 PTS) (L. Kennard 2 AST)</v>
      </c>
      <c r="K3514" s="2" t="str">
        <f>HYPERLINK("https://www.nba.com/game/...-vs-...-0022000251/play-by-play?watchFullGame=true", "LAC vs OKC - Q3 03:54.00")</f>
        <v>LAC vs OKC - Q3 03:54.00</v>
      </c>
      <c r="L3514">
        <v>25.28</v>
      </c>
      <c r="M3514">
        <v>31.62</v>
      </c>
      <c r="N3514">
        <v>37.32</v>
      </c>
      <c r="O3514">
        <v>63</v>
      </c>
      <c r="P3514">
        <v>245</v>
      </c>
    </row>
    <row r="3515" spans="1:16" x14ac:dyDescent="0.25">
      <c r="A3515">
        <v>22200902</v>
      </c>
      <c r="B3515">
        <v>2022</v>
      </c>
      <c r="C3515" t="s">
        <v>32</v>
      </c>
      <c r="D3515" t="s">
        <v>19</v>
      </c>
      <c r="E3515">
        <v>171</v>
      </c>
      <c r="F3515">
        <v>169</v>
      </c>
      <c r="G3515">
        <v>6</v>
      </c>
      <c r="H3515" s="1">
        <v>2.0254629629629629E-3</v>
      </c>
      <c r="I3515" t="s">
        <v>23</v>
      </c>
      <c r="J3515" s="2" t="str">
        <f>HYPERLINK("https://www.nba.com/stats/events?CFID=&amp;CFPARAMS=&amp;GameEventID=767&amp;GameID=0022200902&amp;Season=2022-23&amp;flag=1&amp;title=Leonard%206'%20turnaround%20fadeaway%20Jump%20Shot%20(44%20PTS)%20(R.%20Westbrook%2013%20AST)", "6' turnaround fadeaway Jump Shot (44 PTS) (R. Westbrook 13 AST)")</f>
        <v>6' turnaround fadeaway Jump Shot (44 PTS) (R. Westbrook 13 AST)</v>
      </c>
      <c r="K3515" s="2" t="str">
        <f>HYPERLINK("https://www.nba.com/game/...-vs-...-0022200902/play-by-play?watchFullGame=true", "LAC vs SAC - Q6 02:55.00")</f>
        <v>LAC vs SAC - Q6 02:55.00</v>
      </c>
      <c r="L3515">
        <v>6.38</v>
      </c>
      <c r="M3515">
        <v>5.17</v>
      </c>
      <c r="N3515">
        <v>37.25</v>
      </c>
      <c r="O3515">
        <v>64</v>
      </c>
      <c r="P3515">
        <v>-4</v>
      </c>
    </row>
    <row r="3516" spans="1:16" x14ac:dyDescent="0.25">
      <c r="A3516">
        <v>21300514</v>
      </c>
      <c r="B3516">
        <v>2013</v>
      </c>
      <c r="C3516" t="s">
        <v>32</v>
      </c>
      <c r="D3516" t="s">
        <v>19</v>
      </c>
      <c r="E3516">
        <v>66</v>
      </c>
      <c r="F3516">
        <v>76</v>
      </c>
      <c r="G3516">
        <v>4</v>
      </c>
      <c r="H3516" s="1">
        <v>7.9282407407407409E-3</v>
      </c>
      <c r="I3516" t="s">
        <v>18</v>
      </c>
      <c r="J3516" s="2" t="str">
        <f>HYPERLINK("https://www.nba.com/stats/events?CFID=&amp;CFPARAMS=&amp;GameEventID=343&amp;GameID=0021300514&amp;Season=2013-14&amp;flag=1&amp;title=Leonard%206'%20Jump%20Shot%20(15%20PTS)%20(Ginobili%204%20AST)", "Leonard 6' Jump Shot (15 PTS) (Ginobili 4 AST)")</f>
        <v>Leonard 6' Jump Shot (15 PTS) (Ginobili 4 AST)</v>
      </c>
      <c r="K3516" s="2" t="str">
        <f>HYPERLINK("https://www.nba.com/game/...-vs-...-0021300514/play-by-play?watchFullGame=true", "SAS vs MEM - Q4 11:25.00")</f>
        <v>SAS vs MEM - Q4 11:25.00</v>
      </c>
      <c r="L3516">
        <v>6</v>
      </c>
      <c r="M3516">
        <v>64</v>
      </c>
      <c r="N3516">
        <v>9</v>
      </c>
      <c r="O3516">
        <v>64</v>
      </c>
      <c r="P3516">
        <v>9</v>
      </c>
    </row>
    <row r="3517" spans="1:16" x14ac:dyDescent="0.25">
      <c r="A3517">
        <v>21500905</v>
      </c>
      <c r="B3517">
        <v>2015</v>
      </c>
      <c r="C3517" t="s">
        <v>32</v>
      </c>
      <c r="D3517" t="s">
        <v>33</v>
      </c>
      <c r="E3517">
        <v>15</v>
      </c>
      <c r="F3517">
        <v>11</v>
      </c>
      <c r="G3517">
        <v>1</v>
      </c>
      <c r="H3517" s="1">
        <v>3.8194444444444443E-3</v>
      </c>
      <c r="I3517" t="s">
        <v>18</v>
      </c>
      <c r="J3517" s="2" t="str">
        <f>HYPERLINK("https://www.nba.com/stats/events?CFID=&amp;CFPARAMS=&amp;GameEventID=61&amp;GameID=0021500905&amp;Season=2015-16&amp;flag=1&amp;title=Leonard%2011'%20Fadeaway%20Jumper%20(7%20PTS)", "Leonard 11' Fadeaway Jumper (7 PTS)")</f>
        <v>Leonard 11' Fadeaway Jumper (7 PTS)</v>
      </c>
      <c r="K3517" s="2" t="str">
        <f>HYPERLINK("https://www.nba.com/game/...-vs-...-0021500905/play-by-play?watchFullGame=true", "SAS vs DET - Q1 05:30.00")</f>
        <v>SAS vs DET - Q1 05:30.00</v>
      </c>
      <c r="L3517">
        <v>11</v>
      </c>
      <c r="M3517">
        <v>64</v>
      </c>
      <c r="N3517">
        <v>90</v>
      </c>
      <c r="O3517">
        <v>64</v>
      </c>
      <c r="P3517">
        <v>90</v>
      </c>
    </row>
    <row r="3518" spans="1:16" x14ac:dyDescent="0.25">
      <c r="A3518">
        <v>21500960</v>
      </c>
      <c r="B3518">
        <v>2015</v>
      </c>
      <c r="C3518" t="s">
        <v>32</v>
      </c>
      <c r="D3518" t="s">
        <v>33</v>
      </c>
      <c r="E3518">
        <v>2</v>
      </c>
      <c r="F3518">
        <v>0</v>
      </c>
      <c r="G3518">
        <v>1</v>
      </c>
      <c r="H3518" s="1">
        <v>8.1828703703703699E-3</v>
      </c>
      <c r="I3518" t="s">
        <v>18</v>
      </c>
      <c r="J3518" s="2" t="str">
        <f>HYPERLINK("https://www.nba.com/stats/events?CFID=&amp;CFPARAMS=&amp;GameEventID=2&amp;GameID=0021500960&amp;Season=2015-16&amp;flag=1&amp;title=Leonard%2012'%20Fadeaway%20Jumper%20(2%20PTS)", "Leonard 12' Fadeaway Jumper (2 PTS)")</f>
        <v>Leonard 12' Fadeaway Jumper (2 PTS)</v>
      </c>
      <c r="K3518" s="2" t="str">
        <f>HYPERLINK("https://www.nba.com/game/...-vs-...-0021500960/play-by-play?watchFullGame=true", "SAS vs CHI - Q1 11:47.00")</f>
        <v>SAS vs CHI - Q1 11:47.00</v>
      </c>
      <c r="L3518">
        <v>12</v>
      </c>
      <c r="M3518">
        <v>64</v>
      </c>
      <c r="N3518">
        <v>97</v>
      </c>
      <c r="O3518">
        <v>64</v>
      </c>
      <c r="P3518">
        <v>97</v>
      </c>
    </row>
    <row r="3519" spans="1:16" x14ac:dyDescent="0.25">
      <c r="A3519">
        <v>22000576</v>
      </c>
      <c r="B3519">
        <v>2020</v>
      </c>
      <c r="C3519" t="s">
        <v>32</v>
      </c>
      <c r="D3519" t="s">
        <v>19</v>
      </c>
      <c r="E3519">
        <v>22</v>
      </c>
      <c r="F3519">
        <v>20</v>
      </c>
      <c r="G3519">
        <v>1</v>
      </c>
      <c r="H3519" s="1">
        <v>1.5509259259259259E-3</v>
      </c>
      <c r="I3519" t="s">
        <v>23</v>
      </c>
      <c r="J3519" s="2" t="str">
        <f>HYPERLINK("https://www.nba.com/stats/events?CFID=&amp;CFPARAMS=&amp;GameEventID=124&amp;GameID=0022000576&amp;Season=2020-21&amp;flag=1&amp;title=Leonard%2013'%20pullup%20Jump%20Shot%20(8%20PTS)", "13' pullup Jump Shot (8 PTS)")</f>
        <v>13' pullup Jump Shot (8 PTS)</v>
      </c>
      <c r="K3519" s="2" t="str">
        <f>HYPERLINK("https://www.nba.com/game/...-vs-...-0022000576/play-by-play?watchFullGame=true", "LAC vs GSW - Q1 02:14.00")</f>
        <v>LAC vs GSW - Q1 02:14.00</v>
      </c>
      <c r="L3519">
        <v>13.68</v>
      </c>
      <c r="M3519">
        <v>81.55</v>
      </c>
      <c r="N3519">
        <v>62.81</v>
      </c>
      <c r="O3519">
        <v>64</v>
      </c>
      <c r="P3519">
        <v>121</v>
      </c>
    </row>
    <row r="3520" spans="1:16" x14ac:dyDescent="0.25">
      <c r="A3520">
        <v>21400108</v>
      </c>
      <c r="B3520">
        <v>2014</v>
      </c>
      <c r="C3520" t="s">
        <v>32</v>
      </c>
      <c r="D3520" t="s">
        <v>29</v>
      </c>
      <c r="E3520">
        <v>6</v>
      </c>
      <c r="F3520">
        <v>6</v>
      </c>
      <c r="G3520">
        <v>1</v>
      </c>
      <c r="H3520" s="1">
        <v>6.4930555555555557E-3</v>
      </c>
      <c r="I3520" t="s">
        <v>18</v>
      </c>
      <c r="J3520" s="2" t="str">
        <f>HYPERLINK("https://www.nba.com/stats/events?CFID=&amp;CFPARAMS=&amp;GameEventID=24&amp;GameID=0021400108&amp;Season=2014-15&amp;flag=1&amp;title=Leonard%2019'%20Pullup%20Jump%20Shot%20(2%20PTS)", "Leonard 19' Pullup Jump Shot (2 PTS)")</f>
        <v>Leonard 19' Pullup Jump Shot (2 PTS)</v>
      </c>
      <c r="K3520" s="2" t="str">
        <f>HYPERLINK("https://www.nba.com/game/...-vs-...-0021400108/play-by-play?watchFullGame=true", "SAS vs GSW - Q1 09:21.00")</f>
        <v>SAS vs GSW - Q1 09:21.00</v>
      </c>
      <c r="L3520">
        <v>19</v>
      </c>
      <c r="M3520">
        <v>64</v>
      </c>
      <c r="N3520">
        <v>183</v>
      </c>
      <c r="O3520">
        <v>64</v>
      </c>
      <c r="P3520">
        <v>183</v>
      </c>
    </row>
    <row r="3521" spans="1:16" x14ac:dyDescent="0.25">
      <c r="A3521">
        <v>22300037</v>
      </c>
      <c r="B3521">
        <v>2023</v>
      </c>
      <c r="C3521" t="s">
        <v>16</v>
      </c>
      <c r="D3521" t="s">
        <v>19</v>
      </c>
      <c r="E3521">
        <v>21</v>
      </c>
      <c r="F3521">
        <v>15</v>
      </c>
      <c r="G3521">
        <v>1</v>
      </c>
      <c r="H3521" s="1">
        <v>3.0902777777777777E-3</v>
      </c>
      <c r="I3521" t="s">
        <v>23</v>
      </c>
      <c r="J3521" s="2" t="str">
        <f>HYPERLINK("https://www.nba.com/stats/events?CFID=&amp;CFPARAMS=&amp;GameEventID=86&amp;GameID=0022300037&amp;Season=2023-24&amp;flag=1&amp;title=Leonard%2025'%203PT%20pullup%20(3%20PTS)", "25' 3PT pullup (3 PTS)")</f>
        <v>25' 3PT pullup (3 PTS)</v>
      </c>
      <c r="K3521" s="2" t="str">
        <f>HYPERLINK("https://www.nba.com/game/...-vs-...-0022300037/play-by-play?watchFullGame=true", "LAC vs HOU - Q1 04:27.00")</f>
        <v>LAC vs HOU - Q1 04:27.00</v>
      </c>
      <c r="L3521">
        <v>25.97</v>
      </c>
      <c r="M3521">
        <v>32.380000000000003</v>
      </c>
      <c r="N3521">
        <v>37.25</v>
      </c>
      <c r="O3521">
        <v>64</v>
      </c>
      <c r="P3521">
        <v>252</v>
      </c>
    </row>
    <row r="3522" spans="1:16" x14ac:dyDescent="0.25">
      <c r="A3522">
        <v>22300688</v>
      </c>
      <c r="B3522">
        <v>2023</v>
      </c>
      <c r="C3522" t="s">
        <v>32</v>
      </c>
      <c r="D3522" t="s">
        <v>19</v>
      </c>
      <c r="E3522">
        <v>80</v>
      </c>
      <c r="F3522">
        <v>89</v>
      </c>
      <c r="G3522">
        <v>3</v>
      </c>
      <c r="H3522" s="1">
        <v>3.6226851851851854E-3</v>
      </c>
      <c r="I3522" t="s">
        <v>23</v>
      </c>
      <c r="J3522" s="2" t="str">
        <f>HYPERLINK("https://www.nba.com/stats/events?CFID=&amp;CFPARAMS=&amp;GameEventID=410&amp;GameID=0022300688&amp;Season=2023-24&amp;flag=1&amp;title=Leonard%207'%20fadeaway%20Jump%20Shot%20(31%20PTS)", "7' fadeaway Jump Shot (31 PTS)")</f>
        <v>7' fadeaway Jump Shot (31 PTS)</v>
      </c>
      <c r="K3522" s="2" t="str">
        <f>HYPERLINK("https://www.nba.com/game/...-vs-...-0022300688/play-by-play?watchFullGame=true", "LAC vs DET - Q3 05:13.00")</f>
        <v>LAC vs DET - Q3 05:13.00</v>
      </c>
      <c r="L3522">
        <v>7.88</v>
      </c>
      <c r="M3522">
        <v>10.33</v>
      </c>
      <c r="N3522">
        <v>37.01</v>
      </c>
      <c r="O3522">
        <v>65</v>
      </c>
      <c r="P3522">
        <v>45</v>
      </c>
    </row>
    <row r="3523" spans="1:16" x14ac:dyDescent="0.25">
      <c r="A3523">
        <v>22000488</v>
      </c>
      <c r="B3523">
        <v>2020</v>
      </c>
      <c r="C3523" t="s">
        <v>32</v>
      </c>
      <c r="D3523" t="s">
        <v>19</v>
      </c>
      <c r="E3523">
        <v>74</v>
      </c>
      <c r="F3523">
        <v>57</v>
      </c>
      <c r="G3523">
        <v>3</v>
      </c>
      <c r="H3523" s="1">
        <v>8.0092592592592594E-3</v>
      </c>
      <c r="I3523" t="s">
        <v>23</v>
      </c>
      <c r="J3523" s="2" t="str">
        <f>HYPERLINK("https://www.nba.com/stats/events?CFID=&amp;CFPARAMS=&amp;GameEventID=329&amp;GameID=0022000488&amp;Season=2020-21&amp;flag=1&amp;title=Leonard%208'%20driving%20floating%20bank%20Jump%20Shot%20(18%20PTS)", "8' driving floating bank Jump Shot (18 PTS)")</f>
        <v>8' driving floating bank Jump Shot (18 PTS)</v>
      </c>
      <c r="K3523" s="2" t="str">
        <f>HYPERLINK("https://www.nba.com/game/...-vs-...-0022000488/play-by-play?watchFullGame=true", "LAC vs WAS - Q3 11:32.00")</f>
        <v>LAC vs WAS - Q3 11:32.00</v>
      </c>
      <c r="L3523">
        <v>8.4499999999999993</v>
      </c>
      <c r="M3523">
        <v>11.38</v>
      </c>
      <c r="N3523">
        <v>37.08</v>
      </c>
      <c r="O3523">
        <v>65</v>
      </c>
      <c r="P3523">
        <v>55</v>
      </c>
    </row>
    <row r="3524" spans="1:16" x14ac:dyDescent="0.25">
      <c r="A3524">
        <v>22300458</v>
      </c>
      <c r="B3524">
        <v>2023</v>
      </c>
      <c r="C3524" t="s">
        <v>32</v>
      </c>
      <c r="D3524" t="s">
        <v>19</v>
      </c>
      <c r="E3524">
        <v>50</v>
      </c>
      <c r="F3524">
        <v>50</v>
      </c>
      <c r="G3524">
        <v>2</v>
      </c>
      <c r="H3524" s="1">
        <v>2.3726851851851851E-3</v>
      </c>
      <c r="I3524" t="s">
        <v>23</v>
      </c>
      <c r="J3524" s="2" t="str">
        <f>HYPERLINK("https://www.nba.com/stats/events?CFID=&amp;CFPARAMS=&amp;GameEventID=249&amp;GameID=0022300458&amp;Season=2023-24&amp;flag=1&amp;title=Leonard%208'%20driving%20floating%20Jump%20Shot%20(12%20PTS)", "8' driving floating Jump Shot (12 PTS)")</f>
        <v>8' driving floating Jump Shot (12 PTS)</v>
      </c>
      <c r="K3524" s="2" t="str">
        <f>HYPERLINK("https://www.nba.com/game/...-vs-...-0022300458/play-by-play?watchFullGame=true", "LAC vs MIA - Q2 03:25.00")</f>
        <v>LAC vs MIA - Q2 03:25.00</v>
      </c>
      <c r="L3524">
        <v>8.75</v>
      </c>
      <c r="M3524">
        <v>88.17</v>
      </c>
      <c r="N3524">
        <v>62.98</v>
      </c>
      <c r="O3524">
        <v>65</v>
      </c>
      <c r="P3524">
        <v>59</v>
      </c>
    </row>
    <row r="3525" spans="1:16" x14ac:dyDescent="0.25">
      <c r="A3525">
        <v>41800214</v>
      </c>
      <c r="B3525" t="s">
        <v>20</v>
      </c>
      <c r="C3525" t="s">
        <v>32</v>
      </c>
      <c r="D3525" t="s">
        <v>37</v>
      </c>
      <c r="E3525">
        <v>11</v>
      </c>
      <c r="F3525">
        <v>11</v>
      </c>
      <c r="G3525">
        <v>1</v>
      </c>
      <c r="H3525" s="1">
        <v>5.2314814814814811E-3</v>
      </c>
      <c r="I3525" t="s">
        <v>21</v>
      </c>
      <c r="J3525" s="2" t="str">
        <f>HYPERLINK("https://www.nba.com/stats/events?CFID=&amp;CFPARAMS=&amp;GameEventID=46&amp;GameID=0041800214&amp;Season=2018-19&amp;flag=1&amp;title=Leonard%2010'%20Floating%20Jump%20Shot%20(2%20PTS)%20(Siakam%201%20AST)", "Leonard 10' Floating Jump Shot (2 PTS) (Siakam 1 AST)")</f>
        <v>Leonard 10' Floating Jump Shot (2 PTS) (Siakam 1 AST)</v>
      </c>
      <c r="K3525" s="2" t="str">
        <f>HYPERLINK("https://www.nba.com/game/...-vs-...-0041800214/play-by-play?watchFullGame=true", "TOR vs PHI - Q1 07:32.00")</f>
        <v>TOR vs PHI - Q1 07:32.00</v>
      </c>
      <c r="L3525">
        <v>10</v>
      </c>
      <c r="M3525">
        <v>65</v>
      </c>
      <c r="N3525">
        <v>72</v>
      </c>
      <c r="O3525">
        <v>65</v>
      </c>
      <c r="P3525">
        <v>72</v>
      </c>
    </row>
    <row r="3526" spans="1:16" x14ac:dyDescent="0.25">
      <c r="A3526">
        <v>22300880</v>
      </c>
      <c r="B3526">
        <v>2023</v>
      </c>
      <c r="C3526" t="s">
        <v>32</v>
      </c>
      <c r="D3526" t="s">
        <v>19</v>
      </c>
      <c r="E3526">
        <v>16</v>
      </c>
      <c r="F3526">
        <v>16</v>
      </c>
      <c r="G3526">
        <v>1</v>
      </c>
      <c r="H3526" s="1">
        <v>3.7615740740740739E-3</v>
      </c>
      <c r="I3526" t="s">
        <v>23</v>
      </c>
      <c r="J3526" s="2" t="str">
        <f>HYPERLINK("https://www.nba.com/stats/events?CFID=&amp;CFPARAMS=&amp;GameEventID=65&amp;GameID=0022300880&amp;Season=2023-24&amp;flag=1&amp;title=Leonard%2012'%20driving%20floating%20Jump%20Shot%20(2%20PTS)", "12' driving floating Jump Shot (2 PTS)")</f>
        <v>12' driving floating Jump Shot (2 PTS)</v>
      </c>
      <c r="K3526" s="2" t="str">
        <f>HYPERLINK("https://www.nba.com/game/...-vs-...-0022300880/play-by-play?watchFullGame=true", "LAC vs MIL - Q1 05:25.00")</f>
        <v>LAC vs MIL - Q1 05:25.00</v>
      </c>
      <c r="L3526">
        <v>12.57</v>
      </c>
      <c r="M3526">
        <v>17.03</v>
      </c>
      <c r="N3526">
        <v>37.01</v>
      </c>
      <c r="O3526">
        <v>65</v>
      </c>
      <c r="P3526">
        <v>108</v>
      </c>
    </row>
    <row r="3527" spans="1:16" x14ac:dyDescent="0.25">
      <c r="A3527">
        <v>41400165</v>
      </c>
      <c r="B3527" t="s">
        <v>28</v>
      </c>
      <c r="C3527" t="s">
        <v>32</v>
      </c>
      <c r="D3527" t="s">
        <v>19</v>
      </c>
      <c r="E3527">
        <v>42</v>
      </c>
      <c r="F3527">
        <v>41</v>
      </c>
      <c r="G3527">
        <v>2</v>
      </c>
      <c r="H3527" s="1">
        <v>3.3912037037037036E-3</v>
      </c>
      <c r="I3527" t="s">
        <v>18</v>
      </c>
      <c r="J3527" s="2" t="str">
        <f>HYPERLINK("https://www.nba.com/stats/events?CFID=&amp;CFPARAMS=&amp;GameEventID=218&amp;GameID=0041400165&amp;Season=2014-15&amp;flag=1&amp;title=Leonard%2017'%20Jump%20Shot%20(10%20PTS)", "Leonard 17' Jump Shot (10 PTS)")</f>
        <v>Leonard 17' Jump Shot (10 PTS)</v>
      </c>
      <c r="K3527" s="2" t="str">
        <f>HYPERLINK("https://www.nba.com/game/...-vs-...-0041400165/play-by-play?watchFullGame=true", "SAS vs LAC - Q2 04:53.00")</f>
        <v>SAS vs LAC - Q2 04:53.00</v>
      </c>
      <c r="L3527">
        <v>17</v>
      </c>
      <c r="M3527">
        <v>65</v>
      </c>
      <c r="N3527">
        <v>154</v>
      </c>
      <c r="O3527">
        <v>65</v>
      </c>
      <c r="P3527">
        <v>154</v>
      </c>
    </row>
    <row r="3528" spans="1:16" x14ac:dyDescent="0.25">
      <c r="A3528">
        <v>22400874</v>
      </c>
      <c r="B3528">
        <v>2024</v>
      </c>
      <c r="C3528" t="s">
        <v>32</v>
      </c>
      <c r="D3528" t="s">
        <v>19</v>
      </c>
      <c r="E3528">
        <v>56</v>
      </c>
      <c r="F3528">
        <v>47</v>
      </c>
      <c r="G3528">
        <v>3</v>
      </c>
      <c r="H3528" s="1">
        <v>7.3379629629629628E-3</v>
      </c>
      <c r="I3528" t="s">
        <v>23</v>
      </c>
      <c r="J3528" s="2" t="str">
        <f>HYPERLINK("https://www.nba.com/stats/events?CFID=&amp;CFPARAMS=&amp;GameEventID=322&amp;GameID=0022400874&amp;Season=2024-25&amp;flag=1&amp;title=Leonard%2017'%20Jump%20Shot%20(19%20PTS)", "17' Jump Shot (19 PTS)")</f>
        <v>17' Jump Shot (19 PTS)</v>
      </c>
      <c r="K3528" s="2" t="str">
        <f>HYPERLINK("https://www.nba.com/game/...-vs-...-0022400874/play-by-play?watchFullGame=true", "LAC vs LAL - Q3 10:34.00")</f>
        <v>LAC vs LAL - Q3 10:34.00</v>
      </c>
      <c r="L3528">
        <v>17.079999999999998</v>
      </c>
      <c r="M3528">
        <v>22.39</v>
      </c>
      <c r="N3528">
        <v>37.01</v>
      </c>
      <c r="O3528">
        <v>65</v>
      </c>
      <c r="P3528">
        <v>158</v>
      </c>
    </row>
    <row r="3529" spans="1:16" x14ac:dyDescent="0.25">
      <c r="A3529">
        <v>22300343</v>
      </c>
      <c r="B3529">
        <v>2023</v>
      </c>
      <c r="C3529" t="s">
        <v>16</v>
      </c>
      <c r="D3529" t="s">
        <v>19</v>
      </c>
      <c r="E3529">
        <v>84</v>
      </c>
      <c r="F3529">
        <v>71</v>
      </c>
      <c r="G3529">
        <v>3</v>
      </c>
      <c r="H3529" s="1">
        <v>7.060185185185185E-3</v>
      </c>
      <c r="I3529" t="s">
        <v>23</v>
      </c>
      <c r="J3529" s="2" t="str">
        <f>HYPERLINK("https://www.nba.com/stats/events?CFID=&amp;CFPARAMS=&amp;GameEventID=385&amp;GameID=0022300343&amp;Season=2023-24&amp;flag=1&amp;title=Leonard%2025'%203PT%20%20(23%20PTS)%20(J.%20Harden%208%20AST)", "25' 3PT  (23 PTS) (J. Harden 8 AST)")</f>
        <v>25' 3PT  (23 PTS) (J. Harden 8 AST)</v>
      </c>
      <c r="K3529" s="2" t="str">
        <f>HYPERLINK("https://www.nba.com/game/...-vs-...-0022300343/play-by-play?watchFullGame=true", "LAC vs NYK - Q3 10:10.00")</f>
        <v>LAC vs NYK - Q3 10:10.00</v>
      </c>
      <c r="L3529">
        <v>25.89</v>
      </c>
      <c r="M3529">
        <v>32.24</v>
      </c>
      <c r="N3529">
        <v>37.01</v>
      </c>
      <c r="O3529">
        <v>65</v>
      </c>
      <c r="P3529">
        <v>251</v>
      </c>
    </row>
    <row r="3530" spans="1:16" x14ac:dyDescent="0.25">
      <c r="A3530">
        <v>21900458</v>
      </c>
      <c r="B3530">
        <v>2019</v>
      </c>
      <c r="C3530" t="s">
        <v>16</v>
      </c>
      <c r="D3530" t="s">
        <v>22</v>
      </c>
      <c r="E3530">
        <v>23</v>
      </c>
      <c r="F3530">
        <v>27</v>
      </c>
      <c r="G3530">
        <v>1</v>
      </c>
      <c r="H3530" s="1">
        <v>1.5625000000000001E-3</v>
      </c>
      <c r="I3530" t="s">
        <v>23</v>
      </c>
      <c r="J3530" s="2" t="str">
        <f>HYPERLINK("https://www.nba.com/stats/events?CFID=&amp;CFPARAMS=&amp;GameEventID=117&amp;GameID=0021900458&amp;Season=2019-20&amp;flag=1&amp;title=Leonard%2028'%203PT%20%20(14%20PTS)%20(L.%20Williams%202%20AST)", "28' 3PT  (14 PTS) (L. Williams 2 AST)")</f>
        <v>28' 3PT  (14 PTS) (L. Williams 2 AST)</v>
      </c>
      <c r="K3530" s="2" t="str">
        <f>HYPERLINK("https://www.nba.com/game/...-vs-...-0021900458/play-by-play?watchFullGame=true", "LAC vs LAL - Q1 02:15.00")</f>
        <v>LAC vs LAL - Q1 02:15.00</v>
      </c>
      <c r="L3530">
        <v>28.47</v>
      </c>
      <c r="M3530">
        <v>34.479999999999997</v>
      </c>
      <c r="N3530">
        <v>36.94</v>
      </c>
      <c r="O3530">
        <v>65</v>
      </c>
      <c r="P3530">
        <v>272</v>
      </c>
    </row>
    <row r="3531" spans="1:16" x14ac:dyDescent="0.25">
      <c r="A3531">
        <v>22200932</v>
      </c>
      <c r="B3531">
        <v>2022</v>
      </c>
      <c r="C3531" t="s">
        <v>32</v>
      </c>
      <c r="D3531" t="s">
        <v>19</v>
      </c>
      <c r="E3531">
        <v>44</v>
      </c>
      <c r="F3531">
        <v>39</v>
      </c>
      <c r="G3531">
        <v>2</v>
      </c>
      <c r="H3531" s="1">
        <v>4.6527777777777774E-3</v>
      </c>
      <c r="I3531" t="s">
        <v>23</v>
      </c>
      <c r="J3531" s="2" t="str">
        <f>HYPERLINK("https://www.nba.com/stats/events?CFID=&amp;CFPARAMS=&amp;GameEventID=263&amp;GameID=0022200932&amp;Season=2022-23&amp;flag=1&amp;title=Leonard%206'%20Jump%20Shot%20(12%20PTS)%20(R.%20Westbrook%206%20AST)", "6' Jump Shot (12 PTS) (R. Westbrook 6 AST)")</f>
        <v>6' Jump Shot (12 PTS) (R. Westbrook 6 AST)</v>
      </c>
      <c r="K3531" s="2" t="str">
        <f>HYPERLINK("https://www.nba.com/game/...-vs-...-0022200932/play-by-play?watchFullGame=true", "LAC vs MIN - Q2 06:42.00")</f>
        <v>LAC vs MIN - Q2 06:42.00</v>
      </c>
      <c r="L3531">
        <v>6.64</v>
      </c>
      <c r="M3531">
        <v>94.92</v>
      </c>
      <c r="N3531">
        <v>63.24</v>
      </c>
      <c r="O3531">
        <v>66</v>
      </c>
      <c r="P3531">
        <v>-5</v>
      </c>
    </row>
    <row r="3532" spans="1:16" x14ac:dyDescent="0.25">
      <c r="A3532">
        <v>21500103</v>
      </c>
      <c r="B3532">
        <v>2015</v>
      </c>
      <c r="C3532" t="s">
        <v>32</v>
      </c>
      <c r="D3532" t="s">
        <v>40</v>
      </c>
      <c r="E3532">
        <v>37</v>
      </c>
      <c r="F3532">
        <v>42</v>
      </c>
      <c r="G3532">
        <v>2</v>
      </c>
      <c r="H3532" s="1">
        <v>3.1134259259259257E-3</v>
      </c>
      <c r="I3532" t="s">
        <v>18</v>
      </c>
      <c r="J3532" s="2" t="str">
        <f>HYPERLINK("https://www.nba.com/stats/events?CFID=&amp;CFPARAMS=&amp;GameEventID=193&amp;GameID=0021500103&amp;Season=2015-16&amp;flag=1&amp;title=Leonard%207'%20Hook%20Shot%20(10%20PTS)", "Leonard 7' Hook Shot (10 PTS)")</f>
        <v>Leonard 7' Hook Shot (10 PTS)</v>
      </c>
      <c r="K3532" s="2" t="str">
        <f>HYPERLINK("https://www.nba.com/game/...-vs-...-0021500103/play-by-play?watchFullGame=true", "SAS vs SAC - Q2 04:29.00")</f>
        <v>SAS vs SAC - Q2 04:29.00</v>
      </c>
      <c r="L3532">
        <v>7</v>
      </c>
      <c r="M3532">
        <v>66</v>
      </c>
      <c r="N3532">
        <v>2</v>
      </c>
      <c r="O3532">
        <v>66</v>
      </c>
      <c r="P3532">
        <v>2</v>
      </c>
    </row>
    <row r="3533" spans="1:16" x14ac:dyDescent="0.25">
      <c r="A3533">
        <v>41500235</v>
      </c>
      <c r="B3533" t="s">
        <v>25</v>
      </c>
      <c r="C3533" t="s">
        <v>32</v>
      </c>
      <c r="D3533" t="s">
        <v>58</v>
      </c>
      <c r="E3533">
        <v>20</v>
      </c>
      <c r="F3533">
        <v>26</v>
      </c>
      <c r="G3533">
        <v>2</v>
      </c>
      <c r="H3533" s="1">
        <v>6.5624999999999998E-3</v>
      </c>
      <c r="I3533" t="s">
        <v>18</v>
      </c>
      <c r="J3533" s="2" t="str">
        <f>HYPERLINK("https://www.nba.com/stats/events?CFID=&amp;CFPARAMS=&amp;GameEventID=142&amp;GameID=0041500235&amp;Season=2015-16&amp;flag=1&amp;title=Leonard%207'%20Driving%20Bank%20Hook%20Shot%20(4%20PTS)", "Leonard 7' Driving Bank Hook Shot (4 PTS)")</f>
        <v>Leonard 7' Driving Bank Hook Shot (4 PTS)</v>
      </c>
      <c r="K3533" s="2" t="str">
        <f>HYPERLINK("https://www.nba.com/game/...-vs-...-0041500235/play-by-play?watchFullGame=true", "SAS vs OKC - Q2 09:27.00")</f>
        <v>SAS vs OKC - Q2 09:27.00</v>
      </c>
      <c r="L3533">
        <v>7</v>
      </c>
      <c r="M3533">
        <v>66</v>
      </c>
      <c r="N3533">
        <v>28</v>
      </c>
      <c r="O3533">
        <v>66</v>
      </c>
      <c r="P3533">
        <v>28</v>
      </c>
    </row>
    <row r="3534" spans="1:16" x14ac:dyDescent="0.25">
      <c r="A3534">
        <v>22200525</v>
      </c>
      <c r="B3534">
        <v>2022</v>
      </c>
      <c r="C3534" t="s">
        <v>32</v>
      </c>
      <c r="D3534" t="s">
        <v>19</v>
      </c>
      <c r="E3534">
        <v>54</v>
      </c>
      <c r="F3534">
        <v>43</v>
      </c>
      <c r="G3534">
        <v>2</v>
      </c>
      <c r="H3534" s="1">
        <v>1.5046296296296296E-3</v>
      </c>
      <c r="I3534" t="s">
        <v>23</v>
      </c>
      <c r="J3534" s="2" t="str">
        <f>HYPERLINK("https://www.nba.com/stats/events?CFID=&amp;CFPARAMS=&amp;GameEventID=278&amp;GameID=0022200525&amp;Season=2022-23&amp;flag=1&amp;title=Leonard%207'%20pullup%20Jump%20Shot%20(15%20PTS)", "7' pullup Jump Shot (15 PTS)")</f>
        <v>7' pullup Jump Shot (15 PTS)</v>
      </c>
      <c r="K3534" s="2" t="str">
        <f>HYPERLINK("https://www.nba.com/game/...-vs-...-0022200525/play-by-play?watchFullGame=true", "LAC vs BOS - Q2 02:10.00")</f>
        <v>LAC vs BOS - Q2 02:10.00</v>
      </c>
      <c r="L3534">
        <v>7.46</v>
      </c>
      <c r="M3534">
        <v>90.75</v>
      </c>
      <c r="N3534">
        <v>63.24</v>
      </c>
      <c r="O3534">
        <v>66</v>
      </c>
      <c r="P3534">
        <v>34</v>
      </c>
    </row>
    <row r="3535" spans="1:16" x14ac:dyDescent="0.25">
      <c r="A3535">
        <v>21900419</v>
      </c>
      <c r="B3535">
        <v>2019</v>
      </c>
      <c r="C3535" t="s">
        <v>32</v>
      </c>
      <c r="D3535" t="s">
        <v>22</v>
      </c>
      <c r="E3535">
        <v>25</v>
      </c>
      <c r="F3535">
        <v>22</v>
      </c>
      <c r="G3535">
        <v>1</v>
      </c>
      <c r="H3535" s="1">
        <v>1.3657407407407407E-3</v>
      </c>
      <c r="I3535" t="s">
        <v>23</v>
      </c>
      <c r="J3535" s="2" t="str">
        <f>HYPERLINK("https://www.nba.com/stats/events?CFID=&amp;CFPARAMS=&amp;GameEventID=130&amp;GameID=0021900419&amp;Season=2019-20&amp;flag=1&amp;title=Leonard%208'%20jumpshot%20(11%20PTS)", "8' jumpshot (11 PTS)")</f>
        <v>8' jumpshot (11 PTS)</v>
      </c>
      <c r="K3535" s="2" t="str">
        <f>HYPERLINK("https://www.nba.com/game/...-vs-...-0021900419/play-by-play?watchFullGame=true", "LAC vs HOU - Q1 01:58.00")</f>
        <v>LAC vs HOU - Q1 01:58.00</v>
      </c>
      <c r="L3535">
        <v>8.1999999999999993</v>
      </c>
      <c r="M3535">
        <v>89.8</v>
      </c>
      <c r="N3535">
        <v>63.17</v>
      </c>
      <c r="O3535">
        <v>66</v>
      </c>
      <c r="P3535">
        <v>43</v>
      </c>
    </row>
    <row r="3536" spans="1:16" x14ac:dyDescent="0.25">
      <c r="A3536">
        <v>41800405</v>
      </c>
      <c r="B3536" t="s">
        <v>20</v>
      </c>
      <c r="C3536" t="s">
        <v>32</v>
      </c>
      <c r="D3536" t="s">
        <v>29</v>
      </c>
      <c r="E3536">
        <v>98</v>
      </c>
      <c r="F3536">
        <v>95</v>
      </c>
      <c r="G3536">
        <v>4</v>
      </c>
      <c r="H3536" s="1">
        <v>3.3101851851851851E-3</v>
      </c>
      <c r="I3536" t="s">
        <v>21</v>
      </c>
      <c r="J3536" s="2" t="str">
        <f>HYPERLINK("https://www.nba.com/stats/events?CFID=&amp;CFPARAMS=&amp;GameEventID=594&amp;GameID=0041800405&amp;Season=2018-19&amp;flag=1&amp;title=Leonard%208'%20Pullup%20Jump%20Shot%20(21%20PTS)", "Leonard 8' Pullup Jump Shot (21 PTS)")</f>
        <v>Leonard 8' Pullup Jump Shot (21 PTS)</v>
      </c>
      <c r="K3536" s="2" t="str">
        <f>HYPERLINK("https://www.nba.com/game/...-vs-...-0041800405/play-by-play?watchFullGame=true", "TOR vs GSW - Q4 04:46.00")</f>
        <v>TOR vs GSW - Q4 04:46.00</v>
      </c>
      <c r="L3536">
        <v>8</v>
      </c>
      <c r="M3536">
        <v>66</v>
      </c>
      <c r="N3536">
        <v>46</v>
      </c>
      <c r="O3536">
        <v>66</v>
      </c>
      <c r="P3536">
        <v>46</v>
      </c>
    </row>
    <row r="3537" spans="1:16" x14ac:dyDescent="0.25">
      <c r="A3537">
        <v>21600336</v>
      </c>
      <c r="B3537">
        <v>2016</v>
      </c>
      <c r="C3537" t="s">
        <v>32</v>
      </c>
      <c r="D3537" t="s">
        <v>19</v>
      </c>
      <c r="E3537">
        <v>80</v>
      </c>
      <c r="F3537">
        <v>70</v>
      </c>
      <c r="G3537">
        <v>4</v>
      </c>
      <c r="H3537" s="1">
        <v>5.4629629629629629E-3</v>
      </c>
      <c r="I3537" t="s">
        <v>18</v>
      </c>
      <c r="J3537" s="2" t="str">
        <f>HYPERLINK("https://www.nba.com/stats/events?CFID=&amp;CFPARAMS=&amp;GameEventID=441&amp;GameID=0021600336&amp;Season=2016-17&amp;flag=1&amp;title=Leonard%208'%20Jump%20Shot%20(18%20PTS)", "Leonard 8' Jump Shot (18 PTS)")</f>
        <v>Leonard 8' Jump Shot (18 PTS)</v>
      </c>
      <c r="K3537" s="2" t="str">
        <f>HYPERLINK("https://www.nba.com/game/...-vs-...-0021600336/play-by-play?watchFullGame=true", "SAS vs CHI - Q4 07:52.00")</f>
        <v>SAS vs CHI - Q4 07:52.00</v>
      </c>
      <c r="L3537">
        <v>8</v>
      </c>
      <c r="M3537">
        <v>66</v>
      </c>
      <c r="N3537">
        <v>51</v>
      </c>
      <c r="O3537">
        <v>66</v>
      </c>
      <c r="P3537">
        <v>51</v>
      </c>
    </row>
    <row r="3538" spans="1:16" x14ac:dyDescent="0.25">
      <c r="A3538">
        <v>42000173</v>
      </c>
      <c r="B3538" t="s">
        <v>83</v>
      </c>
      <c r="C3538" t="s">
        <v>16</v>
      </c>
      <c r="D3538" t="s">
        <v>19</v>
      </c>
      <c r="E3538">
        <v>30</v>
      </c>
      <c r="F3538">
        <v>20</v>
      </c>
      <c r="G3538">
        <v>1</v>
      </c>
      <c r="H3538" s="1">
        <v>1.9560185185185184E-3</v>
      </c>
      <c r="I3538" t="s">
        <v>23</v>
      </c>
      <c r="J3538" s="2" t="str">
        <f>HYPERLINK("https://www.nba.com/stats/events?CFID=&amp;CFPARAMS=&amp;GameEventID=103&amp;GameID=0042000173&amp;Season=2020-21&amp;flag=1&amp;title=Leonard%2025'%203PT%20pullup%20(7%20PTS)", "25' 3PT pullup (7 PTS)")</f>
        <v>25' 3PT pullup (7 PTS)</v>
      </c>
      <c r="K3538" s="2" t="str">
        <f>HYPERLINK("https://www.nba.com/game/...-vs-...-0042000173/play-by-play?watchFullGame=true", "LAC vs DAL - Q1 02:49.00")</f>
        <v>LAC vs DAL - Q1 02:49.00</v>
      </c>
      <c r="L3538">
        <v>25.93</v>
      </c>
      <c r="M3538">
        <v>66.84</v>
      </c>
      <c r="N3538">
        <v>51.29</v>
      </c>
      <c r="O3538">
        <v>66</v>
      </c>
      <c r="P3538">
        <v>51</v>
      </c>
    </row>
    <row r="3539" spans="1:16" x14ac:dyDescent="0.25">
      <c r="A3539">
        <v>22300014</v>
      </c>
      <c r="B3539">
        <v>2023</v>
      </c>
      <c r="C3539" t="s">
        <v>32</v>
      </c>
      <c r="D3539" t="s">
        <v>19</v>
      </c>
      <c r="E3539">
        <v>5</v>
      </c>
      <c r="F3539">
        <v>14</v>
      </c>
      <c r="G3539">
        <v>1</v>
      </c>
      <c r="H3539" s="1">
        <v>5.8217592592592592E-3</v>
      </c>
      <c r="I3539" t="s">
        <v>23</v>
      </c>
      <c r="J3539" s="2" t="str">
        <f>HYPERLINK("https://www.nba.com/stats/events?CFID=&amp;CFPARAMS=&amp;GameEventID=51&amp;GameID=0022300014&amp;Season=2023-24&amp;flag=1&amp;title=Leonard%208'%20pullup%20Jump%20Shot%20(7%20PTS)", "8' pullup Jump Shot (7 PTS)")</f>
        <v>8' pullup Jump Shot (7 PTS)</v>
      </c>
      <c r="K3539" s="2" t="str">
        <f>HYPERLINK("https://www.nba.com/game/...-vs-...-0022300014/play-by-play?watchFullGame=true", "LAC vs DAL - Q1 08:23.00")</f>
        <v>LAC vs DAL - Q1 08:23.00</v>
      </c>
      <c r="L3539">
        <v>8.6300000000000008</v>
      </c>
      <c r="M3539">
        <v>88.52</v>
      </c>
      <c r="N3539">
        <v>63.24</v>
      </c>
      <c r="O3539">
        <v>66</v>
      </c>
      <c r="P3539">
        <v>55</v>
      </c>
    </row>
    <row r="3540" spans="1:16" x14ac:dyDescent="0.25">
      <c r="A3540">
        <v>22000328</v>
      </c>
      <c r="B3540">
        <v>2020</v>
      </c>
      <c r="C3540" t="s">
        <v>32</v>
      </c>
      <c r="D3540" t="s">
        <v>44</v>
      </c>
      <c r="E3540">
        <v>45</v>
      </c>
      <c r="F3540">
        <v>43</v>
      </c>
      <c r="G3540">
        <v>2</v>
      </c>
      <c r="H3540" s="1">
        <v>1.724537037037037E-3</v>
      </c>
      <c r="I3540" t="s">
        <v>23</v>
      </c>
      <c r="J3540" s="2" t="str">
        <f>HYPERLINK("https://www.nba.com/stats/events?CFID=&amp;CFPARAMS=&amp;GameEventID=256&amp;GameID=0022000328&amp;Season=2020-21&amp;flag=1&amp;title=Leonard%208'%20driving%20Hook%20(14%20PTS)", "8' driving Hook (14 PTS)")</f>
        <v>8' driving Hook (14 PTS)</v>
      </c>
      <c r="K3540" s="2" t="str">
        <f>HYPERLINK("https://www.nba.com/game/...-vs-...-0022000328/play-by-play?watchFullGame=true", "LAC vs CLE - Q2 02:29.00")</f>
        <v>LAC vs CLE - Q2 02:29.00</v>
      </c>
      <c r="L3540">
        <v>8.7799999999999994</v>
      </c>
      <c r="M3540">
        <v>11.78</v>
      </c>
      <c r="N3540">
        <v>36.83</v>
      </c>
      <c r="O3540">
        <v>66</v>
      </c>
      <c r="P3540">
        <v>58</v>
      </c>
    </row>
    <row r="3541" spans="1:16" x14ac:dyDescent="0.25">
      <c r="A3541">
        <v>21501036</v>
      </c>
      <c r="B3541">
        <v>2015</v>
      </c>
      <c r="C3541" t="s">
        <v>32</v>
      </c>
      <c r="D3541" t="s">
        <v>38</v>
      </c>
      <c r="E3541">
        <v>35</v>
      </c>
      <c r="F3541">
        <v>28</v>
      </c>
      <c r="G3541">
        <v>2</v>
      </c>
      <c r="H3541" s="1">
        <v>3.0671296296296297E-3</v>
      </c>
      <c r="I3541" t="s">
        <v>18</v>
      </c>
      <c r="J3541" s="2" t="str">
        <f>HYPERLINK("https://www.nba.com/stats/events?CFID=&amp;CFPARAMS=&amp;GameEventID=201&amp;GameID=0021501036&amp;Season=2015-16&amp;flag=1&amp;title=Leonard%209'%20Jump%20Bank%20Shot%20(7%20PTS)", "Leonard 9' Jump Bank Shot (7 PTS)")</f>
        <v>Leonard 9' Jump Bank Shot (7 PTS)</v>
      </c>
      <c r="K3541" s="2" t="str">
        <f>HYPERLINK("https://www.nba.com/game/...-vs-...-0021501036/play-by-play?watchFullGame=true", "SAS vs GSW - Q2 04:25.00")</f>
        <v>SAS vs GSW - Q2 04:25.00</v>
      </c>
      <c r="L3541">
        <v>9</v>
      </c>
      <c r="M3541">
        <v>66</v>
      </c>
      <c r="N3541">
        <v>65</v>
      </c>
      <c r="O3541">
        <v>66</v>
      </c>
      <c r="P3541">
        <v>65</v>
      </c>
    </row>
    <row r="3542" spans="1:16" x14ac:dyDescent="0.25">
      <c r="A3542">
        <v>21600319</v>
      </c>
      <c r="B3542">
        <v>2016</v>
      </c>
      <c r="C3542" t="s">
        <v>32</v>
      </c>
      <c r="D3542" t="s">
        <v>24</v>
      </c>
      <c r="E3542">
        <v>58</v>
      </c>
      <c r="F3542">
        <v>65</v>
      </c>
      <c r="G3542">
        <v>3</v>
      </c>
      <c r="H3542" s="1">
        <v>1.5972222222222223E-3</v>
      </c>
      <c r="I3542" t="s">
        <v>18</v>
      </c>
      <c r="J3542" s="2" t="str">
        <f>HYPERLINK("https://www.nba.com/stats/events?CFID=&amp;CFPARAMS=&amp;GameEventID=311&amp;GameID=0021600319&amp;Season=2016-17&amp;flag=1&amp;title=Leonard%2012'%20Turnaround%20Jump%20Shot%20(22%20PTS)", "Leonard 12' Turnaround Jump Shot (22 PTS)")</f>
        <v>Leonard 12' Turnaround Jump Shot (22 PTS)</v>
      </c>
      <c r="K3542" s="2" t="str">
        <f>HYPERLINK("https://www.nba.com/game/...-vs-...-0021600319/play-by-play?watchFullGame=true", "SAS vs MIN - Q3 02:18.00")</f>
        <v>SAS vs MIN - Q3 02:18.00</v>
      </c>
      <c r="L3542">
        <v>12</v>
      </c>
      <c r="M3542">
        <v>66</v>
      </c>
      <c r="N3542">
        <v>95</v>
      </c>
      <c r="O3542">
        <v>66</v>
      </c>
      <c r="P3542">
        <v>95</v>
      </c>
    </row>
    <row r="3543" spans="1:16" x14ac:dyDescent="0.25">
      <c r="A3543">
        <v>22000116</v>
      </c>
      <c r="B3543">
        <v>2020</v>
      </c>
      <c r="C3543" t="s">
        <v>32</v>
      </c>
      <c r="D3543" t="s">
        <v>19</v>
      </c>
      <c r="E3543">
        <v>6</v>
      </c>
      <c r="F3543">
        <v>12</v>
      </c>
      <c r="G3543">
        <v>1</v>
      </c>
      <c r="H3543" s="1">
        <v>3.449074074074074E-3</v>
      </c>
      <c r="I3543" t="s">
        <v>23</v>
      </c>
      <c r="J3543" s="2" t="str">
        <f>HYPERLINK("https://www.nba.com/stats/events?CFID=&amp;CFPARAMS=&amp;GameEventID=79&amp;GameID=0022000116&amp;Season=2020-21&amp;flag=1&amp;title=Leonard%2012'%20pullup%20Jump%20Shot%20(2%20PTS)", "12' pullup Jump Shot (2 PTS)")</f>
        <v>12' pullup Jump Shot (2 PTS)</v>
      </c>
      <c r="K3543" s="2" t="str">
        <f>HYPERLINK("https://www.nba.com/game/...-vs-...-0022000116/play-by-play?watchFullGame=true", "LAC vs GSW - Q1 04:58.00")</f>
        <v>LAC vs GSW - Q1 04:58.00</v>
      </c>
      <c r="L3543">
        <v>12.83</v>
      </c>
      <c r="M3543">
        <v>17.3</v>
      </c>
      <c r="N3543">
        <v>36.83</v>
      </c>
      <c r="O3543">
        <v>66</v>
      </c>
      <c r="P3543">
        <v>110</v>
      </c>
    </row>
    <row r="3544" spans="1:16" x14ac:dyDescent="0.25">
      <c r="A3544">
        <v>22400783</v>
      </c>
      <c r="B3544">
        <v>2024</v>
      </c>
      <c r="C3544" t="s">
        <v>32</v>
      </c>
      <c r="D3544" t="s">
        <v>19</v>
      </c>
      <c r="E3544">
        <v>16</v>
      </c>
      <c r="F3544">
        <v>17</v>
      </c>
      <c r="G3544">
        <v>1</v>
      </c>
      <c r="H3544" s="1">
        <v>3.7268518518518519E-3</v>
      </c>
      <c r="I3544" t="s">
        <v>23</v>
      </c>
      <c r="J3544" s="2" t="str">
        <f>HYPERLINK("https://www.nba.com/stats/events?CFID=&amp;CFPARAMS=&amp;GameEventID=83&amp;GameID=0022400783&amp;Season=2024-25&amp;flag=1&amp;title=Leonard%2017'%20pullup%20Jump%20Shot%20(7%20PTS)%20(I.%20Zubac%201%20AST)", "17' pullup Jump Shot (7 PTS) (I. Zubac 1 AST)")</f>
        <v>17' pullup Jump Shot (7 PTS) (I. Zubac 1 AST)</v>
      </c>
      <c r="K3544" s="2" t="str">
        <f>HYPERLINK("https://www.nba.com/game/...-vs-...-0022400783/play-by-play?watchFullGame=true", "LAC vs MEM - Q1 05:22.00")</f>
        <v>LAC vs MEM - Q1 05:22.00</v>
      </c>
      <c r="L3544">
        <v>17.43</v>
      </c>
      <c r="M3544">
        <v>22.73</v>
      </c>
      <c r="N3544">
        <v>36.74</v>
      </c>
      <c r="O3544">
        <v>66</v>
      </c>
      <c r="P3544">
        <v>161</v>
      </c>
    </row>
    <row r="3545" spans="1:16" x14ac:dyDescent="0.25">
      <c r="A3545">
        <v>41600233</v>
      </c>
      <c r="B3545" t="s">
        <v>30</v>
      </c>
      <c r="C3545" t="s">
        <v>16</v>
      </c>
      <c r="D3545" t="s">
        <v>29</v>
      </c>
      <c r="E3545">
        <v>41</v>
      </c>
      <c r="F3545">
        <v>50</v>
      </c>
      <c r="G3545">
        <v>3</v>
      </c>
      <c r="H3545" s="1">
        <v>6.9675925925925929E-3</v>
      </c>
      <c r="I3545" t="s">
        <v>18</v>
      </c>
      <c r="J3545" s="2" t="str">
        <f>HYPERLINK("https://www.nba.com/stats/events?CFID=&amp;CFPARAMS=&amp;GameEventID=278&amp;GameID=0041600233&amp;Season=2016-17&amp;flag=1&amp;title=Leonard%2025'%203PT%20Pullup%20Jump%20Shot%20(15%20PTS)", "Leonard 25' 3PT Pullup Jump Shot (15 PTS)")</f>
        <v>Leonard 25' 3PT Pullup Jump Shot (15 PTS)</v>
      </c>
      <c r="K3545" s="2" t="str">
        <f>HYPERLINK("https://www.nba.com/game/...-vs-...-0041600233/play-by-play?watchFullGame=true", "SAS vs HOU - Q3 10:02.00")</f>
        <v>SAS vs HOU - Q3 10:02.00</v>
      </c>
      <c r="L3545">
        <v>25</v>
      </c>
      <c r="M3545">
        <v>66</v>
      </c>
      <c r="N3545">
        <v>242</v>
      </c>
      <c r="O3545">
        <v>66</v>
      </c>
      <c r="P3545">
        <v>242</v>
      </c>
    </row>
    <row r="3546" spans="1:16" x14ac:dyDescent="0.25">
      <c r="A3546">
        <v>22000488</v>
      </c>
      <c r="B3546">
        <v>2020</v>
      </c>
      <c r="C3546" t="s">
        <v>16</v>
      </c>
      <c r="D3546" t="s">
        <v>19</v>
      </c>
      <c r="E3546">
        <v>92</v>
      </c>
      <c r="F3546">
        <v>74</v>
      </c>
      <c r="G3546">
        <v>3</v>
      </c>
      <c r="H3546" s="1">
        <v>4.0856481481481481E-3</v>
      </c>
      <c r="I3546" t="s">
        <v>23</v>
      </c>
      <c r="J3546" s="2" t="str">
        <f>HYPERLINK("https://www.nba.com/stats/events?CFID=&amp;CFPARAMS=&amp;GameEventID=393&amp;GameID=0022000488&amp;Season=2020-21&amp;flag=1&amp;title=Leonard%2025'%203PT%20pullup%20(26%20PTS)", "25' 3PT pullup (26 PTS)")</f>
        <v>25' 3PT pullup (26 PTS)</v>
      </c>
      <c r="K3546" s="2" t="str">
        <f>HYPERLINK("https://www.nba.com/game/...-vs-...-0022000488/play-by-play?watchFullGame=true", "LAC vs WAS - Q3 05:53.00")</f>
        <v>LAC vs WAS - Q3 05:53.00</v>
      </c>
      <c r="L3546">
        <v>25.34</v>
      </c>
      <c r="M3546">
        <v>31.62</v>
      </c>
      <c r="N3546">
        <v>36.83</v>
      </c>
      <c r="O3546">
        <v>66</v>
      </c>
      <c r="P3546">
        <v>245</v>
      </c>
    </row>
    <row r="3547" spans="1:16" x14ac:dyDescent="0.25">
      <c r="A3547">
        <v>42000223</v>
      </c>
      <c r="B3547" t="s">
        <v>85</v>
      </c>
      <c r="C3547" t="s">
        <v>16</v>
      </c>
      <c r="D3547" t="s">
        <v>19</v>
      </c>
      <c r="E3547">
        <v>113</v>
      </c>
      <c r="F3547">
        <v>95</v>
      </c>
      <c r="G3547">
        <v>4</v>
      </c>
      <c r="H3547" s="1">
        <v>4.1666666666666666E-3</v>
      </c>
      <c r="I3547" t="s">
        <v>23</v>
      </c>
      <c r="J3547" s="2" t="str">
        <f>HYPERLINK("https://www.nba.com/stats/events?CFID=&amp;CFPARAMS=&amp;GameEventID=532&amp;GameID=0042000223&amp;Season=2020-21&amp;flag=1&amp;title=Leonard%2026'%203PT%20pullup%20(30%20PTS)", "26' 3PT pullup (30 PTS)")</f>
        <v>26' 3PT pullup (30 PTS)</v>
      </c>
      <c r="K3547" s="2" t="str">
        <f>HYPERLINK("https://www.nba.com/game/...-vs-...-0042000223/play-by-play?watchFullGame=true", "LAC vs UTA - Q4 06:00.00")</f>
        <v>LAC vs UTA - Q4 06:00.00</v>
      </c>
      <c r="L3547">
        <v>26.95</v>
      </c>
      <c r="M3547">
        <v>67.72</v>
      </c>
      <c r="N3547">
        <v>30.32</v>
      </c>
      <c r="O3547">
        <v>67</v>
      </c>
      <c r="P3547">
        <v>30</v>
      </c>
    </row>
    <row r="3548" spans="1:16" x14ac:dyDescent="0.25">
      <c r="A3548">
        <v>22000091</v>
      </c>
      <c r="B3548">
        <v>2020</v>
      </c>
      <c r="C3548" t="s">
        <v>32</v>
      </c>
      <c r="D3548" t="s">
        <v>19</v>
      </c>
      <c r="E3548">
        <v>16</v>
      </c>
      <c r="F3548">
        <v>23</v>
      </c>
      <c r="G3548">
        <v>1</v>
      </c>
      <c r="H3548" s="1">
        <v>2.8935185185185184E-3</v>
      </c>
      <c r="I3548" t="s">
        <v>23</v>
      </c>
      <c r="J3548" s="2" t="str">
        <f>HYPERLINK("https://www.nba.com/stats/events?CFID=&amp;CFPARAMS=&amp;GameEventID=90&amp;GameID=0022000091&amp;Season=2020-21&amp;flag=1&amp;title=Leonard%208'%20turnaround%20Jump%20Shot%20(5%20PTS)", "8' turnaround Jump Shot (5 PTS)")</f>
        <v>8' turnaround Jump Shot (5 PTS)</v>
      </c>
      <c r="K3548" s="2" t="str">
        <f>HYPERLINK("https://www.nba.com/game/...-vs-...-0022000091/play-by-play?watchFullGame=true", "LAC vs PHX - Q1 04:10.00")</f>
        <v>LAC vs PHX - Q1 04:10.00</v>
      </c>
      <c r="L3548">
        <v>8.34</v>
      </c>
      <c r="M3548">
        <v>10.86</v>
      </c>
      <c r="N3548">
        <v>36.590000000000003</v>
      </c>
      <c r="O3548">
        <v>67</v>
      </c>
      <c r="P3548">
        <v>50</v>
      </c>
    </row>
    <row r="3549" spans="1:16" x14ac:dyDescent="0.25">
      <c r="A3549">
        <v>22000488</v>
      </c>
      <c r="B3549">
        <v>2020</v>
      </c>
      <c r="C3549" t="s">
        <v>32</v>
      </c>
      <c r="D3549" t="s">
        <v>44</v>
      </c>
      <c r="E3549">
        <v>31</v>
      </c>
      <c r="F3549">
        <v>20</v>
      </c>
      <c r="G3549">
        <v>1</v>
      </c>
      <c r="H3549" s="1">
        <v>9.6064814814814819E-4</v>
      </c>
      <c r="I3549" t="s">
        <v>23</v>
      </c>
      <c r="J3549" s="2" t="str">
        <f>HYPERLINK("https://www.nba.com/stats/events?CFID=&amp;CFPARAMS=&amp;GameEventID=134&amp;GameID=0022000488&amp;Season=2020-21&amp;flag=1&amp;title=Leonard%206'%20driving%20Hook%20(10%20PTS)", "6' driving Hook (10 PTS)")</f>
        <v>6' driving Hook (10 PTS)</v>
      </c>
      <c r="K3549" s="2" t="str">
        <f>HYPERLINK("https://www.nba.com/game/...-vs-...-0022000488/play-by-play?watchFullGame=true", "LAC vs WAS - Q1 01:23.00")</f>
        <v>LAC vs WAS - Q1 01:23.00</v>
      </c>
      <c r="L3549">
        <v>6.65</v>
      </c>
      <c r="M3549">
        <v>94.43</v>
      </c>
      <c r="N3549">
        <v>63.3</v>
      </c>
      <c r="O3549">
        <v>67</v>
      </c>
      <c r="P3549">
        <v>63</v>
      </c>
    </row>
    <row r="3550" spans="1:16" x14ac:dyDescent="0.25">
      <c r="A3550">
        <v>21901307</v>
      </c>
      <c r="B3550">
        <v>2019</v>
      </c>
      <c r="C3550" t="s">
        <v>32</v>
      </c>
      <c r="D3550" t="s">
        <v>22</v>
      </c>
      <c r="E3550">
        <v>22</v>
      </c>
      <c r="F3550">
        <v>21</v>
      </c>
      <c r="G3550">
        <v>1</v>
      </c>
      <c r="H3550" s="1">
        <v>1.3194444444444445E-3</v>
      </c>
      <c r="I3550" t="s">
        <v>23</v>
      </c>
      <c r="J3550" s="2" t="str">
        <f>HYPERLINK("https://www.nba.com/stats/events?CFID=&amp;CFPARAMS=&amp;GameEventID=131&amp;GameID=0021901307&amp;Season=2019-20&amp;flag=1&amp;title=Leonard%2014'%20jumpshot%20(8%20PTS)%20(R.%20McGruder%201%20AST)", "14' jumpshot (8 PTS) (R. McGruder 1 AST)")</f>
        <v>14' jumpshot (8 PTS) (R. McGruder 1 AST)</v>
      </c>
      <c r="K3550" s="2" t="str">
        <f>HYPERLINK("https://www.nba.com/game/...-vs-...-0021901307/play-by-play?watchFullGame=true", "LAC vs DEN - Q1 01:54.00")</f>
        <v>LAC vs DEN - Q1 01:54.00</v>
      </c>
      <c r="L3550">
        <v>14.23</v>
      </c>
      <c r="M3550">
        <v>18.350000000000001</v>
      </c>
      <c r="N3550">
        <v>36.590000000000003</v>
      </c>
      <c r="O3550">
        <v>67</v>
      </c>
      <c r="P3550">
        <v>120</v>
      </c>
    </row>
    <row r="3551" spans="1:16" x14ac:dyDescent="0.25">
      <c r="A3551">
        <v>22000867</v>
      </c>
      <c r="B3551">
        <v>2020</v>
      </c>
      <c r="C3551" t="s">
        <v>32</v>
      </c>
      <c r="D3551" t="s">
        <v>19</v>
      </c>
      <c r="E3551">
        <v>74</v>
      </c>
      <c r="F3551">
        <v>53</v>
      </c>
      <c r="G3551">
        <v>3</v>
      </c>
      <c r="H3551" s="1">
        <v>8.0902777777777778E-3</v>
      </c>
      <c r="I3551" t="s">
        <v>23</v>
      </c>
      <c r="J3551" s="2" t="str">
        <f>HYPERLINK("https://www.nba.com/stats/events?CFID=&amp;CFPARAMS=&amp;GameEventID=345&amp;GameID=0022000867&amp;Season=2020-21&amp;flag=1&amp;title=Leonard%2014'%20pullup%20Jump%20Shot%20(10%20PTS)%20(P.%20George%204%20AST)", "14' pullup Jump Shot (10 PTS) (P. George 4 AST)")</f>
        <v>14' pullup Jump Shot (10 PTS) (P. George 4 AST)</v>
      </c>
      <c r="K3551" s="2" t="str">
        <f>HYPERLINK("https://www.nba.com/game/...-vs-...-0022000867/play-by-play?watchFullGame=true", "LAC vs MIN - Q3 11:39.00")</f>
        <v>LAC vs MIN - Q3 11:39.00</v>
      </c>
      <c r="L3551">
        <v>14.61</v>
      </c>
      <c r="M3551">
        <v>19.399999999999999</v>
      </c>
      <c r="N3551">
        <v>36.590000000000003</v>
      </c>
      <c r="O3551">
        <v>67</v>
      </c>
      <c r="P3551">
        <v>130</v>
      </c>
    </row>
    <row r="3552" spans="1:16" x14ac:dyDescent="0.25">
      <c r="A3552">
        <v>22301017</v>
      </c>
      <c r="B3552">
        <v>2023</v>
      </c>
      <c r="C3552" t="s">
        <v>32</v>
      </c>
      <c r="D3552" t="s">
        <v>19</v>
      </c>
      <c r="E3552">
        <v>25</v>
      </c>
      <c r="F3552">
        <v>39</v>
      </c>
      <c r="G3552">
        <v>1</v>
      </c>
      <c r="H3552" s="1">
        <v>1.0648148148148149E-3</v>
      </c>
      <c r="I3552" t="s">
        <v>23</v>
      </c>
      <c r="J3552" s="2" t="str">
        <f>HYPERLINK("https://www.nba.com/stats/events?CFID=&amp;CFPARAMS=&amp;GameEventID=148&amp;GameID=0022301017&amp;Season=2023-24&amp;flag=1&amp;title=Leonard%2014'%20pullup%20Jump%20Shot%20(13%20PTS)%20(A.%20Coffey%202%20AST)", "14' pullup Jump Shot (13 PTS) (A. Coffey 2 AST)")</f>
        <v>14' pullup Jump Shot (13 PTS) (A. Coffey 2 AST)</v>
      </c>
      <c r="K3552" s="2" t="str">
        <f>HYPERLINK("https://www.nba.com/game/...-vs-...-0022301017/play-by-play?watchFullGame=true", "LAC vs POR - Q1 01:32.00")</f>
        <v>LAC vs POR - Q1 01:32.00</v>
      </c>
      <c r="L3552">
        <v>14.82</v>
      </c>
      <c r="M3552">
        <v>80.37</v>
      </c>
      <c r="N3552">
        <v>63.48</v>
      </c>
      <c r="O3552">
        <v>67</v>
      </c>
      <c r="P3552">
        <v>132</v>
      </c>
    </row>
    <row r="3553" spans="1:16" x14ac:dyDescent="0.25">
      <c r="A3553">
        <v>21600874</v>
      </c>
      <c r="B3553">
        <v>2016</v>
      </c>
      <c r="C3553" t="s">
        <v>32</v>
      </c>
      <c r="D3553" t="s">
        <v>19</v>
      </c>
      <c r="E3553">
        <v>7</v>
      </c>
      <c r="F3553">
        <v>15</v>
      </c>
      <c r="G3553">
        <v>1</v>
      </c>
      <c r="H3553" s="1">
        <v>4.3981481481481484E-3</v>
      </c>
      <c r="I3553" t="s">
        <v>18</v>
      </c>
      <c r="J3553" s="2" t="str">
        <f>HYPERLINK("https://www.nba.com/stats/events?CFID=&amp;CFPARAMS=&amp;GameEventID=44&amp;GameID=0021600874&amp;Season=2016-17&amp;flag=1&amp;title=Leonard%2017'%20Jump%20Shot%20(7%20PTS)%20(Dedmon%202%20AST)", "Leonard 17' Jump Shot (7 PTS) (Dedmon 2 AST)")</f>
        <v>Leonard 17' Jump Shot (7 PTS) (Dedmon 2 AST)</v>
      </c>
      <c r="K3553" s="2" t="str">
        <f>HYPERLINK("https://www.nba.com/game/...-vs-...-0021600874/play-by-play?watchFullGame=true", "SAS vs LAL - Q1 06:20.00")</f>
        <v>SAS vs LAL - Q1 06:20.00</v>
      </c>
      <c r="L3553">
        <v>17</v>
      </c>
      <c r="M3553">
        <v>67</v>
      </c>
      <c r="N3553">
        <v>153</v>
      </c>
      <c r="O3553">
        <v>67</v>
      </c>
      <c r="P3553">
        <v>153</v>
      </c>
    </row>
    <row r="3554" spans="1:16" x14ac:dyDescent="0.25">
      <c r="A3554">
        <v>21400354</v>
      </c>
      <c r="B3554">
        <v>2014</v>
      </c>
      <c r="C3554" t="s">
        <v>32</v>
      </c>
      <c r="D3554" t="s">
        <v>19</v>
      </c>
      <c r="E3554">
        <v>22</v>
      </c>
      <c r="F3554">
        <v>22</v>
      </c>
      <c r="G3554">
        <v>2</v>
      </c>
      <c r="H3554" s="1">
        <v>7.9861111111111105E-3</v>
      </c>
      <c r="I3554" t="s">
        <v>18</v>
      </c>
      <c r="J3554" s="2" t="str">
        <f>HYPERLINK("https://www.nba.com/stats/events?CFID=&amp;CFPARAMS=&amp;GameEventID=129&amp;GameID=0021400354&amp;Season=2014-15&amp;flag=1&amp;title=Leonard%2019'%20Jump%20Shot%20(2%20PTS)%20(Diaw%202%20AST)", "Leonard 19' Jump Shot (2 PTS) (Diaw 2 AST)")</f>
        <v>Leonard 19' Jump Shot (2 PTS) (Diaw 2 AST)</v>
      </c>
      <c r="K3554" s="2" t="str">
        <f>HYPERLINK("https://www.nba.com/game/...-vs-...-0021400354/play-by-play?watchFullGame=true", "SAS vs DEN - Q2 11:30.00")</f>
        <v>SAS vs DEN - Q2 11:30.00</v>
      </c>
      <c r="L3554">
        <v>19</v>
      </c>
      <c r="M3554">
        <v>67</v>
      </c>
      <c r="N3554">
        <v>178</v>
      </c>
      <c r="O3554">
        <v>67</v>
      </c>
      <c r="P3554">
        <v>178</v>
      </c>
    </row>
    <row r="3555" spans="1:16" x14ac:dyDescent="0.25">
      <c r="A3555">
        <v>21400814</v>
      </c>
      <c r="B3555">
        <v>2014</v>
      </c>
      <c r="C3555" t="s">
        <v>16</v>
      </c>
      <c r="D3555" t="s">
        <v>29</v>
      </c>
      <c r="E3555">
        <v>52</v>
      </c>
      <c r="F3555">
        <v>51</v>
      </c>
      <c r="G3555">
        <v>2</v>
      </c>
      <c r="H3555" s="1">
        <v>1.6782407407407408E-3</v>
      </c>
      <c r="I3555" t="s">
        <v>18</v>
      </c>
      <c r="J3555" s="2" t="str">
        <f>HYPERLINK("https://www.nba.com/stats/events?CFID=&amp;CFPARAMS=&amp;GameEventID=206&amp;GameID=0021400814&amp;Season=2014-15&amp;flag=1&amp;title=Leonard%2025'%203PT%20Pullup%20Jump%20Shot%20(10%20PTS)%20(Parker%205%20AST)", "Leonard 25' 3PT Pullup Jump Shot (10 PTS) (Parker 5 AST)")</f>
        <v>Leonard 25' 3PT Pullup Jump Shot (10 PTS) (Parker 5 AST)</v>
      </c>
      <c r="K3555" s="2" t="str">
        <f>HYPERLINK("https://www.nba.com/game/...-vs-...-0021400814/play-by-play?watchFullGame=true", "SAS vs GSW - Q2 02:25.00")</f>
        <v>SAS vs GSW - Q2 02:25.00</v>
      </c>
      <c r="L3555">
        <v>25</v>
      </c>
      <c r="M3555">
        <v>67</v>
      </c>
      <c r="N3555">
        <v>246</v>
      </c>
      <c r="O3555">
        <v>67</v>
      </c>
      <c r="P3555">
        <v>246</v>
      </c>
    </row>
    <row r="3556" spans="1:16" x14ac:dyDescent="0.25">
      <c r="A3556">
        <v>21500465</v>
      </c>
      <c r="B3556">
        <v>2015</v>
      </c>
      <c r="C3556" t="s">
        <v>32</v>
      </c>
      <c r="D3556" t="s">
        <v>35</v>
      </c>
      <c r="E3556">
        <v>3</v>
      </c>
      <c r="F3556">
        <v>10</v>
      </c>
      <c r="G3556">
        <v>1</v>
      </c>
      <c r="H3556" s="1">
        <v>6.053240740740741E-3</v>
      </c>
      <c r="I3556" t="s">
        <v>18</v>
      </c>
      <c r="J3556" s="2" t="str">
        <f>HYPERLINK("https://www.nba.com/stats/events?CFID=&amp;CFPARAMS=&amp;GameEventID=29&amp;GameID=0021500465&amp;Season=2015-16&amp;flag=1&amp;title=Leonard%207'%20Driving%20Floating%20Jump%20Shot%20(2%20PTS)", "Leonard 7' Driving Floating Jump Shot (2 PTS)")</f>
        <v>Leonard 7' Driving Floating Jump Shot (2 PTS)</v>
      </c>
      <c r="K3556" s="2" t="str">
        <f>HYPERLINK("https://www.nba.com/game/...-vs-...-0021500465/play-by-play?watchFullGame=true", "SAS vs MIN - Q1 08:43.00")</f>
        <v>SAS vs MIN - Q1 08:43.00</v>
      </c>
      <c r="L3556">
        <v>7</v>
      </c>
      <c r="M3556">
        <v>68</v>
      </c>
      <c r="N3556">
        <v>7</v>
      </c>
      <c r="O3556">
        <v>68</v>
      </c>
      <c r="P3556">
        <v>7</v>
      </c>
    </row>
    <row r="3557" spans="1:16" x14ac:dyDescent="0.25">
      <c r="A3557">
        <v>22000520</v>
      </c>
      <c r="B3557">
        <v>2020</v>
      </c>
      <c r="C3557" t="s">
        <v>32</v>
      </c>
      <c r="D3557" t="s">
        <v>19</v>
      </c>
      <c r="E3557">
        <v>91</v>
      </c>
      <c r="F3557">
        <v>95</v>
      </c>
      <c r="G3557">
        <v>4</v>
      </c>
      <c r="H3557" s="1">
        <v>3.5069444444444445E-3</v>
      </c>
      <c r="I3557" t="s">
        <v>23</v>
      </c>
      <c r="J3557" s="2" t="str">
        <f>HYPERLINK("https://www.nba.com/stats/events?CFID=&amp;CFPARAMS=&amp;GameEventID=571&amp;GameID=0022000520&amp;Season=2020-21&amp;flag=1&amp;title=Leonard%206'%20turnaround%20fadeaway%20Jump%20Shot%20(23%20PTS)", "6' turnaround fadeaway Jump Shot (23 PTS)")</f>
        <v>6' turnaround fadeaway Jump Shot (23 PTS)</v>
      </c>
      <c r="K3557" s="2" t="str">
        <f>HYPERLINK("https://www.nba.com/game/...-vs-...-0022000520/play-by-play?watchFullGame=true", "LAC vs MIL - Q4 05:03.00")</f>
        <v>LAC vs MIL - Q4 05:03.00</v>
      </c>
      <c r="L3557">
        <v>6.89</v>
      </c>
      <c r="M3557">
        <v>6.52</v>
      </c>
      <c r="N3557">
        <v>36.340000000000003</v>
      </c>
      <c r="O3557">
        <v>68</v>
      </c>
      <c r="P3557">
        <v>9</v>
      </c>
    </row>
    <row r="3558" spans="1:16" x14ac:dyDescent="0.25">
      <c r="A3558">
        <v>21500905</v>
      </c>
      <c r="B3558">
        <v>2015</v>
      </c>
      <c r="C3558" t="s">
        <v>32</v>
      </c>
      <c r="D3558" t="s">
        <v>40</v>
      </c>
      <c r="E3558">
        <v>95</v>
      </c>
      <c r="F3558">
        <v>80</v>
      </c>
      <c r="G3558">
        <v>4</v>
      </c>
      <c r="H3558" s="1">
        <v>2.627314814814815E-3</v>
      </c>
      <c r="I3558" t="s">
        <v>18</v>
      </c>
      <c r="J3558" s="2" t="str">
        <f>HYPERLINK("https://www.nba.com/stats/events?CFID=&amp;CFPARAMS=&amp;GameEventID=413&amp;GameID=0021500905&amp;Season=2015-16&amp;flag=1&amp;title=Leonard%207'%20Hook%20Shot%20(27%20PTS)%20(Parker%204%20AST)", "Leonard 7' Hook Shot (27 PTS) (Parker 4 AST)")</f>
        <v>Leonard 7' Hook Shot (27 PTS) (Parker 4 AST)</v>
      </c>
      <c r="K3558" s="2" t="str">
        <f>HYPERLINK("https://www.nba.com/game/...-vs-...-0021500905/play-by-play?watchFullGame=true", "SAS vs DET - Q4 03:47.00")</f>
        <v>SAS vs DET - Q4 03:47.00</v>
      </c>
      <c r="L3558">
        <v>7</v>
      </c>
      <c r="M3558">
        <v>68</v>
      </c>
      <c r="N3558">
        <v>16</v>
      </c>
      <c r="O3558">
        <v>68</v>
      </c>
      <c r="P3558">
        <v>16</v>
      </c>
    </row>
    <row r="3559" spans="1:16" x14ac:dyDescent="0.25">
      <c r="A3559">
        <v>22000350</v>
      </c>
      <c r="B3559">
        <v>2020</v>
      </c>
      <c r="C3559" t="s">
        <v>32</v>
      </c>
      <c r="D3559" t="s">
        <v>19</v>
      </c>
      <c r="E3559">
        <v>108</v>
      </c>
      <c r="F3559">
        <v>106</v>
      </c>
      <c r="G3559">
        <v>4</v>
      </c>
      <c r="H3559" s="1">
        <v>1.9212962962962964E-3</v>
      </c>
      <c r="I3559" t="s">
        <v>23</v>
      </c>
      <c r="J3559" s="2" t="str">
        <f>HYPERLINK("https://www.nba.com/stats/events?CFID=&amp;CFPARAMS=&amp;GameEventID=572&amp;GameID=0022000350&amp;Season=2020-21&amp;flag=1&amp;title=Leonard%206'%20turnaround%20Jump%20Shot%20(28%20PTS)", "6' turnaround Jump Shot (28 PTS)")</f>
        <v>6' turnaround Jump Shot (28 PTS)</v>
      </c>
      <c r="K3559" s="2" t="str">
        <f>HYPERLINK("https://www.nba.com/game/...-vs-...-0022000350/play-by-play?watchFullGame=true", "LAC vs BOS - Q4 02:46.00")</f>
        <v>LAC vs BOS - Q4 02:46.00</v>
      </c>
      <c r="L3559">
        <v>6.95</v>
      </c>
      <c r="M3559">
        <v>92.72</v>
      </c>
      <c r="N3559">
        <v>63.55</v>
      </c>
      <c r="O3559">
        <v>68</v>
      </c>
      <c r="P3559">
        <v>16</v>
      </c>
    </row>
    <row r="3560" spans="1:16" x14ac:dyDescent="0.25">
      <c r="A3560">
        <v>42000173</v>
      </c>
      <c r="B3560" t="s">
        <v>83</v>
      </c>
      <c r="C3560" t="s">
        <v>16</v>
      </c>
      <c r="D3560" t="s">
        <v>19</v>
      </c>
      <c r="E3560">
        <v>37</v>
      </c>
      <c r="F3560">
        <v>36</v>
      </c>
      <c r="G3560">
        <v>2</v>
      </c>
      <c r="H3560" s="1">
        <v>7.789351851851852E-3</v>
      </c>
      <c r="I3560" t="s">
        <v>23</v>
      </c>
      <c r="J3560" s="2" t="str">
        <f>HYPERLINK("https://www.nba.com/stats/events?CFID=&amp;CFPARAMS=&amp;GameEventID=158&amp;GameID=0042000173&amp;Season=2020-21&amp;flag=1&amp;title=Leonard%2025'%203PT%20%20(12%20PTS)%20(R.%20Rondo%202%20AST)", "25' 3PT  (12 PTS) (R. Rondo 2 AST)")</f>
        <v>25' 3PT  (12 PTS) (R. Rondo 2 AST)</v>
      </c>
      <c r="K3560" s="2" t="str">
        <f>HYPERLINK("https://www.nba.com/game/...-vs-...-0042000173/play-by-play?watchFullGame=true", "LAC vs DAL - Q2 11:13.00")</f>
        <v>LAC vs DAL - Q2 11:13.00</v>
      </c>
      <c r="L3560">
        <v>25.15</v>
      </c>
      <c r="M3560">
        <v>68.680000000000007</v>
      </c>
      <c r="N3560">
        <v>63.79</v>
      </c>
      <c r="O3560">
        <v>68</v>
      </c>
      <c r="P3560">
        <v>63</v>
      </c>
    </row>
    <row r="3561" spans="1:16" x14ac:dyDescent="0.25">
      <c r="A3561">
        <v>42200172</v>
      </c>
      <c r="B3561" t="s">
        <v>86</v>
      </c>
      <c r="C3561" t="s">
        <v>16</v>
      </c>
      <c r="D3561" t="s">
        <v>19</v>
      </c>
      <c r="E3561">
        <v>22</v>
      </c>
      <c r="F3561">
        <v>26</v>
      </c>
      <c r="G3561">
        <v>1</v>
      </c>
      <c r="H3561" s="1">
        <v>5.5555555555555556E-4</v>
      </c>
      <c r="I3561" t="s">
        <v>23</v>
      </c>
      <c r="J3561" s="2" t="str">
        <f>HYPERLINK("https://www.nba.com/stats/events?CFID=&amp;CFPARAMS=&amp;GameEventID=143&amp;GameID=0042200172&amp;Season=2022-23&amp;flag=1&amp;title=Leonard%2026'%203PT%20pullup%20(8%20PTS)", "26' 3PT pullup (8 PTS)")</f>
        <v>26' 3PT pullup (8 PTS)</v>
      </c>
      <c r="K3561" s="2" t="str">
        <f>HYPERLINK("https://www.nba.com/game/...-vs-...-0042200172/play-by-play?watchFullGame=true", "LAC vs PHX - Q1 00:48.00")</f>
        <v>LAC vs PHX - Q1 00:48.00</v>
      </c>
      <c r="L3561">
        <v>26.43</v>
      </c>
      <c r="M3561">
        <v>68.680000000000007</v>
      </c>
      <c r="N3561">
        <v>71.319999999999993</v>
      </c>
      <c r="O3561">
        <v>68</v>
      </c>
      <c r="P3561">
        <v>71</v>
      </c>
    </row>
    <row r="3562" spans="1:16" x14ac:dyDescent="0.25">
      <c r="A3562">
        <v>42000172</v>
      </c>
      <c r="B3562" t="s">
        <v>83</v>
      </c>
      <c r="C3562" t="s">
        <v>16</v>
      </c>
      <c r="D3562" t="s">
        <v>19</v>
      </c>
      <c r="E3562">
        <v>71</v>
      </c>
      <c r="F3562">
        <v>68</v>
      </c>
      <c r="G3562">
        <v>2</v>
      </c>
      <c r="H3562" s="1">
        <v>3.9467592592592592E-4</v>
      </c>
      <c r="I3562" t="s">
        <v>23</v>
      </c>
      <c r="J3562" s="2" t="str">
        <f>HYPERLINK("https://www.nba.com/stats/events?CFID=&amp;CFPARAMS=&amp;GameEventID=298&amp;GameID=0042000172&amp;Season=2020-21&amp;flag=1&amp;title=Leonard%2027'%203PT%20%20(30%20PTS)%20(R.%20Rondo%203%20AST)", "27' 3PT  (30 PTS) (R. Rondo 3 AST)")</f>
        <v>27' 3PT  (30 PTS) (R. Rondo 3 AST)</v>
      </c>
      <c r="K3562" s="2" t="str">
        <f>HYPERLINK("https://www.nba.com/game/...-vs-...-0042000172/play-by-play?watchFullGame=true", "LAC vs DAL - Q2 00:34.10")</f>
        <v>LAC vs DAL - Q2 00:34.10</v>
      </c>
      <c r="L3562">
        <v>27.15</v>
      </c>
      <c r="M3562">
        <v>68.94</v>
      </c>
      <c r="N3562">
        <v>75.56</v>
      </c>
      <c r="O3562">
        <v>68</v>
      </c>
      <c r="P3562">
        <v>75</v>
      </c>
    </row>
    <row r="3563" spans="1:16" x14ac:dyDescent="0.25">
      <c r="A3563">
        <v>21500909</v>
      </c>
      <c r="B3563">
        <v>2015</v>
      </c>
      <c r="C3563" t="s">
        <v>32</v>
      </c>
      <c r="D3563" t="s">
        <v>33</v>
      </c>
      <c r="E3563">
        <v>81</v>
      </c>
      <c r="F3563">
        <v>76</v>
      </c>
      <c r="G3563">
        <v>4</v>
      </c>
      <c r="H3563" s="1">
        <v>3.9004629629629628E-3</v>
      </c>
      <c r="I3563" t="s">
        <v>18</v>
      </c>
      <c r="J3563" s="2" t="str">
        <f>HYPERLINK("https://www.nba.com/stats/events?CFID=&amp;CFPARAMS=&amp;GameEventID=423&amp;GameID=0021500909&amp;Season=2015-16&amp;flag=1&amp;title=Leonard%2013'%20Fadeaway%20Jumper%20(25%20PTS)", "Leonard 13' Fadeaway Jumper (25 PTS)")</f>
        <v>Leonard 13' Fadeaway Jumper (25 PTS)</v>
      </c>
      <c r="K3563" s="2" t="str">
        <f>HYPERLINK("https://www.nba.com/game/...-vs-...-0021500909/play-by-play?watchFullGame=true", "SAS vs NOP - Q4 05:37.00")</f>
        <v>SAS vs NOP - Q4 05:37.00</v>
      </c>
      <c r="L3563">
        <v>13</v>
      </c>
      <c r="M3563">
        <v>68</v>
      </c>
      <c r="N3563">
        <v>105</v>
      </c>
      <c r="O3563">
        <v>68</v>
      </c>
      <c r="P3563">
        <v>105</v>
      </c>
    </row>
    <row r="3564" spans="1:16" x14ac:dyDescent="0.25">
      <c r="A3564">
        <v>21601042</v>
      </c>
      <c r="B3564">
        <v>2016</v>
      </c>
      <c r="C3564" t="s">
        <v>32</v>
      </c>
      <c r="D3564" t="s">
        <v>38</v>
      </c>
      <c r="E3564">
        <v>46</v>
      </c>
      <c r="F3564">
        <v>40</v>
      </c>
      <c r="G3564">
        <v>2</v>
      </c>
      <c r="H3564" s="1">
        <v>3.0555555555555557E-3</v>
      </c>
      <c r="I3564" t="s">
        <v>18</v>
      </c>
      <c r="J3564" s="2" t="str">
        <f>HYPERLINK("https://www.nba.com/stats/events?CFID=&amp;CFPARAMS=&amp;GameEventID=217&amp;GameID=0021601042&amp;Season=2016-17&amp;flag=1&amp;title=Leonard%207'%20Jump%20Bank%20Shot%20(10%20PTS)", "Leonard 7' Jump Bank Shot (10 PTS)")</f>
        <v>Leonard 7' Jump Bank Shot (10 PTS)</v>
      </c>
      <c r="K3564" s="2" t="str">
        <f>HYPERLINK("https://www.nba.com/game/...-vs-...-0021601042/play-by-play?watchFullGame=true", "SAS vs SAC - Q2 04:24.00")</f>
        <v>SAS vs SAC - Q2 04:24.00</v>
      </c>
      <c r="L3564">
        <v>7</v>
      </c>
      <c r="M3564">
        <v>69</v>
      </c>
      <c r="N3564">
        <v>7</v>
      </c>
      <c r="O3564">
        <v>69</v>
      </c>
      <c r="P3564">
        <v>7</v>
      </c>
    </row>
    <row r="3565" spans="1:16" x14ac:dyDescent="0.25">
      <c r="A3565">
        <v>22000867</v>
      </c>
      <c r="B3565">
        <v>2020</v>
      </c>
      <c r="C3565" t="s">
        <v>32</v>
      </c>
      <c r="D3565" t="s">
        <v>44</v>
      </c>
      <c r="E3565">
        <v>14</v>
      </c>
      <c r="F3565">
        <v>10</v>
      </c>
      <c r="G3565">
        <v>1</v>
      </c>
      <c r="H3565" s="1">
        <v>5.6597222222222222E-3</v>
      </c>
      <c r="I3565" t="s">
        <v>23</v>
      </c>
      <c r="J3565" s="2" t="str">
        <f>HYPERLINK("https://www.nba.com/stats/events?CFID=&amp;CFPARAMS=&amp;GameEventID=42&amp;GameID=0022000867&amp;Season=2020-21&amp;flag=1&amp;title=Leonard%206'%20driving%20Hook%20(5%20PTS)", "6' driving Hook (5 PTS)")</f>
        <v>6' driving Hook (5 PTS)</v>
      </c>
      <c r="K3565" s="2" t="str">
        <f>HYPERLINK("https://www.nba.com/game/...-vs-...-0022000867/play-by-play?watchFullGame=true", "LAC vs MIN - Q1 08:09.00")</f>
        <v>LAC vs MIN - Q1 08:09.00</v>
      </c>
      <c r="L3565">
        <v>6.99</v>
      </c>
      <c r="M3565">
        <v>93.25</v>
      </c>
      <c r="N3565">
        <v>63.79</v>
      </c>
      <c r="O3565">
        <v>69</v>
      </c>
      <c r="P3565">
        <v>11</v>
      </c>
    </row>
    <row r="3566" spans="1:16" x14ac:dyDescent="0.25">
      <c r="A3566">
        <v>42200172</v>
      </c>
      <c r="B3566" t="s">
        <v>86</v>
      </c>
      <c r="C3566" t="s">
        <v>16</v>
      </c>
      <c r="D3566" t="s">
        <v>19</v>
      </c>
      <c r="E3566">
        <v>36</v>
      </c>
      <c r="F3566">
        <v>48</v>
      </c>
      <c r="G3566">
        <v>2</v>
      </c>
      <c r="H3566" s="1">
        <v>4.0972222222222226E-3</v>
      </c>
      <c r="I3566" t="s">
        <v>23</v>
      </c>
      <c r="J3566" s="2" t="str">
        <f>HYPERLINK("https://www.nba.com/stats/events?CFID=&amp;CFPARAMS=&amp;GameEventID=246&amp;GameID=0042200172&amp;Season=2022-23&amp;flag=1&amp;title=Leonard%2027'%203PT%20pullup%20(11%20PTS)", "27' 3PT pullup (11 PTS)")</f>
        <v>27' 3PT pullup (11 PTS)</v>
      </c>
      <c r="K3566" s="2" t="str">
        <f>HYPERLINK("https://www.nba.com/game/...-vs-...-0042200172/play-by-play?watchFullGame=true", "LAC vs PHX - Q2 05:54.00")</f>
        <v>LAC vs PHX - Q2 05:54.00</v>
      </c>
      <c r="L3566">
        <v>27.17</v>
      </c>
      <c r="M3566">
        <v>69.459999999999994</v>
      </c>
      <c r="N3566">
        <v>22.55</v>
      </c>
      <c r="O3566">
        <v>69</v>
      </c>
      <c r="P3566">
        <v>22</v>
      </c>
    </row>
    <row r="3567" spans="1:16" x14ac:dyDescent="0.25">
      <c r="A3567">
        <v>21600086</v>
      </c>
      <c r="B3567">
        <v>2016</v>
      </c>
      <c r="C3567" t="s">
        <v>32</v>
      </c>
      <c r="D3567" t="s">
        <v>35</v>
      </c>
      <c r="E3567">
        <v>43</v>
      </c>
      <c r="F3567">
        <v>58</v>
      </c>
      <c r="G3567">
        <v>2</v>
      </c>
      <c r="H3567" s="1">
        <v>3.8541666666666668E-3</v>
      </c>
      <c r="I3567" t="s">
        <v>18</v>
      </c>
      <c r="J3567" s="2" t="str">
        <f>HYPERLINK("https://www.nba.com/stats/events?CFID=&amp;CFPARAMS=&amp;GameEventID=216&amp;GameID=0021600086&amp;Season=2016-17&amp;flag=1&amp;title=Leonard%208'%20Driving%20Floating%20Jump%20Shot%20(14%20PTS)%20(Mills%203%20AST)", "Leonard 8' Driving Floating Jump Shot (14 PTS) (Mills 3 AST)")</f>
        <v>Leonard 8' Driving Floating Jump Shot (14 PTS) (Mills 3 AST)</v>
      </c>
      <c r="K3567" s="2" t="str">
        <f>HYPERLINK("https://www.nba.com/game/...-vs-...-0021600086/play-by-play?watchFullGame=true", "SAS vs LAC - Q2 05:33.00")</f>
        <v>SAS vs LAC - Q2 05:33.00</v>
      </c>
      <c r="L3567">
        <v>8</v>
      </c>
      <c r="M3567">
        <v>69</v>
      </c>
      <c r="N3567">
        <v>43</v>
      </c>
      <c r="O3567">
        <v>69</v>
      </c>
      <c r="P3567">
        <v>43</v>
      </c>
    </row>
    <row r="3568" spans="1:16" x14ac:dyDescent="0.25">
      <c r="A3568">
        <v>21500790</v>
      </c>
      <c r="B3568">
        <v>2015</v>
      </c>
      <c r="C3568" t="s">
        <v>32</v>
      </c>
      <c r="D3568" t="s">
        <v>33</v>
      </c>
      <c r="E3568">
        <v>40</v>
      </c>
      <c r="F3568">
        <v>48</v>
      </c>
      <c r="G3568">
        <v>2</v>
      </c>
      <c r="H3568" s="1">
        <v>2.1296296296296298E-3</v>
      </c>
      <c r="I3568" t="s">
        <v>18</v>
      </c>
      <c r="J3568" s="2" t="str">
        <f>HYPERLINK("https://www.nba.com/stats/events?CFID=&amp;CFPARAMS=&amp;GameEventID=213&amp;GameID=0021500790&amp;Season=2015-16&amp;flag=1&amp;title=Leonard%209'%20Fadeaway%20Jumper%20(13%20PTS)", "Leonard 9' Fadeaway Jumper (13 PTS)")</f>
        <v>Leonard 9' Fadeaway Jumper (13 PTS)</v>
      </c>
      <c r="K3568" s="2" t="str">
        <f>HYPERLINK("https://www.nba.com/game/...-vs-...-0021500790/play-by-play?watchFullGame=true", "SAS vs ORL - Q2 03:04.00")</f>
        <v>SAS vs ORL - Q2 03:04.00</v>
      </c>
      <c r="L3568">
        <v>9</v>
      </c>
      <c r="M3568">
        <v>69</v>
      </c>
      <c r="N3568">
        <v>52</v>
      </c>
      <c r="O3568">
        <v>69</v>
      </c>
      <c r="P3568">
        <v>52</v>
      </c>
    </row>
    <row r="3569" spans="1:16" x14ac:dyDescent="0.25">
      <c r="A3569">
        <v>21301154</v>
      </c>
      <c r="B3569">
        <v>2013</v>
      </c>
      <c r="C3569" t="s">
        <v>32</v>
      </c>
      <c r="D3569" t="s">
        <v>19</v>
      </c>
      <c r="E3569">
        <v>65</v>
      </c>
      <c r="F3569">
        <v>45</v>
      </c>
      <c r="G3569">
        <v>3</v>
      </c>
      <c r="H3569" s="1">
        <v>5.8217592592592592E-3</v>
      </c>
      <c r="I3569" t="s">
        <v>18</v>
      </c>
      <c r="J3569" s="2" t="str">
        <f>HYPERLINK("https://www.nba.com/stats/events?CFID=&amp;CFPARAMS=&amp;GameEventID=274&amp;GameID=0021301154&amp;Season=2013-14&amp;flag=1&amp;title=Leonard%2010'%20Jump%20Shot%20(17%20PTS)%20(Joseph%202%20AST)", "Leonard 10' Jump Shot (17 PTS) (Joseph 2 AST)")</f>
        <v>Leonard 10' Jump Shot (17 PTS) (Joseph 2 AST)</v>
      </c>
      <c r="K3569" s="2" t="str">
        <f>HYPERLINK("https://www.nba.com/game/...-vs-...-0021301154/play-by-play?watchFullGame=true", "SAS vs MEM - Q3 08:23.00")</f>
        <v>SAS vs MEM - Q3 08:23.00</v>
      </c>
      <c r="L3569">
        <v>10</v>
      </c>
      <c r="M3569">
        <v>69</v>
      </c>
      <c r="N3569">
        <v>74</v>
      </c>
      <c r="O3569">
        <v>69</v>
      </c>
      <c r="P3569">
        <v>74</v>
      </c>
    </row>
    <row r="3570" spans="1:16" x14ac:dyDescent="0.25">
      <c r="A3570">
        <v>21500653</v>
      </c>
      <c r="B3570">
        <v>2015</v>
      </c>
      <c r="C3570" t="s">
        <v>32</v>
      </c>
      <c r="D3570" t="s">
        <v>29</v>
      </c>
      <c r="E3570">
        <v>43</v>
      </c>
      <c r="F3570">
        <v>52</v>
      </c>
      <c r="G3570">
        <v>2</v>
      </c>
      <c r="H3570" s="1">
        <v>1.2847222222222223E-3</v>
      </c>
      <c r="I3570" t="s">
        <v>18</v>
      </c>
      <c r="J3570" s="2" t="str">
        <f>HYPERLINK("https://www.nba.com/stats/events?CFID=&amp;CFPARAMS=&amp;GameEventID=217&amp;GameID=0021500653&amp;Season=2015-16&amp;flag=1&amp;title=Leonard%2013'%20Pullup%20Jump%20Shot%20(10%20PTS)", "Leonard 13' Pullup Jump Shot (10 PTS)")</f>
        <v>Leonard 13' Pullup Jump Shot (10 PTS)</v>
      </c>
      <c r="K3570" s="2" t="str">
        <f>HYPERLINK("https://www.nba.com/game/...-vs-...-0021500653/play-by-play?watchFullGame=true", "SAS vs LAL - Q2 01:51.00")</f>
        <v>SAS vs LAL - Q2 01:51.00</v>
      </c>
      <c r="L3570">
        <v>13</v>
      </c>
      <c r="M3570">
        <v>69</v>
      </c>
      <c r="N3570">
        <v>105</v>
      </c>
      <c r="O3570">
        <v>69</v>
      </c>
      <c r="P3570">
        <v>105</v>
      </c>
    </row>
    <row r="3571" spans="1:16" x14ac:dyDescent="0.25">
      <c r="A3571">
        <v>21600625</v>
      </c>
      <c r="B3571">
        <v>2016</v>
      </c>
      <c r="C3571" t="s">
        <v>32</v>
      </c>
      <c r="D3571" t="s">
        <v>29</v>
      </c>
      <c r="E3571">
        <v>105</v>
      </c>
      <c r="F3571">
        <v>93</v>
      </c>
      <c r="G3571">
        <v>4</v>
      </c>
      <c r="H3571" s="1">
        <v>5.0347222222222225E-3</v>
      </c>
      <c r="I3571" t="s">
        <v>18</v>
      </c>
      <c r="J3571" s="2" t="str">
        <f>HYPERLINK("https://www.nba.com/stats/events?CFID=&amp;CFPARAMS=&amp;GameEventID=490&amp;GameID=0021600625&amp;Season=2016-17&amp;flag=1&amp;title=Leonard%2015'%20Pullup%20Jump%20Shot%20(29%20PTS)%20(Lee%203%20AST)", "Leonard 15' Pullup Jump Shot (29 PTS) (Lee 3 AST)")</f>
        <v>Leonard 15' Pullup Jump Shot (29 PTS) (Lee 3 AST)</v>
      </c>
      <c r="K3571" s="2" t="str">
        <f>HYPERLINK("https://www.nba.com/game/...-vs-...-0021600625/play-by-play?watchFullGame=true", "SAS vs MIN - Q4 07:15.00")</f>
        <v>SAS vs MIN - Q4 07:15.00</v>
      </c>
      <c r="L3571">
        <v>15</v>
      </c>
      <c r="M3571">
        <v>69</v>
      </c>
      <c r="N3571">
        <v>129</v>
      </c>
      <c r="O3571">
        <v>69</v>
      </c>
      <c r="P3571">
        <v>129</v>
      </c>
    </row>
    <row r="3572" spans="1:16" x14ac:dyDescent="0.25">
      <c r="A3572">
        <v>22201069</v>
      </c>
      <c r="B3572">
        <v>2022</v>
      </c>
      <c r="C3572" t="s">
        <v>32</v>
      </c>
      <c r="D3572" t="s">
        <v>19</v>
      </c>
      <c r="E3572">
        <v>97</v>
      </c>
      <c r="F3572">
        <v>105</v>
      </c>
      <c r="G3572">
        <v>4</v>
      </c>
      <c r="H3572" s="1">
        <v>4.6643518518518518E-3</v>
      </c>
      <c r="I3572" t="s">
        <v>23</v>
      </c>
      <c r="J3572" s="2" t="str">
        <f>HYPERLINK("https://www.nba.com/stats/events?CFID=&amp;CFPARAMS=&amp;GameEventID=556&amp;GameID=0022201069&amp;Season=2022-23&amp;flag=1&amp;title=Leonard%2014'%20turnaround%20fadeaway%20Jump%20Shot%20(21%20PTS)", "14' turnaround fadeaway Jump Shot (21 PTS)")</f>
        <v>14' turnaround fadeaway Jump Shot (21 PTS)</v>
      </c>
      <c r="K3572" s="2" t="str">
        <f>HYPERLINK("https://www.nba.com/game/...-vs-...-0022201069/play-by-play?watchFullGame=true", "LAC vs POR - Q4 06:43.00")</f>
        <v>LAC vs POR - Q4 06:43.00</v>
      </c>
      <c r="L3572">
        <v>14.68</v>
      </c>
      <c r="M3572">
        <v>19.399999999999999</v>
      </c>
      <c r="N3572">
        <v>36.270000000000003</v>
      </c>
      <c r="O3572">
        <v>69</v>
      </c>
      <c r="P3572">
        <v>130</v>
      </c>
    </row>
    <row r="3573" spans="1:16" x14ac:dyDescent="0.25">
      <c r="A3573">
        <v>21600458</v>
      </c>
      <c r="B3573">
        <v>2016</v>
      </c>
      <c r="C3573" t="s">
        <v>32</v>
      </c>
      <c r="D3573" t="s">
        <v>29</v>
      </c>
      <c r="E3573">
        <v>55</v>
      </c>
      <c r="F3573">
        <v>50</v>
      </c>
      <c r="G3573">
        <v>2</v>
      </c>
      <c r="H3573" s="1">
        <v>2.9398148148148149E-4</v>
      </c>
      <c r="I3573" t="s">
        <v>18</v>
      </c>
      <c r="J3573" s="2" t="str">
        <f>HYPERLINK("https://www.nba.com/stats/events?CFID=&amp;CFPARAMS=&amp;GameEventID=235&amp;GameID=0021600458&amp;Season=2016-17&amp;flag=1&amp;title=Leonard%2019'%20Pullup%20Jump%20Shot%20(16%20PTS)", "Leonard 19' Pullup Jump Shot (16 PTS)")</f>
        <v>Leonard 19' Pullup Jump Shot (16 PTS)</v>
      </c>
      <c r="K3573" s="2" t="str">
        <f>HYPERLINK("https://www.nba.com/game/...-vs-...-0021600458/play-by-play?watchFullGame=true", "SAS vs CHI - Q2 00:25.40")</f>
        <v>SAS vs CHI - Q2 00:25.40</v>
      </c>
      <c r="L3573">
        <v>19</v>
      </c>
      <c r="M3573">
        <v>69</v>
      </c>
      <c r="N3573">
        <v>174</v>
      </c>
      <c r="O3573">
        <v>69</v>
      </c>
      <c r="P3573">
        <v>174</v>
      </c>
    </row>
    <row r="3574" spans="1:16" x14ac:dyDescent="0.25">
      <c r="A3574">
        <v>41400161</v>
      </c>
      <c r="B3574" t="s">
        <v>28</v>
      </c>
      <c r="C3574" t="s">
        <v>32</v>
      </c>
      <c r="D3574" t="s">
        <v>29</v>
      </c>
      <c r="E3574">
        <v>45</v>
      </c>
      <c r="F3574">
        <v>41</v>
      </c>
      <c r="G3574">
        <v>2</v>
      </c>
      <c r="H3574" s="1">
        <v>8.3333333333333339E-4</v>
      </c>
      <c r="I3574" t="s">
        <v>18</v>
      </c>
      <c r="J3574" s="2" t="str">
        <f>HYPERLINK("https://www.nba.com/stats/events?CFID=&amp;CFPARAMS=&amp;GameEventID=278&amp;GameID=0041400161&amp;Season=2014-15&amp;flag=1&amp;title=Leonard%2020'%20Pullup%20Jump%20Shot%20(9%20PTS)", "Leonard 20' Pullup Jump Shot (9 PTS)")</f>
        <v>Leonard 20' Pullup Jump Shot (9 PTS)</v>
      </c>
      <c r="K3574" s="2" t="str">
        <f>HYPERLINK("https://www.nba.com/game/...-vs-...-0041400161/play-by-play?watchFullGame=true", "SAS vs LAC - Q2 01:12.00")</f>
        <v>SAS vs LAC - Q2 01:12.00</v>
      </c>
      <c r="L3574">
        <v>20</v>
      </c>
      <c r="M3574">
        <v>69</v>
      </c>
      <c r="N3574">
        <v>183</v>
      </c>
      <c r="O3574">
        <v>69</v>
      </c>
      <c r="P3574">
        <v>183</v>
      </c>
    </row>
    <row r="3575" spans="1:16" x14ac:dyDescent="0.25">
      <c r="A3575">
        <v>21600289</v>
      </c>
      <c r="B3575">
        <v>2016</v>
      </c>
      <c r="C3575" t="s">
        <v>32</v>
      </c>
      <c r="D3575" t="s">
        <v>19</v>
      </c>
      <c r="E3575">
        <v>107</v>
      </c>
      <c r="F3575">
        <v>105</v>
      </c>
      <c r="G3575">
        <v>4</v>
      </c>
      <c r="H3575" s="1">
        <v>7.0601851851851845E-5</v>
      </c>
      <c r="I3575" t="s">
        <v>18</v>
      </c>
      <c r="J3575" s="2" t="str">
        <f>HYPERLINK("https://www.nba.com/stats/events?CFID=&amp;CFPARAMS=&amp;GameEventID=547&amp;GameID=0021600289&amp;Season=2016-17&amp;flag=1&amp;title=Leonard%2020'%20Jump%20Shot%20(23%20PTS)%20(Ginobili%207%20AST)", "Leonard 20' Jump Shot (23 PTS) (Ginobili 7 AST)")</f>
        <v>Leonard 20' Jump Shot (23 PTS) (Ginobili 7 AST)</v>
      </c>
      <c r="K3575" s="2" t="str">
        <f>HYPERLINK("https://www.nba.com/game/...-vs-...-0021600289/play-by-play?watchFullGame=true", "SAS vs WAS - Q4 00:06.10")</f>
        <v>SAS vs WAS - Q4 00:06.10</v>
      </c>
      <c r="L3575">
        <v>20</v>
      </c>
      <c r="M3575">
        <v>69</v>
      </c>
      <c r="N3575">
        <v>188</v>
      </c>
      <c r="O3575">
        <v>69</v>
      </c>
      <c r="P3575">
        <v>188</v>
      </c>
    </row>
    <row r="3576" spans="1:16" x14ac:dyDescent="0.25">
      <c r="A3576">
        <v>21600454</v>
      </c>
      <c r="B3576">
        <v>2016</v>
      </c>
      <c r="C3576" t="s">
        <v>32</v>
      </c>
      <c r="D3576" t="s">
        <v>29</v>
      </c>
      <c r="E3576">
        <v>7</v>
      </c>
      <c r="F3576">
        <v>8</v>
      </c>
      <c r="G3576">
        <v>1</v>
      </c>
      <c r="H3576" s="1">
        <v>5.2893518518518515E-3</v>
      </c>
      <c r="I3576" t="s">
        <v>18</v>
      </c>
      <c r="J3576" s="2" t="str">
        <f>HYPERLINK("https://www.nba.com/stats/events?CFID=&amp;CFPARAMS=&amp;GameEventID=51&amp;GameID=0021600454&amp;Season=2016-17&amp;flag=1&amp;title=Leonard%2022'%20Pullup%20Jump%20Shot%20(4%20PTS)", "Leonard 22' Pullup Jump Shot (4 PTS)")</f>
        <v>Leonard 22' Pullup Jump Shot (4 PTS)</v>
      </c>
      <c r="K3576" s="2" t="str">
        <f>HYPERLINK("https://www.nba.com/game/...-vs-...-0021600454/play-by-play?watchFullGame=true", "SAS vs POR - Q1 07:37.00")</f>
        <v>SAS vs POR - Q1 07:37.00</v>
      </c>
      <c r="L3576">
        <v>22</v>
      </c>
      <c r="M3576">
        <v>69</v>
      </c>
      <c r="N3576">
        <v>213</v>
      </c>
      <c r="O3576">
        <v>69</v>
      </c>
      <c r="P3576">
        <v>213</v>
      </c>
    </row>
    <row r="3577" spans="1:16" x14ac:dyDescent="0.25">
      <c r="A3577">
        <v>21301186</v>
      </c>
      <c r="B3577">
        <v>2013</v>
      </c>
      <c r="C3577" t="s">
        <v>16</v>
      </c>
      <c r="D3577" t="s">
        <v>19</v>
      </c>
      <c r="E3577">
        <v>100</v>
      </c>
      <c r="F3577">
        <v>98</v>
      </c>
      <c r="G3577">
        <v>4</v>
      </c>
      <c r="H3577" s="1">
        <v>2.8703703703703703E-3</v>
      </c>
      <c r="I3577" t="s">
        <v>18</v>
      </c>
      <c r="J3577" s="2" t="str">
        <f>HYPERLINK("https://www.nba.com/stats/events?CFID=&amp;CFPARAMS=&amp;GameEventID=442&amp;GameID=0021301186&amp;Season=2013-14&amp;flag=1&amp;title=Leonard%2025'%203PT%20Jump%20Shot%20(18%20PTS)%20(Diaw%205%20AST)", "Leonard 25' 3PT Jump Shot (18 PTS) (Diaw 5 AST)")</f>
        <v>Leonard 25' 3PT Jump Shot (18 PTS) (Diaw 5 AST)</v>
      </c>
      <c r="K3577" s="2" t="str">
        <f>HYPERLINK("https://www.nba.com/game/...-vs-...-0021301186/play-by-play?watchFullGame=true", "SAS vs PHX - Q4 04:08.00")</f>
        <v>SAS vs PHX - Q4 04:08.00</v>
      </c>
      <c r="L3577">
        <v>25</v>
      </c>
      <c r="M3577">
        <v>69</v>
      </c>
      <c r="N3577">
        <v>239</v>
      </c>
      <c r="O3577">
        <v>69</v>
      </c>
      <c r="P3577">
        <v>239</v>
      </c>
    </row>
    <row r="3578" spans="1:16" x14ac:dyDescent="0.25">
      <c r="A3578">
        <v>21900035</v>
      </c>
      <c r="B3578">
        <v>2019</v>
      </c>
      <c r="C3578" t="s">
        <v>16</v>
      </c>
      <c r="D3578" t="s">
        <v>22</v>
      </c>
      <c r="E3578">
        <v>129</v>
      </c>
      <c r="F3578">
        <v>122</v>
      </c>
      <c r="G3578">
        <v>4</v>
      </c>
      <c r="H3578" s="1">
        <v>2.8125000000000003E-4</v>
      </c>
      <c r="I3578" t="s">
        <v>23</v>
      </c>
      <c r="J3578" s="2" t="str">
        <f>HYPERLINK("https://www.nba.com/stats/events?CFID=&amp;CFPARAMS=&amp;GameEventID=754&amp;GameID=0021900035&amp;Season=2019-20&amp;flag=1&amp;title=[LAC]%20Leonard%203pt%20shot:%20Made%20(27%20PTS)%20assist:%20Williams%20(2%20AST)", "[LAC] Leonard 3pt shot: Made (27 PTS) assist: Williams (2 AST)")</f>
        <v>[LAC] Leonard 3pt shot: Made (27 PTS) assist: Williams (2 AST)</v>
      </c>
      <c r="K3578" s="2" t="str">
        <f>HYPERLINK("https://www.nba.com/game/...-vs-...-0021900035/play-by-play?watchFullGame=true", "LAC vs PHX - Q4 00:24.30")</f>
        <v>LAC vs PHX - Q4 00:24.30</v>
      </c>
      <c r="L3578">
        <v>26.28</v>
      </c>
      <c r="M3578">
        <v>68.02</v>
      </c>
      <c r="N3578">
        <v>63.79</v>
      </c>
      <c r="O3578">
        <v>69</v>
      </c>
      <c r="P3578">
        <v>248</v>
      </c>
    </row>
    <row r="3579" spans="1:16" x14ac:dyDescent="0.25">
      <c r="A3579">
        <v>22201129</v>
      </c>
      <c r="B3579">
        <v>2022</v>
      </c>
      <c r="C3579" t="s">
        <v>32</v>
      </c>
      <c r="D3579" t="s">
        <v>19</v>
      </c>
      <c r="E3579">
        <v>113</v>
      </c>
      <c r="F3579">
        <v>91</v>
      </c>
      <c r="G3579">
        <v>4</v>
      </c>
      <c r="H3579" s="1">
        <v>4.3981481481481484E-3</v>
      </c>
      <c r="I3579" t="s">
        <v>23</v>
      </c>
      <c r="J3579" s="2" t="str">
        <f>HYPERLINK("https://www.nba.com/stats/events?CFID=&amp;CFPARAMS=&amp;GameEventID=515&amp;GameID=0022201129&amp;Season=2022-23&amp;flag=1&amp;title=Leonard%207'%20pullup%20Jump%20Shot%20(18%20PTS)%20(E.%20Gordon%203%20AST)", "7' pullup Jump Shot (18 PTS) (E. Gordon 3 AST)")</f>
        <v>7' pullup Jump Shot (18 PTS) (E. Gordon 3 AST)</v>
      </c>
      <c r="K3579" s="2" t="str">
        <f>HYPERLINK("https://www.nba.com/game/...-vs-...-0022201129/play-by-play?watchFullGame=true", "LAC vs CHI - Q4 06:20.00")</f>
        <v>LAC vs CHI - Q4 06:20.00</v>
      </c>
      <c r="L3579">
        <v>7.01</v>
      </c>
      <c r="M3579">
        <v>93.87</v>
      </c>
      <c r="N3579">
        <v>63.97</v>
      </c>
      <c r="O3579">
        <v>70</v>
      </c>
      <c r="P3579">
        <v>5</v>
      </c>
    </row>
    <row r="3580" spans="1:16" x14ac:dyDescent="0.25">
      <c r="A3580">
        <v>21401110</v>
      </c>
      <c r="B3580">
        <v>2014</v>
      </c>
      <c r="C3580" t="s">
        <v>32</v>
      </c>
      <c r="D3580" t="s">
        <v>45</v>
      </c>
      <c r="E3580">
        <v>75</v>
      </c>
      <c r="F3580">
        <v>91</v>
      </c>
      <c r="G3580">
        <v>4</v>
      </c>
      <c r="H3580" s="1">
        <v>1.25E-3</v>
      </c>
      <c r="I3580" t="s">
        <v>18</v>
      </c>
      <c r="J3580" s="2" t="str">
        <f>HYPERLINK("https://www.nba.com/stats/events?CFID=&amp;CFPARAMS=&amp;GameEventID=489&amp;GameID=0021401110&amp;Season=2014-15&amp;flag=1&amp;title=Leonard%207'%20Jump%20Hook%20Shot%20(22%20PTS)", "Leonard 7' Jump Hook Shot (22 PTS)")</f>
        <v>Leonard 7' Jump Hook Shot (22 PTS)</v>
      </c>
      <c r="K3580" s="2" t="str">
        <f>HYPERLINK("https://www.nba.com/game/...-vs-...-0021401110/play-by-play?watchFullGame=true", "SAS vs MIA - Q4 01:48.00")</f>
        <v>SAS vs MIA - Q4 01:48.00</v>
      </c>
      <c r="L3580">
        <v>7</v>
      </c>
      <c r="M3580">
        <v>70</v>
      </c>
      <c r="N3580">
        <v>17</v>
      </c>
      <c r="O3580">
        <v>70</v>
      </c>
      <c r="P3580">
        <v>17</v>
      </c>
    </row>
    <row r="3581" spans="1:16" x14ac:dyDescent="0.25">
      <c r="A3581">
        <v>42000221</v>
      </c>
      <c r="B3581" t="s">
        <v>85</v>
      </c>
      <c r="C3581" t="s">
        <v>16</v>
      </c>
      <c r="D3581" t="s">
        <v>19</v>
      </c>
      <c r="E3581">
        <v>64</v>
      </c>
      <c r="F3581">
        <v>69</v>
      </c>
      <c r="G3581">
        <v>3</v>
      </c>
      <c r="H3581" s="1">
        <v>4.1203703703703706E-3</v>
      </c>
      <c r="I3581" t="s">
        <v>23</v>
      </c>
      <c r="J3581" s="2" t="str">
        <f>HYPERLINK("https://www.nba.com/stats/events?CFID=&amp;CFPARAMS=&amp;GameEventID=421&amp;GameID=0042000221&amp;Season=2020-21&amp;flag=1&amp;title=Leonard%2025'%203PT%20%20(14%20PTS)%20(R.%20Rondo%203%20AST)", "25' 3PT  (14 PTS) (R. Rondo 3 AST)")</f>
        <v>25' 3PT  (14 PTS) (R. Rondo 3 AST)</v>
      </c>
      <c r="K3581" s="2" t="str">
        <f>HYPERLINK("https://www.nba.com/game/...-vs-...-0042000221/play-by-play?watchFullGame=true", "LAC vs UTA - Q3 05:56.00")</f>
        <v>LAC vs UTA - Q3 05:56.00</v>
      </c>
      <c r="L3581">
        <v>25.4</v>
      </c>
      <c r="M3581">
        <v>70.52</v>
      </c>
      <c r="N3581">
        <v>26.29</v>
      </c>
      <c r="O3581">
        <v>70</v>
      </c>
      <c r="P3581">
        <v>26</v>
      </c>
    </row>
    <row r="3582" spans="1:16" x14ac:dyDescent="0.25">
      <c r="A3582">
        <v>41400162</v>
      </c>
      <c r="B3582" t="s">
        <v>28</v>
      </c>
      <c r="C3582" t="s">
        <v>32</v>
      </c>
      <c r="D3582" t="s">
        <v>19</v>
      </c>
      <c r="E3582">
        <v>6</v>
      </c>
      <c r="F3582">
        <v>9</v>
      </c>
      <c r="G3582">
        <v>1</v>
      </c>
      <c r="H3582" s="1">
        <v>5.4166666666666669E-3</v>
      </c>
      <c r="I3582" t="s">
        <v>18</v>
      </c>
      <c r="J3582" s="2" t="str">
        <f>HYPERLINK("https://www.nba.com/stats/events?CFID=&amp;CFPARAMS=&amp;GameEventID=42&amp;GameID=0041400162&amp;Season=2014-15&amp;flag=1&amp;title=Leonard%209'%20Jump%20Shot%20(2%20PTS)", "Leonard 9' Jump Shot (2 PTS)")</f>
        <v>Leonard 9' Jump Shot (2 PTS)</v>
      </c>
      <c r="K3582" s="2" t="str">
        <f>HYPERLINK("https://www.nba.com/game/...-vs-...-0041400162/play-by-play?watchFullGame=true", "SAS vs LAC - Q1 07:48.00")</f>
        <v>SAS vs LAC - Q1 07:48.00</v>
      </c>
      <c r="L3582">
        <v>9</v>
      </c>
      <c r="M3582">
        <v>70</v>
      </c>
      <c r="N3582">
        <v>55</v>
      </c>
      <c r="O3582">
        <v>70</v>
      </c>
      <c r="P3582">
        <v>55</v>
      </c>
    </row>
    <row r="3583" spans="1:16" x14ac:dyDescent="0.25">
      <c r="A3583">
        <v>41200406</v>
      </c>
      <c r="B3583" t="s">
        <v>27</v>
      </c>
      <c r="C3583" t="s">
        <v>32</v>
      </c>
      <c r="D3583" t="s">
        <v>19</v>
      </c>
      <c r="E3583">
        <v>97</v>
      </c>
      <c r="F3583">
        <v>99</v>
      </c>
      <c r="G3583">
        <v>5</v>
      </c>
      <c r="H3583" s="1">
        <v>2.1759259259259258E-3</v>
      </c>
      <c r="I3583" t="s">
        <v>18</v>
      </c>
      <c r="J3583" s="2" t="str">
        <f>HYPERLINK("https://www.nba.com/stats/events?CFID=&amp;CFPARAMS=&amp;GameEventID=535&amp;GameID=0041200406&amp;Season=2012-13&amp;flag=1&amp;title=Leonard%209'%20Jump%20Shot%20(22%20PTS)%20(Diaw%202%20AST)", "Leonard 9' Jump Shot (22 PTS) (Diaw 2 AST)")</f>
        <v>Leonard 9' Jump Shot (22 PTS) (Diaw 2 AST)</v>
      </c>
      <c r="K3583" s="2" t="str">
        <f>HYPERLINK("https://www.nba.com/game/...-vs-...-0041200406/play-by-play?watchFullGame=true", "SAS vs MIA - Q5 03:08.00")</f>
        <v>SAS vs MIA - Q5 03:08.00</v>
      </c>
      <c r="L3583">
        <v>9</v>
      </c>
      <c r="M3583">
        <v>70</v>
      </c>
      <c r="N3583">
        <v>63</v>
      </c>
      <c r="O3583">
        <v>70</v>
      </c>
      <c r="P3583">
        <v>63</v>
      </c>
    </row>
    <row r="3584" spans="1:16" x14ac:dyDescent="0.25">
      <c r="A3584">
        <v>21400102</v>
      </c>
      <c r="B3584">
        <v>2014</v>
      </c>
      <c r="C3584" t="s">
        <v>32</v>
      </c>
      <c r="D3584" t="s">
        <v>19</v>
      </c>
      <c r="E3584">
        <v>4</v>
      </c>
      <c r="F3584">
        <v>2</v>
      </c>
      <c r="G3584">
        <v>1</v>
      </c>
      <c r="H3584" s="1">
        <v>6.898148148148148E-3</v>
      </c>
      <c r="I3584" t="s">
        <v>18</v>
      </c>
      <c r="J3584" s="2" t="str">
        <f>HYPERLINK("https://www.nba.com/stats/events?CFID=&amp;CFPARAMS=&amp;GameEventID=17&amp;GameID=0021400102&amp;Season=2014-15&amp;flag=1&amp;title=Leonard%2011'%20Jump%20Shot%20(2%20PTS)%20(Parker%201%20AST)", "Leonard 11' Jump Shot (2 PTS) (Parker 1 AST)")</f>
        <v>Leonard 11' Jump Shot (2 PTS) (Parker 1 AST)</v>
      </c>
      <c r="K3584" s="2" t="str">
        <f>HYPERLINK("https://www.nba.com/game/...-vs-...-0021400102/play-by-play?watchFullGame=true", "SAS vs LAC - Q1 09:56.00")</f>
        <v>SAS vs LAC - Q1 09:56.00</v>
      </c>
      <c r="L3584">
        <v>11</v>
      </c>
      <c r="M3584">
        <v>70</v>
      </c>
      <c r="N3584">
        <v>80</v>
      </c>
      <c r="O3584">
        <v>70</v>
      </c>
      <c r="P3584">
        <v>80</v>
      </c>
    </row>
    <row r="3585" spans="1:16" x14ac:dyDescent="0.25">
      <c r="A3585">
        <v>22000400</v>
      </c>
      <c r="B3585">
        <v>2020</v>
      </c>
      <c r="C3585" t="s">
        <v>32</v>
      </c>
      <c r="D3585" t="s">
        <v>19</v>
      </c>
      <c r="E3585">
        <v>48</v>
      </c>
      <c r="F3585">
        <v>51</v>
      </c>
      <c r="G3585">
        <v>2</v>
      </c>
      <c r="H3585" s="1">
        <v>1.6203703703703703E-3</v>
      </c>
      <c r="I3585" t="s">
        <v>23</v>
      </c>
      <c r="J3585" s="2" t="str">
        <f>HYPERLINK("https://www.nba.com/stats/events?CFID=&amp;CFPARAMS=&amp;GameEventID=276&amp;GameID=0022000400&amp;Season=2020-21&amp;flag=1&amp;title=Leonard%2010'%20turnaround%20Jump%20Shot%20(12%20PTS)", "10' turnaround Jump Shot (12 PTS)")</f>
        <v>10' turnaround Jump Shot (12 PTS)</v>
      </c>
      <c r="K3585" s="2" t="str">
        <f>HYPERLINK("https://www.nba.com/game/...-vs-...-0022000400/play-by-play?watchFullGame=true", "LAC vs CHI - Q2 02:20.00")</f>
        <v>LAC vs CHI - Q2 02:20.00</v>
      </c>
      <c r="L3585">
        <v>10.75</v>
      </c>
      <c r="M3585">
        <v>85.76</v>
      </c>
      <c r="N3585">
        <v>64.040000000000006</v>
      </c>
      <c r="O3585">
        <v>70</v>
      </c>
      <c r="P3585">
        <v>81</v>
      </c>
    </row>
    <row r="3586" spans="1:16" x14ac:dyDescent="0.25">
      <c r="A3586">
        <v>22300618</v>
      </c>
      <c r="B3586">
        <v>2023</v>
      </c>
      <c r="C3586" t="s">
        <v>32</v>
      </c>
      <c r="D3586" t="s">
        <v>19</v>
      </c>
      <c r="E3586">
        <v>2</v>
      </c>
      <c r="F3586">
        <v>0</v>
      </c>
      <c r="G3586">
        <v>1</v>
      </c>
      <c r="H3586" s="1">
        <v>8.0902777777777778E-3</v>
      </c>
      <c r="I3586" t="s">
        <v>23</v>
      </c>
      <c r="J3586" s="2" t="str">
        <f>HYPERLINK("https://www.nba.com/stats/events?CFID=&amp;CFPARAMS=&amp;GameEventID=7&amp;GameID=0022300618&amp;Season=2023-24&amp;flag=1&amp;title=Leonard%2015'%20pullup%20Jump%20Shot%20(2%20PTS)%20(J.%20Harden%201%20AST)", "15' pullup Jump Shot (2 PTS) (J. Harden 1 AST)")</f>
        <v>15' pullup Jump Shot (2 PTS) (J. Harden 1 AST)</v>
      </c>
      <c r="K3586" s="2" t="str">
        <f>HYPERLINK("https://www.nba.com/game/...-vs-...-0022300618/play-by-play?watchFullGame=true", "LAC vs LAL - Q1 11:39.00")</f>
        <v>LAC vs LAL - Q1 11:39.00</v>
      </c>
      <c r="L3586">
        <v>15.41</v>
      </c>
      <c r="M3586">
        <v>79.81</v>
      </c>
      <c r="N3586">
        <v>63.97</v>
      </c>
      <c r="O3586">
        <v>70</v>
      </c>
      <c r="P3586">
        <v>137</v>
      </c>
    </row>
    <row r="3587" spans="1:16" x14ac:dyDescent="0.25">
      <c r="A3587">
        <v>21600182</v>
      </c>
      <c r="B3587">
        <v>2016</v>
      </c>
      <c r="C3587" t="s">
        <v>16</v>
      </c>
      <c r="D3587" t="s">
        <v>19</v>
      </c>
      <c r="E3587">
        <v>98</v>
      </c>
      <c r="F3587">
        <v>109</v>
      </c>
      <c r="G3587">
        <v>4</v>
      </c>
      <c r="H3587" s="1">
        <v>3.1250000000000002E-3</v>
      </c>
      <c r="I3587" t="s">
        <v>18</v>
      </c>
      <c r="J3587" s="2" t="str">
        <f>HYPERLINK("https://www.nba.com/stats/events?CFID=&amp;CFPARAMS=&amp;GameEventID=462&amp;GameID=0021600182&amp;Season=2016-17&amp;flag=1&amp;title=Leonard%2025'%203PT%20Jump%20Shot%20(20%20PTS)%20(Mills%203%20AST)", "Leonard 25' 3PT Jump Shot (20 PTS) (Mills 3 AST)")</f>
        <v>Leonard 25' 3PT Jump Shot (20 PTS) (Mills 3 AST)</v>
      </c>
      <c r="K3587" s="2" t="str">
        <f>HYPERLINK("https://www.nba.com/game/...-vs-...-0021600182/play-by-play?watchFullGame=true", "SAS vs LAL - Q4 04:30.00")</f>
        <v>SAS vs LAL - Q4 04:30.00</v>
      </c>
      <c r="L3587">
        <v>25</v>
      </c>
      <c r="M3587">
        <v>70</v>
      </c>
      <c r="N3587">
        <v>236</v>
      </c>
      <c r="O3587">
        <v>70</v>
      </c>
      <c r="P3587">
        <v>236</v>
      </c>
    </row>
    <row r="3588" spans="1:16" x14ac:dyDescent="0.25">
      <c r="A3588">
        <v>22301225</v>
      </c>
      <c r="B3588">
        <v>2023</v>
      </c>
      <c r="C3588" t="s">
        <v>16</v>
      </c>
      <c r="D3588" t="s">
        <v>19</v>
      </c>
      <c r="E3588">
        <v>42</v>
      </c>
      <c r="F3588">
        <v>52</v>
      </c>
      <c r="G3588">
        <v>2</v>
      </c>
      <c r="H3588" s="1">
        <v>1.1342592592592593E-3</v>
      </c>
      <c r="I3588" t="s">
        <v>23</v>
      </c>
      <c r="J3588" s="2" t="str">
        <f>HYPERLINK("https://www.nba.com/stats/events?CFID=&amp;CFPARAMS=&amp;GameEventID=303&amp;GameID=0022301225&amp;Season=2023-24&amp;flag=1&amp;title=Leonard%2025'%203PT%20%20(19%20PTS)", "25' 3PT  (19 PTS)")</f>
        <v>25' 3PT  (19 PTS)</v>
      </c>
      <c r="K3588" s="2" t="str">
        <f>HYPERLINK("https://www.nba.com/game/...-vs-...-0022301225/play-by-play?watchFullGame=true", "LAC vs UTA - Q2 01:38.00")</f>
        <v>LAC vs UTA - Q2 01:38.00</v>
      </c>
      <c r="L3588">
        <v>25.18</v>
      </c>
      <c r="M3588">
        <v>68.680000000000007</v>
      </c>
      <c r="N3588">
        <v>63.97</v>
      </c>
      <c r="O3588">
        <v>70</v>
      </c>
      <c r="P3588">
        <v>242</v>
      </c>
    </row>
    <row r="3589" spans="1:16" x14ac:dyDescent="0.25">
      <c r="A3589">
        <v>22200766</v>
      </c>
      <c r="B3589">
        <v>2022</v>
      </c>
      <c r="C3589" t="s">
        <v>16</v>
      </c>
      <c r="D3589" t="s">
        <v>19</v>
      </c>
      <c r="E3589">
        <v>5</v>
      </c>
      <c r="F3589">
        <v>3</v>
      </c>
      <c r="G3589">
        <v>1</v>
      </c>
      <c r="H3589" s="1">
        <v>6.9560185185185185E-3</v>
      </c>
      <c r="I3589" t="s">
        <v>23</v>
      </c>
      <c r="J3589" s="2" t="str">
        <f>HYPERLINK("https://www.nba.com/stats/events?CFID=&amp;CFPARAMS=&amp;GameEventID=22&amp;GameID=0022200766&amp;Season=2022-23&amp;flag=1&amp;title=Leonard%2025'%203PT%20%20(3%20PTS)%20(P.%20George%201%20AST)", "25' 3PT  (3 PTS) (P. George 1 AST)")</f>
        <v>25' 3PT  (3 PTS) (P. George 1 AST)</v>
      </c>
      <c r="K3589" s="2" t="str">
        <f>HYPERLINK("https://www.nba.com/game/...-vs-...-0022200766/play-by-play?watchFullGame=true", "LAC vs CHI - Q1 10:01.00")</f>
        <v>LAC vs CHI - Q1 10:01.00</v>
      </c>
      <c r="L3589">
        <v>25.45</v>
      </c>
      <c r="M3589">
        <v>31.62</v>
      </c>
      <c r="N3589">
        <v>36.03</v>
      </c>
      <c r="O3589">
        <v>70</v>
      </c>
      <c r="P3589">
        <v>245</v>
      </c>
    </row>
    <row r="3590" spans="1:16" x14ac:dyDescent="0.25">
      <c r="A3590">
        <v>21900603</v>
      </c>
      <c r="B3590">
        <v>2019</v>
      </c>
      <c r="C3590" t="s">
        <v>16</v>
      </c>
      <c r="D3590" t="s">
        <v>22</v>
      </c>
      <c r="E3590">
        <v>103</v>
      </c>
      <c r="F3590">
        <v>71</v>
      </c>
      <c r="G3590">
        <v>3</v>
      </c>
      <c r="H3590" s="1">
        <v>3.8425925925925927E-4</v>
      </c>
      <c r="I3590" t="s">
        <v>23</v>
      </c>
      <c r="J3590" s="2" t="str">
        <f>HYPERLINK("https://www.nba.com/stats/events?CFID=&amp;CFPARAMS=&amp;GameEventID=456&amp;GameID=0021900603&amp;Season=2019-20&amp;flag=1&amp;title=Leonard%2027'%203PT%20%20(43%20PTS)", "27' 3PT  (43 PTS)")</f>
        <v>27' 3PT  (43 PTS)</v>
      </c>
      <c r="K3590" s="2" t="str">
        <f>HYPERLINK("https://www.nba.com/game/...-vs-...-0021900603/play-by-play?watchFullGame=true", "LAC vs CLE - Q3 00:33.20")</f>
        <v>LAC vs CLE - Q3 00:33.20</v>
      </c>
      <c r="L3590">
        <v>26.57</v>
      </c>
      <c r="M3590">
        <v>67.72</v>
      </c>
      <c r="N3590">
        <v>63.9</v>
      </c>
      <c r="O3590">
        <v>70</v>
      </c>
      <c r="P3590">
        <v>251</v>
      </c>
    </row>
    <row r="3591" spans="1:16" x14ac:dyDescent="0.25">
      <c r="A3591">
        <v>22300770</v>
      </c>
      <c r="B3591">
        <v>2023</v>
      </c>
      <c r="C3591" t="s">
        <v>16</v>
      </c>
      <c r="D3591" t="s">
        <v>19</v>
      </c>
      <c r="E3591">
        <v>20</v>
      </c>
      <c r="F3591">
        <v>26</v>
      </c>
      <c r="G3591">
        <v>1</v>
      </c>
      <c r="H3591" s="1">
        <v>1.0300925925925926E-3</v>
      </c>
      <c r="I3591" t="s">
        <v>23</v>
      </c>
      <c r="J3591" s="2" t="str">
        <f>HYPERLINK("https://www.nba.com/stats/events?CFID=&amp;CFPARAMS=&amp;GameEventID=141&amp;GameID=0022300770&amp;Season=2023-24&amp;flag=1&amp;title=Leonard%2026'%203PT%20%20(7%20PTS)%20(A.%20Coffey%201%20AST)", "26' 3PT  (7 PTS) (A. Coffey 1 AST)")</f>
        <v>26' 3PT  (7 PTS) (A. Coffey 1 AST)</v>
      </c>
      <c r="K3591" s="2" t="str">
        <f>HYPERLINK("https://www.nba.com/game/...-vs-...-0022300770/play-by-play?watchFullGame=true", "LAC vs MIN - Q1 01:29.00")</f>
        <v>LAC vs MIN - Q1 01:29.00</v>
      </c>
      <c r="L3591">
        <v>26.37</v>
      </c>
      <c r="M3591">
        <v>32.64</v>
      </c>
      <c r="N3591">
        <v>36.03</v>
      </c>
      <c r="O3591">
        <v>70</v>
      </c>
      <c r="P3591">
        <v>254</v>
      </c>
    </row>
    <row r="3592" spans="1:16" x14ac:dyDescent="0.25">
      <c r="A3592">
        <v>22300731</v>
      </c>
      <c r="B3592">
        <v>2023</v>
      </c>
      <c r="C3592" t="s">
        <v>16</v>
      </c>
      <c r="D3592" t="s">
        <v>19</v>
      </c>
      <c r="E3592">
        <v>11</v>
      </c>
      <c r="F3592">
        <v>13</v>
      </c>
      <c r="G3592">
        <v>1</v>
      </c>
      <c r="H3592" s="1">
        <v>4.4907407407407405E-3</v>
      </c>
      <c r="I3592" t="s">
        <v>23</v>
      </c>
      <c r="J3592" s="2" t="str">
        <f>HYPERLINK("https://www.nba.com/stats/events?CFID=&amp;CFPARAMS=&amp;GameEventID=62&amp;GameID=0022300731&amp;Season=2023-24&amp;flag=1&amp;title=Leonard%2027'%203PT%20%20(3%20PTS)%20(P.%20George%201%20AST)", "27' 3PT  (3 PTS) (P. George 1 AST)")</f>
        <v>27' 3PT  (3 PTS) (P. George 1 AST)</v>
      </c>
      <c r="K3592" s="2" t="str">
        <f>HYPERLINK("https://www.nba.com/game/...-vs-...-0022300731/play-by-play?watchFullGame=true", "LAC vs NOP - Q1 06:28.00")</f>
        <v>LAC vs NOP - Q1 06:28.00</v>
      </c>
      <c r="L3592">
        <v>27.56</v>
      </c>
      <c r="M3592">
        <v>33.950000000000003</v>
      </c>
      <c r="N3592">
        <v>36.03</v>
      </c>
      <c r="O3592">
        <v>70</v>
      </c>
      <c r="P3592">
        <v>267</v>
      </c>
    </row>
    <row r="3593" spans="1:16" x14ac:dyDescent="0.25">
      <c r="A3593">
        <v>42000174</v>
      </c>
      <c r="B3593" t="s">
        <v>83</v>
      </c>
      <c r="C3593" t="s">
        <v>16</v>
      </c>
      <c r="D3593" t="s">
        <v>19</v>
      </c>
      <c r="E3593">
        <v>29</v>
      </c>
      <c r="F3593">
        <v>48</v>
      </c>
      <c r="G3593">
        <v>2</v>
      </c>
      <c r="H3593" s="1">
        <v>4.8379629629629632E-3</v>
      </c>
      <c r="I3593" t="s">
        <v>23</v>
      </c>
      <c r="J3593" s="2" t="str">
        <f>HYPERLINK("https://www.nba.com/stats/events?CFID=&amp;CFPARAMS=&amp;GameEventID=254&amp;GameID=0042000174&amp;Season=2020-21&amp;flag=1&amp;title=Leonard%2025'%203PT%20pullup%20(13%20PTS)%20(P.%20George%201%20AST)", "25' 3PT pullup (13 PTS) (P. George 1 AST)")</f>
        <v>25' 3PT pullup (13 PTS) (P. George 1 AST)</v>
      </c>
      <c r="K3593" s="2" t="str">
        <f>HYPERLINK("https://www.nba.com/game/...-vs-...-0042000174/play-by-play?watchFullGame=true", "LAC vs DAL - Q2 06:58.00")</f>
        <v>LAC vs DAL - Q2 06:58.00</v>
      </c>
      <c r="L3593">
        <v>25.56</v>
      </c>
      <c r="M3593">
        <v>71.7</v>
      </c>
      <c r="N3593">
        <v>21.88</v>
      </c>
      <c r="O3593">
        <v>71</v>
      </c>
      <c r="P3593">
        <v>21</v>
      </c>
    </row>
    <row r="3594" spans="1:16" x14ac:dyDescent="0.25">
      <c r="A3594">
        <v>22400927</v>
      </c>
      <c r="B3594">
        <v>2024</v>
      </c>
      <c r="C3594" t="s">
        <v>32</v>
      </c>
      <c r="D3594" t="s">
        <v>19</v>
      </c>
      <c r="E3594">
        <v>92</v>
      </c>
      <c r="F3594">
        <v>97</v>
      </c>
      <c r="G3594">
        <v>4</v>
      </c>
      <c r="H3594" s="1">
        <v>1.1574074074074073E-3</v>
      </c>
      <c r="I3594" t="s">
        <v>23</v>
      </c>
      <c r="J3594" s="2" t="str">
        <f>HYPERLINK("https://www.nba.com/stats/events?CFID=&amp;CFPARAMS=&amp;GameEventID=533&amp;GameID=0022400927&amp;Season=2024-25&amp;flag=1&amp;title=Leonard%209'%20driving%20floating%20Jump%20Shot%20(14%20PTS)", "9' driving floating Jump Shot (14 PTS)")</f>
        <v>9' driving floating Jump Shot (14 PTS)</v>
      </c>
      <c r="K3594" s="2" t="str">
        <f>HYPERLINK("https://www.nba.com/game/...-vs-...-0022400927/play-by-play?watchFullGame=true", "LAC vs SAC - Q4 01:40.00")</f>
        <v>LAC vs SAC - Q4 01:40.00</v>
      </c>
      <c r="L3594">
        <v>9.51</v>
      </c>
      <c r="M3594">
        <v>12.3</v>
      </c>
      <c r="N3594">
        <v>35.78</v>
      </c>
      <c r="O3594">
        <v>71</v>
      </c>
      <c r="P3594">
        <v>63</v>
      </c>
    </row>
    <row r="3595" spans="1:16" x14ac:dyDescent="0.25">
      <c r="A3595">
        <v>42000177</v>
      </c>
      <c r="B3595" t="s">
        <v>83</v>
      </c>
      <c r="C3595" t="s">
        <v>16</v>
      </c>
      <c r="D3595" t="s">
        <v>19</v>
      </c>
      <c r="E3595">
        <v>14</v>
      </c>
      <c r="F3595">
        <v>11</v>
      </c>
      <c r="G3595">
        <v>1</v>
      </c>
      <c r="H3595" s="1">
        <v>5.6249999999999998E-3</v>
      </c>
      <c r="I3595" t="s">
        <v>23</v>
      </c>
      <c r="J3595" s="2" t="str">
        <f>HYPERLINK("https://www.nba.com/stats/events?CFID=&amp;CFPARAMS=&amp;GameEventID=49&amp;GameID=0042000177&amp;Season=2020-21&amp;flag=1&amp;title=Leonard%2025'%203PT%20%20(7%20PTS)%20(P.%20George%202%20AST)", "25' 3PT  (7 PTS) (P. George 2 AST)")</f>
        <v>25' 3PT  (7 PTS) (P. George 2 AST)</v>
      </c>
      <c r="K3595" s="2" t="str">
        <f>HYPERLINK("https://www.nba.com/game/...-vs-...-0042000177/play-by-play?watchFullGame=true", "LAC vs DAL - Q1 08:06.00")</f>
        <v>LAC vs DAL - Q1 08:06.00</v>
      </c>
      <c r="L3595">
        <v>25.4</v>
      </c>
      <c r="M3595">
        <v>71.959999999999994</v>
      </c>
      <c r="N3595">
        <v>78.260000000000005</v>
      </c>
      <c r="O3595">
        <v>71</v>
      </c>
      <c r="P3595">
        <v>78</v>
      </c>
    </row>
    <row r="3596" spans="1:16" x14ac:dyDescent="0.25">
      <c r="A3596">
        <v>22300179</v>
      </c>
      <c r="B3596">
        <v>2023</v>
      </c>
      <c r="C3596" t="s">
        <v>32</v>
      </c>
      <c r="D3596" t="s">
        <v>19</v>
      </c>
      <c r="E3596">
        <v>5</v>
      </c>
      <c r="F3596">
        <v>7</v>
      </c>
      <c r="G3596">
        <v>1</v>
      </c>
      <c r="H3596" s="1">
        <v>6.053240740740741E-3</v>
      </c>
      <c r="I3596" t="s">
        <v>23</v>
      </c>
      <c r="J3596" s="2" t="str">
        <f>HYPERLINK("https://www.nba.com/stats/events?CFID=&amp;CFPARAMS=&amp;GameEventID=36&amp;GameID=0022300179&amp;Season=2023-24&amp;flag=1&amp;title=Leonard%2011'%20pullup%20Jump%20Shot%20(2%20PTS)", "11' pullup Jump Shot (2 PTS)")</f>
        <v>11' pullup Jump Shot (2 PTS)</v>
      </c>
      <c r="K3596" s="2" t="str">
        <f>HYPERLINK("https://www.nba.com/game/...-vs-...-0022300179/play-by-play?watchFullGame=true", "LAC vs MEM - Q1 08:43.00")</f>
        <v>LAC vs MEM - Q1 08:43.00</v>
      </c>
      <c r="L3596">
        <v>11.09</v>
      </c>
      <c r="M3596">
        <v>14.64</v>
      </c>
      <c r="N3596">
        <v>35.78</v>
      </c>
      <c r="O3596">
        <v>71</v>
      </c>
      <c r="P3596">
        <v>85</v>
      </c>
    </row>
    <row r="3597" spans="1:16" x14ac:dyDescent="0.25">
      <c r="A3597">
        <v>22300807</v>
      </c>
      <c r="B3597">
        <v>2023</v>
      </c>
      <c r="C3597" t="s">
        <v>32</v>
      </c>
      <c r="D3597" t="s">
        <v>19</v>
      </c>
      <c r="E3597">
        <v>75</v>
      </c>
      <c r="F3597">
        <v>76</v>
      </c>
      <c r="G3597">
        <v>3</v>
      </c>
      <c r="H3597" s="1">
        <v>2.0254629629629629E-4</v>
      </c>
      <c r="I3597" t="s">
        <v>23</v>
      </c>
      <c r="J3597" s="2" t="str">
        <f>HYPERLINK("https://www.nba.com/stats/events?CFID=&amp;CFPARAMS=&amp;GameEventID=481&amp;GameID=0022300807&amp;Season=2023-24&amp;flag=1&amp;title=Leonard%2011'%20pullup%20Jump%20Shot%20(17%20PTS)", "11' pullup Jump Shot (17 PTS)")</f>
        <v>11' pullup Jump Shot (17 PTS)</v>
      </c>
      <c r="K3597" s="2" t="str">
        <f>HYPERLINK("https://www.nba.com/game/...-vs-...-0022300807/play-by-play?watchFullGame=true", "LAC vs MEM - Q3 00:17.50")</f>
        <v>LAC vs MEM - Q3 00:17.50</v>
      </c>
      <c r="L3597">
        <v>11.27</v>
      </c>
      <c r="M3597">
        <v>85.1</v>
      </c>
      <c r="N3597">
        <v>64.22</v>
      </c>
      <c r="O3597">
        <v>71</v>
      </c>
      <c r="P3597">
        <v>88</v>
      </c>
    </row>
    <row r="3598" spans="1:16" x14ac:dyDescent="0.25">
      <c r="A3598">
        <v>21900090</v>
      </c>
      <c r="B3598">
        <v>2019</v>
      </c>
      <c r="C3598" t="s">
        <v>32</v>
      </c>
      <c r="D3598" t="s">
        <v>22</v>
      </c>
      <c r="E3598">
        <v>70</v>
      </c>
      <c r="F3598">
        <v>72</v>
      </c>
      <c r="G3598">
        <v>4</v>
      </c>
      <c r="H3598" s="1">
        <v>7.3148148148148148E-3</v>
      </c>
      <c r="I3598" t="s">
        <v>23</v>
      </c>
      <c r="J3598" s="2" t="str">
        <f>HYPERLINK("https://www.nba.com/stats/events?CFID=&amp;CFPARAMS=&amp;GameEventID=539&amp;GameID=0021900090&amp;Season=2019-20&amp;flag=1&amp;title=[LAC]%20Leonard%20jumpshot:%20Made%20(14%20PTS)", "[LAC] Leonard jumpshot: Made (14 PTS)")</f>
        <v>[LAC] Leonard jumpshot: Made (14 PTS)</v>
      </c>
      <c r="K3598" s="2" t="str">
        <f>HYPERLINK("https://www.nba.com/game/...-vs-...-0021900090/play-by-play?watchFullGame=true", "LAC vs UTA - Q4 10:32.00")</f>
        <v>LAC vs UTA - Q4 10:32.00</v>
      </c>
      <c r="L3598">
        <v>12.62</v>
      </c>
      <c r="M3598">
        <v>83.89</v>
      </c>
      <c r="N3598">
        <v>64.150000000000006</v>
      </c>
      <c r="O3598">
        <v>71</v>
      </c>
      <c r="P3598">
        <v>99</v>
      </c>
    </row>
    <row r="3599" spans="1:16" x14ac:dyDescent="0.25">
      <c r="A3599">
        <v>21601070</v>
      </c>
      <c r="B3599">
        <v>2016</v>
      </c>
      <c r="C3599" t="s">
        <v>32</v>
      </c>
      <c r="D3599" t="s">
        <v>29</v>
      </c>
      <c r="E3599">
        <v>11</v>
      </c>
      <c r="F3599">
        <v>5</v>
      </c>
      <c r="G3599">
        <v>1</v>
      </c>
      <c r="H3599" s="1">
        <v>5.5208333333333333E-3</v>
      </c>
      <c r="I3599" t="s">
        <v>18</v>
      </c>
      <c r="J3599" s="2" t="str">
        <f>HYPERLINK("https://www.nba.com/stats/events?CFID=&amp;CFPARAMS=&amp;GameEventID=27&amp;GameID=0021601070&amp;Season=2016-17&amp;flag=1&amp;title=Leonard%2019'%20Pullup%20Jump%20Shot%20(2%20PTS)", "Leonard 19' Pullup Jump Shot (2 PTS)")</f>
        <v>Leonard 19' Pullup Jump Shot (2 PTS)</v>
      </c>
      <c r="K3599" s="2" t="str">
        <f>HYPERLINK("https://www.nba.com/game/...-vs-...-0021601070/play-by-play?watchFullGame=true", "SAS vs MEM - Q1 07:57.00")</f>
        <v>SAS vs MEM - Q1 07:57.00</v>
      </c>
      <c r="L3599">
        <v>19</v>
      </c>
      <c r="M3599">
        <v>71</v>
      </c>
      <c r="N3599">
        <v>174</v>
      </c>
      <c r="O3599">
        <v>71</v>
      </c>
      <c r="P3599">
        <v>174</v>
      </c>
    </row>
    <row r="3600" spans="1:16" x14ac:dyDescent="0.25">
      <c r="A3600">
        <v>21600225</v>
      </c>
      <c r="B3600">
        <v>2016</v>
      </c>
      <c r="C3600" t="s">
        <v>16</v>
      </c>
      <c r="D3600" t="s">
        <v>19</v>
      </c>
      <c r="E3600">
        <v>2</v>
      </c>
      <c r="F3600">
        <v>3</v>
      </c>
      <c r="G3600">
        <v>1</v>
      </c>
      <c r="H3600" s="1">
        <v>6.9328703703703705E-3</v>
      </c>
      <c r="I3600" t="s">
        <v>18</v>
      </c>
      <c r="J3600" s="2" t="str">
        <f>HYPERLINK("https://www.nba.com/stats/events?CFID=&amp;CFPARAMS=&amp;GameEventID=13&amp;GameID=0021600225&amp;Season=2016-17&amp;flag=1&amp;title=Leonard%2026'%203PT%20Jump%20Shot%20(3%20PTS)%20(Parker%201%20AST)", "Leonard 26' 3PT Jump Shot (3 PTS) (Parker 1 AST)")</f>
        <v>Leonard 26' 3PT Jump Shot (3 PTS) (Parker 1 AST)</v>
      </c>
      <c r="K3600" s="2" t="str">
        <f>HYPERLINK("https://www.nba.com/game/...-vs-...-0021600225/play-by-play?watchFullGame=true", "SAS vs BOS - Q1 09:59.00")</f>
        <v>SAS vs BOS - Q1 09:59.00</v>
      </c>
      <c r="L3600">
        <v>26</v>
      </c>
      <c r="M3600">
        <v>71</v>
      </c>
      <c r="N3600">
        <v>247</v>
      </c>
      <c r="O3600">
        <v>71</v>
      </c>
      <c r="P3600">
        <v>247</v>
      </c>
    </row>
    <row r="3601" spans="1:16" x14ac:dyDescent="0.25">
      <c r="A3601">
        <v>41300223</v>
      </c>
      <c r="B3601" t="s">
        <v>26</v>
      </c>
      <c r="C3601" t="s">
        <v>32</v>
      </c>
      <c r="D3601" t="s">
        <v>43</v>
      </c>
      <c r="E3601">
        <v>29</v>
      </c>
      <c r="F3601">
        <v>48</v>
      </c>
      <c r="G3601">
        <v>2</v>
      </c>
      <c r="H3601" s="1">
        <v>3.7962962962962963E-3</v>
      </c>
      <c r="I3601" t="s">
        <v>18</v>
      </c>
      <c r="J3601" s="2" t="str">
        <f>HYPERLINK("https://www.nba.com/stats/events?CFID=&amp;CFPARAMS=&amp;GameEventID=164&amp;GameID=0041300223&amp;Season=2013-14&amp;flag=1&amp;title=Leonard%207'%20Turnaround%20Hook%20Shot%20(4%20PTS)", "Leonard 7' Turnaround Hook Shot (4 PTS)")</f>
        <v>Leonard 7' Turnaround Hook Shot (4 PTS)</v>
      </c>
      <c r="K3601" s="2" t="str">
        <f>HYPERLINK("https://www.nba.com/game/...-vs-...-0041300223/play-by-play?watchFullGame=true", "SAS vs POR - Q2 05:28.00")</f>
        <v>SAS vs POR - Q2 05:28.00</v>
      </c>
      <c r="L3601">
        <v>7</v>
      </c>
      <c r="M3601">
        <v>72</v>
      </c>
      <c r="N3601">
        <v>7</v>
      </c>
      <c r="O3601">
        <v>72</v>
      </c>
      <c r="P3601">
        <v>7</v>
      </c>
    </row>
    <row r="3602" spans="1:16" x14ac:dyDescent="0.25">
      <c r="A3602">
        <v>41300225</v>
      </c>
      <c r="B3602" t="s">
        <v>26</v>
      </c>
      <c r="C3602" t="s">
        <v>32</v>
      </c>
      <c r="D3602" t="s">
        <v>19</v>
      </c>
      <c r="E3602">
        <v>90</v>
      </c>
      <c r="F3602">
        <v>67</v>
      </c>
      <c r="G3602">
        <v>4</v>
      </c>
      <c r="H3602" s="1">
        <v>5.9027777777777776E-3</v>
      </c>
      <c r="I3602" t="s">
        <v>18</v>
      </c>
      <c r="J3602" s="2" t="str">
        <f>HYPERLINK("https://www.nba.com/stats/events?CFID=&amp;CFPARAMS=&amp;GameEventID=402&amp;GameID=0041300225&amp;Season=2013-14&amp;flag=1&amp;title=Leonard%207'%20Jump%20Shot%20(21%20PTS)", "Leonard 7' Jump Shot (21 PTS)")</f>
        <v>Leonard 7' Jump Shot (21 PTS)</v>
      </c>
      <c r="K3602" s="2" t="str">
        <f>HYPERLINK("https://www.nba.com/game/...-vs-...-0041300225/play-by-play?watchFullGame=true", "SAS vs POR - Q4 08:30.00")</f>
        <v>SAS vs POR - Q4 08:30.00</v>
      </c>
      <c r="L3602">
        <v>7</v>
      </c>
      <c r="M3602">
        <v>72</v>
      </c>
      <c r="N3602">
        <v>14</v>
      </c>
      <c r="O3602">
        <v>72</v>
      </c>
      <c r="P3602">
        <v>14</v>
      </c>
    </row>
    <row r="3603" spans="1:16" x14ac:dyDescent="0.25">
      <c r="A3603">
        <v>42000176</v>
      </c>
      <c r="B3603" t="s">
        <v>83</v>
      </c>
      <c r="C3603" t="s">
        <v>16</v>
      </c>
      <c r="D3603" t="s">
        <v>19</v>
      </c>
      <c r="E3603">
        <v>41</v>
      </c>
      <c r="F3603">
        <v>37</v>
      </c>
      <c r="G3603">
        <v>2</v>
      </c>
      <c r="H3603" s="1">
        <v>3.9699074074074072E-3</v>
      </c>
      <c r="I3603" t="s">
        <v>23</v>
      </c>
      <c r="J3603" s="2" t="str">
        <f>HYPERLINK("https://www.nba.com/stats/events?CFID=&amp;CFPARAMS=&amp;GameEventID=225&amp;GameID=0042000176&amp;Season=2020-21&amp;flag=1&amp;title=Leonard%2025'%203PT%20%20(10%20PTS)%20(R.%20Jackson%202%20AST)", "25' 3PT  (10 PTS) (R. Jackson 2 AST)")</f>
        <v>25' 3PT  (10 PTS) (R. Jackson 2 AST)</v>
      </c>
      <c r="K3603" s="2" t="str">
        <f>HYPERLINK("https://www.nba.com/game/...-vs-...-0042000176/play-by-play?watchFullGame=true", "LAC vs DAL - Q2 05:43.00")</f>
        <v>LAC vs DAL - Q2 05:43.00</v>
      </c>
      <c r="L3603">
        <v>25.91</v>
      </c>
      <c r="M3603">
        <v>72.75</v>
      </c>
      <c r="N3603">
        <v>17.96</v>
      </c>
      <c r="O3603">
        <v>72</v>
      </c>
      <c r="P3603">
        <v>17</v>
      </c>
    </row>
    <row r="3604" spans="1:16" x14ac:dyDescent="0.25">
      <c r="A3604">
        <v>22200438</v>
      </c>
      <c r="B3604">
        <v>2022</v>
      </c>
      <c r="C3604" t="s">
        <v>32</v>
      </c>
      <c r="D3604" t="s">
        <v>19</v>
      </c>
      <c r="E3604">
        <v>92</v>
      </c>
      <c r="F3604">
        <v>87</v>
      </c>
      <c r="G3604">
        <v>4</v>
      </c>
      <c r="H3604" s="1">
        <v>2.4537037037037036E-3</v>
      </c>
      <c r="I3604" t="s">
        <v>23</v>
      </c>
      <c r="J3604" s="2" t="str">
        <f>HYPERLINK("https://www.nba.com/stats/events?CFID=&amp;CFPARAMS=&amp;GameEventID=581&amp;GameID=0022200438&amp;Season=2022-23&amp;flag=1&amp;title=Leonard%209'%20pullup%20Jump%20Shot%20(25%20PTS)", "9' pullup Jump Shot (25 PTS)")</f>
        <v>9' pullup Jump Shot (25 PTS)</v>
      </c>
      <c r="K3604" s="2" t="str">
        <f>HYPERLINK("https://www.nba.com/game/...-vs-...-0022200438/play-by-play?watchFullGame=true", "LAC vs WAS - Q4 03:32.00")</f>
        <v>LAC vs WAS - Q4 03:32.00</v>
      </c>
      <c r="L3604">
        <v>9.52</v>
      </c>
      <c r="M3604">
        <v>87.83</v>
      </c>
      <c r="N3604">
        <v>64.459999999999994</v>
      </c>
      <c r="O3604">
        <v>72</v>
      </c>
      <c r="P3604">
        <v>62</v>
      </c>
    </row>
    <row r="3605" spans="1:16" x14ac:dyDescent="0.25">
      <c r="A3605">
        <v>21400648</v>
      </c>
      <c r="B3605">
        <v>2014</v>
      </c>
      <c r="C3605" t="s">
        <v>32</v>
      </c>
      <c r="D3605" t="s">
        <v>33</v>
      </c>
      <c r="E3605">
        <v>88</v>
      </c>
      <c r="F3605">
        <v>71</v>
      </c>
      <c r="G3605">
        <v>4</v>
      </c>
      <c r="H3605" s="1">
        <v>4.3981481481481484E-3</v>
      </c>
      <c r="I3605" t="s">
        <v>18</v>
      </c>
      <c r="J3605" s="2" t="str">
        <f>HYPERLINK("https://www.nba.com/stats/events?CFID=&amp;CFPARAMS=&amp;GameEventID=437&amp;GameID=0021400648&amp;Season=2014-15&amp;flag=1&amp;title=Leonard%2010'%20Fadeaway%20Jumper%20(15%20PTS)", "Leonard 10' Fadeaway Jumper (15 PTS)")</f>
        <v>Leonard 10' Fadeaway Jumper (15 PTS)</v>
      </c>
      <c r="K3605" s="2" t="str">
        <f>HYPERLINK("https://www.nba.com/game/...-vs-...-0021400648/play-by-play?watchFullGame=true", "SAS vs LAL - Q4 06:20.00")</f>
        <v>SAS vs LAL - Q4 06:20.00</v>
      </c>
      <c r="L3605">
        <v>10</v>
      </c>
      <c r="M3605">
        <v>72</v>
      </c>
      <c r="N3605">
        <v>66</v>
      </c>
      <c r="O3605">
        <v>72</v>
      </c>
      <c r="P3605">
        <v>66</v>
      </c>
    </row>
    <row r="3606" spans="1:16" x14ac:dyDescent="0.25">
      <c r="A3606">
        <v>22400874</v>
      </c>
      <c r="B3606">
        <v>2024</v>
      </c>
      <c r="C3606" t="s">
        <v>32</v>
      </c>
      <c r="D3606" t="s">
        <v>19</v>
      </c>
      <c r="E3606">
        <v>21</v>
      </c>
      <c r="F3606">
        <v>17</v>
      </c>
      <c r="G3606">
        <v>1</v>
      </c>
      <c r="H3606" s="1">
        <v>2.9629629629629628E-3</v>
      </c>
      <c r="I3606" t="s">
        <v>23</v>
      </c>
      <c r="J3606" s="2" t="str">
        <f>HYPERLINK("https://www.nba.com/stats/events?CFID=&amp;CFPARAMS=&amp;GameEventID=96&amp;GameID=0022400874&amp;Season=2024-25&amp;flag=1&amp;title=Leonard%2011'%20pullup%20Jump%20Shot%20(5%20PTS)%20(J.%20Harden%204%20AST)", "11' pullup Jump Shot (5 PTS) (J. Harden 4 AST)")</f>
        <v>11' pullup Jump Shot (5 PTS) (J. Harden 4 AST)</v>
      </c>
      <c r="K3606" s="2" t="str">
        <f>HYPERLINK("https://www.nba.com/game/...-vs-...-0022400874/play-by-play?watchFullGame=true", "LAC vs LAL - Q1 04:16.00")</f>
        <v>LAC vs LAL - Q1 04:16.00</v>
      </c>
      <c r="L3606">
        <v>11.38</v>
      </c>
      <c r="M3606">
        <v>85.07</v>
      </c>
      <c r="N3606">
        <v>64.459999999999994</v>
      </c>
      <c r="O3606">
        <v>72</v>
      </c>
      <c r="P3606">
        <v>88</v>
      </c>
    </row>
    <row r="3607" spans="1:16" x14ac:dyDescent="0.25">
      <c r="A3607">
        <v>41200401</v>
      </c>
      <c r="B3607" t="s">
        <v>27</v>
      </c>
      <c r="C3607" t="s">
        <v>32</v>
      </c>
      <c r="D3607" t="s">
        <v>24</v>
      </c>
      <c r="E3607">
        <v>28</v>
      </c>
      <c r="F3607">
        <v>25</v>
      </c>
      <c r="G3607">
        <v>2</v>
      </c>
      <c r="H3607" s="1">
        <v>7.743055555555556E-3</v>
      </c>
      <c r="I3607" t="s">
        <v>18</v>
      </c>
      <c r="J3607" s="2" t="str">
        <f>HYPERLINK("https://www.nba.com/stats/events?CFID=&amp;CFPARAMS=&amp;GameEventID=125&amp;GameID=0041200401&amp;Season=2012-13&amp;flag=1&amp;title=Leonard%2013'%20Turnaround%20Jump%20Shot%20(4%20PTS)", "Leonard 13' Turnaround Jump Shot (4 PTS)")</f>
        <v>Leonard 13' Turnaround Jump Shot (4 PTS)</v>
      </c>
      <c r="K3607" s="2" t="str">
        <f>HYPERLINK("https://www.nba.com/game/...-vs-...-0041200401/play-by-play?watchFullGame=true", "SAS vs MIA - Q2 11:09.00")</f>
        <v>SAS vs MIA - Q2 11:09.00</v>
      </c>
      <c r="L3607">
        <v>13</v>
      </c>
      <c r="M3607">
        <v>72</v>
      </c>
      <c r="N3607">
        <v>112</v>
      </c>
      <c r="O3607">
        <v>72</v>
      </c>
      <c r="P3607">
        <v>112</v>
      </c>
    </row>
    <row r="3608" spans="1:16" x14ac:dyDescent="0.25">
      <c r="A3608">
        <v>21301068</v>
      </c>
      <c r="B3608">
        <v>2013</v>
      </c>
      <c r="C3608" t="s">
        <v>32</v>
      </c>
      <c r="D3608" t="s">
        <v>19</v>
      </c>
      <c r="E3608">
        <v>7</v>
      </c>
      <c r="F3608">
        <v>4</v>
      </c>
      <c r="G3608">
        <v>1</v>
      </c>
      <c r="H3608" s="1">
        <v>7.1180555555555554E-3</v>
      </c>
      <c r="I3608" t="s">
        <v>18</v>
      </c>
      <c r="J3608" s="2" t="str">
        <f>HYPERLINK("https://www.nba.com/stats/events?CFID=&amp;CFPARAMS=&amp;GameEventID=12&amp;GameID=0021301068&amp;Season=2013-14&amp;flag=1&amp;title=Leonard%2019'%20Jump%20Shot%20(5%20PTS)", "Leonard 19' Jump Shot (5 PTS)")</f>
        <v>Leonard 19' Jump Shot (5 PTS)</v>
      </c>
      <c r="K3608" s="2" t="str">
        <f>HYPERLINK("https://www.nba.com/game/...-vs-...-0021301068/play-by-play?watchFullGame=true", "SAS vs DEN - Q1 10:15.00")</f>
        <v>SAS vs DEN - Q1 10:15.00</v>
      </c>
      <c r="L3608">
        <v>19</v>
      </c>
      <c r="M3608">
        <v>72</v>
      </c>
      <c r="N3608">
        <v>179</v>
      </c>
      <c r="O3608">
        <v>72</v>
      </c>
      <c r="P3608">
        <v>179</v>
      </c>
    </row>
    <row r="3609" spans="1:16" x14ac:dyDescent="0.25">
      <c r="A3609">
        <v>22300325</v>
      </c>
      <c r="B3609">
        <v>2023</v>
      </c>
      <c r="C3609" t="s">
        <v>16</v>
      </c>
      <c r="D3609" t="s">
        <v>19</v>
      </c>
      <c r="E3609">
        <v>8</v>
      </c>
      <c r="F3609">
        <v>12</v>
      </c>
      <c r="G3609">
        <v>1</v>
      </c>
      <c r="H3609" s="1">
        <v>4.9652777777777777E-3</v>
      </c>
      <c r="I3609" t="s">
        <v>23</v>
      </c>
      <c r="J3609" s="2" t="str">
        <f>HYPERLINK("https://www.nba.com/stats/events?CFID=&amp;CFPARAMS=&amp;GameEventID=67&amp;GameID=0022300325&amp;Season=2023-24&amp;flag=1&amp;title=Leonard%2025'%203PT%20%20(3%20PTS)%20(J.%20Harden%202%20AST)", "25' 3PT  (3 PTS) (J. Harden 2 AST)")</f>
        <v>25' 3PT  (3 PTS) (J. Harden 2 AST)</v>
      </c>
      <c r="K3609" s="2" t="str">
        <f>HYPERLINK("https://www.nba.com/game/...-vs-...-0022300325/play-by-play?watchFullGame=true", "LAC vs GSW - Q1 07:09.00")</f>
        <v>LAC vs GSW - Q1 07:09.00</v>
      </c>
      <c r="L3609">
        <v>25.49</v>
      </c>
      <c r="M3609">
        <v>31.59</v>
      </c>
      <c r="N3609">
        <v>35.54</v>
      </c>
      <c r="O3609">
        <v>72</v>
      </c>
      <c r="P3609">
        <v>244</v>
      </c>
    </row>
    <row r="3610" spans="1:16" x14ac:dyDescent="0.25">
      <c r="A3610">
        <v>22300880</v>
      </c>
      <c r="B3610">
        <v>2023</v>
      </c>
      <c r="C3610" t="s">
        <v>16</v>
      </c>
      <c r="D3610" t="s">
        <v>19</v>
      </c>
      <c r="E3610">
        <v>54</v>
      </c>
      <c r="F3610">
        <v>68</v>
      </c>
      <c r="G3610">
        <v>3</v>
      </c>
      <c r="H3610" s="1">
        <v>5.8217592592592592E-3</v>
      </c>
      <c r="I3610" t="s">
        <v>23</v>
      </c>
      <c r="J3610" s="2" t="str">
        <f>HYPERLINK("https://www.nba.com/stats/events?CFID=&amp;CFPARAMS=&amp;GameEventID=325&amp;GameID=0022300880&amp;Season=2023-24&amp;flag=1&amp;title=Leonard%2027'%203PT%20%20(13%20PTS)%20(I.%20Zubac%203%20AST)", "27' 3PT  (13 PTS) (I. Zubac 3 AST)")</f>
        <v>27' 3PT  (13 PTS) (I. Zubac 3 AST)</v>
      </c>
      <c r="K3610" s="2" t="str">
        <f>HYPERLINK("https://www.nba.com/game/...-vs-...-0022300880/play-by-play?watchFullGame=true", "LAC vs MIL - Q3 08:23.00")</f>
        <v>LAC vs MIL - Q3 08:23.00</v>
      </c>
      <c r="L3610">
        <v>27.03</v>
      </c>
      <c r="M3610">
        <v>66.7</v>
      </c>
      <c r="N3610">
        <v>64.459999999999994</v>
      </c>
      <c r="O3610">
        <v>72</v>
      </c>
      <c r="P3610">
        <v>260</v>
      </c>
    </row>
    <row r="3611" spans="1:16" x14ac:dyDescent="0.25">
      <c r="A3611">
        <v>41800302</v>
      </c>
      <c r="B3611" t="s">
        <v>20</v>
      </c>
      <c r="C3611" t="s">
        <v>32</v>
      </c>
      <c r="D3611" t="s">
        <v>24</v>
      </c>
      <c r="E3611">
        <v>14</v>
      </c>
      <c r="F3611">
        <v>9</v>
      </c>
      <c r="G3611">
        <v>1</v>
      </c>
      <c r="H3611" s="1">
        <v>4.8495370370370368E-3</v>
      </c>
      <c r="I3611" t="s">
        <v>21</v>
      </c>
      <c r="J3611" s="2" t="str">
        <f>HYPERLINK("https://www.nba.com/stats/events?CFID=&amp;CFPARAMS=&amp;GameEventID=62&amp;GameID=0041800302&amp;Season=2018-19&amp;flag=1&amp;title=Leonard%207'%20Turnaround%20Jump%20Shot%20(4%20PTS)", "Leonard 7' Turnaround Jump Shot (4 PTS)")</f>
        <v>Leonard 7' Turnaround Jump Shot (4 PTS)</v>
      </c>
      <c r="K3611" s="2" t="str">
        <f>HYPERLINK("https://www.nba.com/game/...-vs-...-0041800302/play-by-play?watchFullGame=true", "TOR vs MIL - Q1 06:59.00")</f>
        <v>TOR vs MIL - Q1 06:59.00</v>
      </c>
      <c r="L3611">
        <v>7</v>
      </c>
      <c r="M3611">
        <v>73</v>
      </c>
      <c r="N3611">
        <v>-4</v>
      </c>
      <c r="O3611">
        <v>73</v>
      </c>
      <c r="P3611">
        <v>-4</v>
      </c>
    </row>
    <row r="3612" spans="1:16" x14ac:dyDescent="0.25">
      <c r="A3612">
        <v>22000251</v>
      </c>
      <c r="B3612">
        <v>2020</v>
      </c>
      <c r="C3612" t="s">
        <v>32</v>
      </c>
      <c r="D3612" t="s">
        <v>19</v>
      </c>
      <c r="E3612">
        <v>50</v>
      </c>
      <c r="F3612">
        <v>37</v>
      </c>
      <c r="G3612">
        <v>2</v>
      </c>
      <c r="H3612" s="1">
        <v>1.7708333333333332E-3</v>
      </c>
      <c r="I3612" t="s">
        <v>23</v>
      </c>
      <c r="J3612" s="2" t="str">
        <f>HYPERLINK("https://www.nba.com/stats/events?CFID=&amp;CFPARAMS=&amp;GameEventID=279&amp;GameID=0022000251&amp;Season=2020-21&amp;flag=1&amp;title=Leonard%207'%20turnaround%20fadeaway%20Jump%20Shot%20(18%20PTS)", "7' turnaround fadeaway Jump Shot (18 PTS)")</f>
        <v>7' turnaround fadeaway Jump Shot (18 PTS)</v>
      </c>
      <c r="K3612" s="2" t="str">
        <f>HYPERLINK("https://www.nba.com/game/...-vs-...-0022000251/play-by-play?watchFullGame=true", "LAC vs OKC - Q2 02:33.00")</f>
        <v>LAC vs OKC - Q2 02:33.00</v>
      </c>
      <c r="L3612">
        <v>7.38</v>
      </c>
      <c r="M3612">
        <v>92.99</v>
      </c>
      <c r="N3612">
        <v>64.53</v>
      </c>
      <c r="O3612">
        <v>73</v>
      </c>
      <c r="P3612">
        <v>13</v>
      </c>
    </row>
    <row r="3613" spans="1:16" x14ac:dyDescent="0.25">
      <c r="A3613">
        <v>41500235</v>
      </c>
      <c r="B3613" t="s">
        <v>25</v>
      </c>
      <c r="C3613" t="s">
        <v>32</v>
      </c>
      <c r="D3613" t="s">
        <v>38</v>
      </c>
      <c r="E3613">
        <v>65</v>
      </c>
      <c r="F3613">
        <v>53</v>
      </c>
      <c r="G3613">
        <v>3</v>
      </c>
      <c r="H3613" s="1">
        <v>3.9583333333333337E-3</v>
      </c>
      <c r="I3613" t="s">
        <v>18</v>
      </c>
      <c r="J3613" s="2" t="str">
        <f>HYPERLINK("https://www.nba.com/stats/events?CFID=&amp;CFPARAMS=&amp;GameEventID=323&amp;GameID=0041500235&amp;Season=2015-16&amp;flag=1&amp;title=Leonard%208'%20Jump%20Bank%20Shot%20(21%20PTS)", "Leonard 8' Jump Bank Shot (21 PTS)")</f>
        <v>Leonard 8' Jump Bank Shot (21 PTS)</v>
      </c>
      <c r="K3613" s="2" t="str">
        <f>HYPERLINK("https://www.nba.com/game/...-vs-...-0041500235/play-by-play?watchFullGame=true", "SAS vs OKC - Q3 05:42.00")</f>
        <v>SAS vs OKC - Q3 05:42.00</v>
      </c>
      <c r="L3613">
        <v>8</v>
      </c>
      <c r="M3613">
        <v>73</v>
      </c>
      <c r="N3613">
        <v>26</v>
      </c>
      <c r="O3613">
        <v>73</v>
      </c>
      <c r="P3613">
        <v>26</v>
      </c>
    </row>
    <row r="3614" spans="1:16" x14ac:dyDescent="0.25">
      <c r="A3614">
        <v>21601056</v>
      </c>
      <c r="B3614">
        <v>2016</v>
      </c>
      <c r="C3614" t="s">
        <v>32</v>
      </c>
      <c r="D3614" t="s">
        <v>37</v>
      </c>
      <c r="E3614">
        <v>80</v>
      </c>
      <c r="F3614">
        <v>86</v>
      </c>
      <c r="G3614">
        <v>4</v>
      </c>
      <c r="H3614" s="1">
        <v>5.092592592592593E-3</v>
      </c>
      <c r="I3614" t="s">
        <v>18</v>
      </c>
      <c r="J3614" s="2" t="str">
        <f>HYPERLINK("https://www.nba.com/stats/events?CFID=&amp;CFPARAMS=&amp;GameEventID=412&amp;GameID=0021601056&amp;Season=2016-17&amp;flag=1&amp;title=Leonard%208'%20Floating%20Jump%20Shot%20(18%20PTS)", "Leonard 8' Floating Jump Shot (18 PTS)")</f>
        <v>Leonard 8' Floating Jump Shot (18 PTS)</v>
      </c>
      <c r="K3614" s="2" t="str">
        <f>HYPERLINK("https://www.nba.com/game/...-vs-...-0021601056/play-by-play?watchFullGame=true", "SAS vs MIN - Q4 07:20.00")</f>
        <v>SAS vs MIN - Q4 07:20.00</v>
      </c>
      <c r="L3614">
        <v>8</v>
      </c>
      <c r="M3614">
        <v>73</v>
      </c>
      <c r="N3614">
        <v>41</v>
      </c>
      <c r="O3614">
        <v>73</v>
      </c>
      <c r="P3614">
        <v>41</v>
      </c>
    </row>
    <row r="3615" spans="1:16" x14ac:dyDescent="0.25">
      <c r="A3615">
        <v>42200171</v>
      </c>
      <c r="B3615" t="s">
        <v>86</v>
      </c>
      <c r="C3615" t="s">
        <v>32</v>
      </c>
      <c r="D3615" t="s">
        <v>19</v>
      </c>
      <c r="E3615">
        <v>17</v>
      </c>
      <c r="F3615">
        <v>24</v>
      </c>
      <c r="G3615">
        <v>1</v>
      </c>
      <c r="H3615" s="1">
        <v>1.5740740740740741E-3</v>
      </c>
      <c r="I3615" t="s">
        <v>23</v>
      </c>
      <c r="J3615" s="2" t="str">
        <f>HYPERLINK("https://www.nba.com/stats/events?CFID=&amp;CFPARAMS=&amp;GameEventID=111&amp;GameID=0042200171&amp;Season=2022-23&amp;flag=1&amp;title=Leonard%2019'%20Jump%20Shot%20(7%20PTS)%20(T.%20Mann%201%20AST)", "19' Jump Shot (7 PTS) (T. Mann 1 AST)")</f>
        <v>19' Jump Shot (7 PTS) (T. Mann 1 AST)</v>
      </c>
      <c r="K3615" s="2" t="str">
        <f>HYPERLINK("https://www.nba.com/game/...-vs-...-0042200171/play-by-play?watchFullGame=true", "LAC vs PHX - Q1 02:16.00")</f>
        <v>LAC vs PHX - Q1 02:16.00</v>
      </c>
      <c r="L3615">
        <v>19.96</v>
      </c>
      <c r="M3615">
        <v>73.28</v>
      </c>
      <c r="N3615">
        <v>46.32</v>
      </c>
      <c r="O3615">
        <v>73</v>
      </c>
      <c r="P3615">
        <v>46</v>
      </c>
    </row>
    <row r="3616" spans="1:16" x14ac:dyDescent="0.25">
      <c r="A3616">
        <v>42000176</v>
      </c>
      <c r="B3616" t="s">
        <v>83</v>
      </c>
      <c r="C3616" t="s">
        <v>32</v>
      </c>
      <c r="D3616" t="s">
        <v>19</v>
      </c>
      <c r="E3616">
        <v>39</v>
      </c>
      <c r="F3616">
        <v>34</v>
      </c>
      <c r="G3616">
        <v>2</v>
      </c>
      <c r="H3616" s="1">
        <v>4.31712962962963E-3</v>
      </c>
      <c r="I3616" t="s">
        <v>23</v>
      </c>
      <c r="J3616" s="2" t="str">
        <f>HYPERLINK("https://www.nba.com/stats/events?CFID=&amp;CFPARAMS=&amp;GameEventID=218&amp;GameID=0042000176&amp;Season=2020-21&amp;flag=1&amp;title=Leonard%2019'%20pullup%20Jump%20Shot%20(7%20PTS)", "19' pullup Jump Shot (7 PTS)")</f>
        <v>19' pullup Jump Shot (7 PTS)</v>
      </c>
      <c r="K3616" s="2" t="str">
        <f>HYPERLINK("https://www.nba.com/game/...-vs-...-0042000176/play-by-play?watchFullGame=true", "LAC vs DAL - Q2 06:13.00")</f>
        <v>LAC vs DAL - Q2 06:13.00</v>
      </c>
      <c r="L3616">
        <v>19.88</v>
      </c>
      <c r="M3616">
        <v>73.28</v>
      </c>
      <c r="N3616">
        <v>49.09</v>
      </c>
      <c r="O3616">
        <v>73</v>
      </c>
      <c r="P3616">
        <v>49</v>
      </c>
    </row>
    <row r="3617" spans="1:16" x14ac:dyDescent="0.25">
      <c r="A3617">
        <v>42000172</v>
      </c>
      <c r="B3617" t="s">
        <v>83</v>
      </c>
      <c r="C3617" t="s">
        <v>16</v>
      </c>
      <c r="D3617" t="s">
        <v>19</v>
      </c>
      <c r="E3617">
        <v>16</v>
      </c>
      <c r="F3617">
        <v>22</v>
      </c>
      <c r="G3617">
        <v>1</v>
      </c>
      <c r="H3617" s="1">
        <v>3.6226851851851854E-3</v>
      </c>
      <c r="I3617" t="s">
        <v>23</v>
      </c>
      <c r="J3617" s="2" t="str">
        <f>HYPERLINK("https://www.nba.com/stats/events?CFID=&amp;CFPARAMS=&amp;GameEventID=68&amp;GameID=0042000172&amp;Season=2020-21&amp;flag=1&amp;title=Leonard%2027'%203PT%20running%20pullup%20(8%20PTS)%20(R.%20Jackson%201%20AST)", "27' 3PT running pullup (8 PTS) (R. Jackson 1 AST)")</f>
        <v>27' 3PT running pullup (8 PTS) (R. Jackson 1 AST)</v>
      </c>
      <c r="K3617" s="2" t="str">
        <f>HYPERLINK("https://www.nba.com/game/...-vs-...-0042000172/play-by-play?watchFullGame=true", "LAC vs DAL - Q1 05:13.00")</f>
        <v>LAC vs DAL - Q1 05:13.00</v>
      </c>
      <c r="L3617">
        <v>27.85</v>
      </c>
      <c r="M3617">
        <v>73.930000000000007</v>
      </c>
      <c r="N3617">
        <v>90.27</v>
      </c>
      <c r="O3617">
        <v>73</v>
      </c>
      <c r="P3617">
        <v>90</v>
      </c>
    </row>
    <row r="3618" spans="1:16" x14ac:dyDescent="0.25">
      <c r="A3618">
        <v>21600902</v>
      </c>
      <c r="B3618">
        <v>2016</v>
      </c>
      <c r="C3618" t="s">
        <v>32</v>
      </c>
      <c r="D3618" t="s">
        <v>29</v>
      </c>
      <c r="E3618">
        <v>11</v>
      </c>
      <c r="F3618">
        <v>11</v>
      </c>
      <c r="G3618">
        <v>1</v>
      </c>
      <c r="H3618" s="1">
        <v>5.5902777777777773E-3</v>
      </c>
      <c r="I3618" t="s">
        <v>18</v>
      </c>
      <c r="J3618" s="2" t="str">
        <f>HYPERLINK("https://www.nba.com/stats/events?CFID=&amp;CFPARAMS=&amp;GameEventID=31&amp;GameID=0021600902&amp;Season=2016-17&amp;flag=1&amp;title=Leonard%2013'%20Pullup%20Jump%20Shot%20(2%20PTS)", "Leonard 13' Pullup Jump Shot (2 PTS)")</f>
        <v>Leonard 13' Pullup Jump Shot (2 PTS)</v>
      </c>
      <c r="K3618" s="2" t="str">
        <f>HYPERLINK("https://www.nba.com/game/...-vs-...-0021600902/play-by-play?watchFullGame=true", "SAS vs IND - Q1 08:03.00")</f>
        <v>SAS vs IND - Q1 08:03.00</v>
      </c>
      <c r="L3618">
        <v>13</v>
      </c>
      <c r="M3618">
        <v>73</v>
      </c>
      <c r="N3618">
        <v>105</v>
      </c>
      <c r="O3618">
        <v>73</v>
      </c>
      <c r="P3618">
        <v>105</v>
      </c>
    </row>
    <row r="3619" spans="1:16" x14ac:dyDescent="0.25">
      <c r="A3619">
        <v>21401071</v>
      </c>
      <c r="B3619">
        <v>2014</v>
      </c>
      <c r="C3619" t="s">
        <v>32</v>
      </c>
      <c r="D3619" t="s">
        <v>19</v>
      </c>
      <c r="E3619">
        <v>4</v>
      </c>
      <c r="F3619">
        <v>2</v>
      </c>
      <c r="G3619">
        <v>1</v>
      </c>
      <c r="H3619" s="1">
        <v>7.3611111111111108E-3</v>
      </c>
      <c r="I3619" t="s">
        <v>18</v>
      </c>
      <c r="J3619" s="2" t="str">
        <f>HYPERLINK("https://www.nba.com/stats/events?CFID=&amp;CFPARAMS=&amp;GameEventID=7&amp;GameID=0021401071&amp;Season=2014-15&amp;flag=1&amp;title=Leonard%2013'%20Jump%20Shot%20(2%20PTS)", "Leonard 13' Jump Shot (2 PTS)")</f>
        <v>Leonard 13' Jump Shot (2 PTS)</v>
      </c>
      <c r="K3619" s="2" t="str">
        <f>HYPERLINK("https://www.nba.com/game/...-vs-...-0021401071/play-by-play?watchFullGame=true", "SAS vs OKC - Q1 10:36.00")</f>
        <v>SAS vs OKC - Q1 10:36.00</v>
      </c>
      <c r="L3619">
        <v>13</v>
      </c>
      <c r="M3619">
        <v>73</v>
      </c>
      <c r="N3619">
        <v>112</v>
      </c>
      <c r="O3619">
        <v>73</v>
      </c>
      <c r="P3619">
        <v>112</v>
      </c>
    </row>
    <row r="3620" spans="1:16" x14ac:dyDescent="0.25">
      <c r="A3620">
        <v>22000756</v>
      </c>
      <c r="B3620">
        <v>2020</v>
      </c>
      <c r="C3620" t="s">
        <v>32</v>
      </c>
      <c r="D3620" t="s">
        <v>19</v>
      </c>
      <c r="E3620">
        <v>53</v>
      </c>
      <c r="F3620">
        <v>33</v>
      </c>
      <c r="G3620">
        <v>2</v>
      </c>
      <c r="H3620" s="1">
        <v>1.0185185185185184E-3</v>
      </c>
      <c r="I3620" t="s">
        <v>23</v>
      </c>
      <c r="J3620" s="2" t="str">
        <f>HYPERLINK("https://www.nba.com/stats/events?CFID=&amp;CFPARAMS=&amp;GameEventID=306&amp;GameID=0022000756&amp;Season=2020-21&amp;flag=1&amp;title=Leonard%2013'%20turnaround%20fadeaway%20Jump%20Shot%20(8%20PTS)", "13' turnaround fadeaway Jump Shot (8 PTS)")</f>
        <v>13' turnaround fadeaway Jump Shot (8 PTS)</v>
      </c>
      <c r="K3620" s="2" t="str">
        <f>HYPERLINK("https://www.nba.com/game/...-vs-...-0022000756/play-by-play?watchFullGame=true", "LAC vs LAL - Q2 01:28.00")</f>
        <v>LAC vs LAL - Q2 01:28.00</v>
      </c>
      <c r="L3620">
        <v>13.57</v>
      </c>
      <c r="M3620">
        <v>82.21</v>
      </c>
      <c r="N3620">
        <v>64.53</v>
      </c>
      <c r="O3620">
        <v>73</v>
      </c>
      <c r="P3620">
        <v>115</v>
      </c>
    </row>
    <row r="3621" spans="1:16" x14ac:dyDescent="0.25">
      <c r="A3621">
        <v>22000091</v>
      </c>
      <c r="B3621">
        <v>2020</v>
      </c>
      <c r="C3621" t="s">
        <v>32</v>
      </c>
      <c r="D3621" t="s">
        <v>19</v>
      </c>
      <c r="E3621">
        <v>11</v>
      </c>
      <c r="F3621">
        <v>20</v>
      </c>
      <c r="G3621">
        <v>1</v>
      </c>
      <c r="H3621" s="1">
        <v>3.7499999999999999E-3</v>
      </c>
      <c r="I3621" t="s">
        <v>23</v>
      </c>
      <c r="J3621" s="2" t="str">
        <f>HYPERLINK("https://www.nba.com/stats/events?CFID=&amp;CFPARAMS=&amp;GameEventID=65&amp;GameID=0022000091&amp;Season=2020-21&amp;flag=1&amp;title=Leonard%2016'%20Jump%20Shot%20(2%20PTS)", "16' Jump Shot (2 PTS)")</f>
        <v>16' Jump Shot (2 PTS)</v>
      </c>
      <c r="K3621" s="2" t="str">
        <f>HYPERLINK("https://www.nba.com/game/...-vs-...-0022000091/play-by-play?watchFullGame=true", "LAC vs PHX - Q1 05:24.00")</f>
        <v>LAC vs PHX - Q1 05:24.00</v>
      </c>
      <c r="L3621">
        <v>16.989999999999998</v>
      </c>
      <c r="M3621">
        <v>21.9</v>
      </c>
      <c r="N3621">
        <v>35.36</v>
      </c>
      <c r="O3621">
        <v>73</v>
      </c>
      <c r="P3621">
        <v>153</v>
      </c>
    </row>
    <row r="3622" spans="1:16" x14ac:dyDescent="0.25">
      <c r="A3622">
        <v>21500224</v>
      </c>
      <c r="B3622">
        <v>2015</v>
      </c>
      <c r="C3622" t="s">
        <v>16</v>
      </c>
      <c r="D3622" t="s">
        <v>19</v>
      </c>
      <c r="E3622">
        <v>5</v>
      </c>
      <c r="F3622">
        <v>0</v>
      </c>
      <c r="G3622">
        <v>1</v>
      </c>
      <c r="H3622" s="1">
        <v>7.7546296296296295E-3</v>
      </c>
      <c r="I3622" t="s">
        <v>18</v>
      </c>
      <c r="J3622" s="2" t="str">
        <f>HYPERLINK("https://www.nba.com/stats/events?CFID=&amp;CFPARAMS=&amp;GameEventID=5&amp;GameID=0021500224&amp;Season=2015-16&amp;flag=1&amp;title=Leonard%2025'%203PT%20Jump%20Shot%20(3%20PTS)%20(Aldridge%201%20AST)", "Leonard 25' 3PT Jump Shot (3 PTS) (Aldridge 1 AST)")</f>
        <v>Leonard 25' 3PT Jump Shot (3 PTS) (Aldridge 1 AST)</v>
      </c>
      <c r="K3622" s="2" t="str">
        <f>HYPERLINK("https://www.nba.com/game/...-vs-...-0021500224/play-by-play?watchFullGame=true", "SAS vs DAL - Q1 11:10.00")</f>
        <v>SAS vs DAL - Q1 11:10.00</v>
      </c>
      <c r="L3622">
        <v>25</v>
      </c>
      <c r="M3622">
        <v>73</v>
      </c>
      <c r="N3622">
        <v>237</v>
      </c>
      <c r="O3622">
        <v>73</v>
      </c>
      <c r="P3622">
        <v>237</v>
      </c>
    </row>
    <row r="3623" spans="1:16" x14ac:dyDescent="0.25">
      <c r="A3623">
        <v>21900251</v>
      </c>
      <c r="B3623">
        <v>2019</v>
      </c>
      <c r="C3623" t="s">
        <v>32</v>
      </c>
      <c r="D3623" t="s">
        <v>22</v>
      </c>
      <c r="E3623">
        <v>35</v>
      </c>
      <c r="F3623">
        <v>50</v>
      </c>
      <c r="G3623">
        <v>2</v>
      </c>
      <c r="H3623" s="1">
        <v>4.7453703703703703E-3</v>
      </c>
      <c r="I3623" t="s">
        <v>23</v>
      </c>
      <c r="J3623" s="2" t="str">
        <f>HYPERLINK("https://www.nba.com/stats/events?CFID=&amp;CFPARAMS=&amp;GameEventID=249&amp;GameID=0021900251&amp;Season=2019-20&amp;flag=1&amp;title=Leonard%208'%20jumpshot%20(8%20PTS)", "8' jumpshot (8 PTS)")</f>
        <v>8' jumpshot (8 PTS)</v>
      </c>
      <c r="K3623" s="2" t="str">
        <f>HYPERLINK("https://www.nba.com/game/...-vs-...-0021900251/play-by-play?watchFullGame=true", "LAC vs DAL - Q2 06:50.00")</f>
        <v>LAC vs DAL - Q2 06:50.00</v>
      </c>
      <c r="L3623">
        <v>7.86</v>
      </c>
      <c r="M3623">
        <v>7.7</v>
      </c>
      <c r="N3623">
        <v>35.119999999999997</v>
      </c>
      <c r="O3623">
        <v>74</v>
      </c>
      <c r="P3623">
        <v>20</v>
      </c>
    </row>
    <row r="3624" spans="1:16" x14ac:dyDescent="0.25">
      <c r="A3624">
        <v>21600037</v>
      </c>
      <c r="B3624">
        <v>2016</v>
      </c>
      <c r="C3624" t="s">
        <v>32</v>
      </c>
      <c r="D3624" t="s">
        <v>43</v>
      </c>
      <c r="E3624">
        <v>3</v>
      </c>
      <c r="F3624">
        <v>6</v>
      </c>
      <c r="G3624">
        <v>1</v>
      </c>
      <c r="H3624" s="1">
        <v>6.5277777777777782E-3</v>
      </c>
      <c r="I3624" t="s">
        <v>18</v>
      </c>
      <c r="J3624" s="2" t="str">
        <f>HYPERLINK("https://www.nba.com/stats/events?CFID=&amp;CFPARAMS=&amp;GameEventID=17&amp;GameID=0021600037&amp;Season=2016-17&amp;flag=1&amp;title=Leonard%209'%20Turnaround%20Hook%20Shot%20(4%20PTS)", "Leonard 9' Turnaround Hook Shot (4 PTS)")</f>
        <v>Leonard 9' Turnaround Hook Shot (4 PTS)</v>
      </c>
      <c r="K3624" s="2" t="str">
        <f>HYPERLINK("https://www.nba.com/game/...-vs-...-0021600037/play-by-play?watchFullGame=true", "SAS vs MIA - Q1 09:24.00")</f>
        <v>SAS vs MIA - Q1 09:24.00</v>
      </c>
      <c r="L3624">
        <v>9</v>
      </c>
      <c r="M3624">
        <v>74</v>
      </c>
      <c r="N3624">
        <v>46</v>
      </c>
      <c r="O3624">
        <v>74</v>
      </c>
      <c r="P3624">
        <v>46</v>
      </c>
    </row>
    <row r="3625" spans="1:16" x14ac:dyDescent="0.25">
      <c r="A3625">
        <v>22200525</v>
      </c>
      <c r="B3625">
        <v>2022</v>
      </c>
      <c r="C3625" t="s">
        <v>32</v>
      </c>
      <c r="D3625" t="s">
        <v>44</v>
      </c>
      <c r="E3625">
        <v>2</v>
      </c>
      <c r="F3625">
        <v>5</v>
      </c>
      <c r="G3625">
        <v>1</v>
      </c>
      <c r="H3625" s="1">
        <v>6.3194444444444444E-3</v>
      </c>
      <c r="I3625" t="s">
        <v>23</v>
      </c>
      <c r="J3625" s="2" t="str">
        <f>HYPERLINK("https://www.nba.com/stats/events?CFID=&amp;CFPARAMS=&amp;GameEventID=33&amp;GameID=0022200525&amp;Season=2022-23&amp;flag=1&amp;title=Leonard%209'%20driving%20Hook%20(2%20PTS)", "9' driving Hook (2 PTS)")</f>
        <v>9' driving Hook (2 PTS)</v>
      </c>
      <c r="K3625" s="2" t="str">
        <f>HYPERLINK("https://www.nba.com/game/...-vs-...-0022200525/play-by-play?watchFullGame=true", "LAC vs BOS - Q1 09:06.00")</f>
        <v>LAC vs BOS - Q1 09:06.00</v>
      </c>
      <c r="L3625">
        <v>9.36</v>
      </c>
      <c r="M3625">
        <v>88.26</v>
      </c>
      <c r="N3625">
        <v>64.709999999999994</v>
      </c>
      <c r="O3625">
        <v>74</v>
      </c>
      <c r="P3625">
        <v>58</v>
      </c>
    </row>
    <row r="3626" spans="1:16" x14ac:dyDescent="0.25">
      <c r="A3626">
        <v>22200423</v>
      </c>
      <c r="B3626">
        <v>2022</v>
      </c>
      <c r="C3626" t="s">
        <v>32</v>
      </c>
      <c r="D3626" t="s">
        <v>19</v>
      </c>
      <c r="E3626">
        <v>2</v>
      </c>
      <c r="F3626">
        <v>4</v>
      </c>
      <c r="G3626">
        <v>1</v>
      </c>
      <c r="H3626" s="1">
        <v>7.1875000000000003E-3</v>
      </c>
      <c r="I3626" t="s">
        <v>23</v>
      </c>
      <c r="J3626" s="2" t="str">
        <f>HYPERLINK("https://www.nba.com/stats/events?CFID=&amp;CFPARAMS=&amp;GameEventID=18&amp;GameID=0022200423&amp;Season=2022-23&amp;flag=1&amp;title=Leonard%2010'%20pullup%20Jump%20Shot%20(2%20PTS)", "10' pullup Jump Shot (2 PTS)")</f>
        <v>10' pullup Jump Shot (2 PTS)</v>
      </c>
      <c r="K3626" s="2" t="str">
        <f>HYPERLINK("https://www.nba.com/game/...-vs-...-0022200423/play-by-play?watchFullGame=true", "LAC vs MIN - Q1 10:21.00")</f>
        <v>LAC vs MIN - Q1 10:21.00</v>
      </c>
      <c r="L3626">
        <v>10.36</v>
      </c>
      <c r="M3626">
        <v>86.65</v>
      </c>
      <c r="N3626">
        <v>64.709999999999994</v>
      </c>
      <c r="O3626">
        <v>74</v>
      </c>
      <c r="P3626">
        <v>73</v>
      </c>
    </row>
    <row r="3627" spans="1:16" x14ac:dyDescent="0.25">
      <c r="A3627">
        <v>21500048</v>
      </c>
      <c r="B3627">
        <v>2015</v>
      </c>
      <c r="C3627" t="s">
        <v>32</v>
      </c>
      <c r="D3627" t="s">
        <v>19</v>
      </c>
      <c r="E3627">
        <v>2</v>
      </c>
      <c r="F3627">
        <v>4</v>
      </c>
      <c r="G3627">
        <v>1</v>
      </c>
      <c r="H3627" s="1">
        <v>7.6620370370370366E-3</v>
      </c>
      <c r="I3627" t="s">
        <v>18</v>
      </c>
      <c r="J3627" s="2" t="str">
        <f>HYPERLINK("https://www.nba.com/stats/events?CFID=&amp;CFPARAMS=&amp;GameEventID=4&amp;GameID=0021500048&amp;Season=2015-16&amp;flag=1&amp;title=Leonard%2011'%20Jump%20Shot%20(2%20PTS)%20(Duncan%201%20AST)", "Leonard 11' Jump Shot (2 PTS) (Duncan 1 AST)")</f>
        <v>Leonard 11' Jump Shot (2 PTS) (Duncan 1 AST)</v>
      </c>
      <c r="K3627" s="2" t="str">
        <f>HYPERLINK("https://www.nba.com/game/...-vs-...-0021500048/play-by-play?watchFullGame=true", "SAS vs NYK - Q1 11:02.00")</f>
        <v>SAS vs NYK - Q1 11:02.00</v>
      </c>
      <c r="L3627">
        <v>11</v>
      </c>
      <c r="M3627">
        <v>74</v>
      </c>
      <c r="N3627">
        <v>85</v>
      </c>
      <c r="O3627">
        <v>74</v>
      </c>
      <c r="P3627">
        <v>85</v>
      </c>
    </row>
    <row r="3628" spans="1:16" x14ac:dyDescent="0.25">
      <c r="A3628">
        <v>22300458</v>
      </c>
      <c r="B3628">
        <v>2023</v>
      </c>
      <c r="C3628" t="s">
        <v>32</v>
      </c>
      <c r="D3628" t="s">
        <v>19</v>
      </c>
      <c r="E3628">
        <v>35</v>
      </c>
      <c r="F3628">
        <v>42</v>
      </c>
      <c r="G3628">
        <v>2</v>
      </c>
      <c r="H3628" s="1">
        <v>5.5555555555555558E-3</v>
      </c>
      <c r="I3628" t="s">
        <v>23</v>
      </c>
      <c r="J3628" s="2" t="str">
        <f>HYPERLINK("https://www.nba.com/stats/events?CFID=&amp;CFPARAMS=&amp;GameEventID=189&amp;GameID=0022300458&amp;Season=2023-24&amp;flag=1&amp;title=Leonard%2013'%20pullup%20Jump%20Shot%20(2%20PTS)%20(J.%20Harden%203%20AST)", "13' pullup Jump Shot (2 PTS) (J. Harden 3 AST)")</f>
        <v>13' pullup Jump Shot (2 PTS) (J. Harden 3 AST)</v>
      </c>
      <c r="K3628" s="2" t="str">
        <f>HYPERLINK("https://www.nba.com/game/...-vs-...-0022300458/play-by-play?watchFullGame=true", "LAC vs MIA - Q2 08:00.00")</f>
        <v>LAC vs MIA - Q2 08:00.00</v>
      </c>
      <c r="L3628">
        <v>13.85</v>
      </c>
      <c r="M3628">
        <v>82</v>
      </c>
      <c r="N3628">
        <v>64.900000000000006</v>
      </c>
      <c r="O3628">
        <v>74</v>
      </c>
      <c r="P3628">
        <v>117</v>
      </c>
    </row>
    <row r="3629" spans="1:16" x14ac:dyDescent="0.25">
      <c r="A3629">
        <v>22200745</v>
      </c>
      <c r="B3629">
        <v>2022</v>
      </c>
      <c r="C3629" t="s">
        <v>32</v>
      </c>
      <c r="D3629" t="s">
        <v>19</v>
      </c>
      <c r="E3629">
        <v>47</v>
      </c>
      <c r="F3629">
        <v>52</v>
      </c>
      <c r="G3629">
        <v>2</v>
      </c>
      <c r="H3629" s="1">
        <v>2.1412037037037038E-3</v>
      </c>
      <c r="I3629" t="s">
        <v>23</v>
      </c>
      <c r="J3629" s="2" t="str">
        <f>HYPERLINK("https://www.nba.com/stats/events?CFID=&amp;CFPARAMS=&amp;GameEventID=255&amp;GameID=0022200745&amp;Season=2022-23&amp;flag=1&amp;title=Leonard%2013'%20pullup%20Jump%20Shot%20(12%20PTS)", "13' pullup Jump Shot (12 PTS)")</f>
        <v>13' pullup Jump Shot (12 PTS)</v>
      </c>
      <c r="K3629" s="2" t="str">
        <f>HYPERLINK("https://www.nba.com/game/...-vs-...-0022200745/play-by-play?watchFullGame=true", "LAC vs ATL - Q2 03:05.00")</f>
        <v>LAC vs ATL - Q2 03:05.00</v>
      </c>
      <c r="L3629">
        <v>13.83</v>
      </c>
      <c r="M3629">
        <v>81.95</v>
      </c>
      <c r="N3629">
        <v>64.709999999999994</v>
      </c>
      <c r="O3629">
        <v>74</v>
      </c>
      <c r="P3629">
        <v>117</v>
      </c>
    </row>
    <row r="3630" spans="1:16" x14ac:dyDescent="0.25">
      <c r="A3630">
        <v>22300537</v>
      </c>
      <c r="B3630">
        <v>2023</v>
      </c>
      <c r="C3630" t="s">
        <v>32</v>
      </c>
      <c r="D3630" t="s">
        <v>19</v>
      </c>
      <c r="E3630">
        <v>26</v>
      </c>
      <c r="F3630">
        <v>23</v>
      </c>
      <c r="G3630">
        <v>1</v>
      </c>
      <c r="H3630" s="1">
        <v>1.1805555555555555E-4</v>
      </c>
      <c r="I3630" t="s">
        <v>23</v>
      </c>
      <c r="J3630" s="2" t="str">
        <f>HYPERLINK("https://www.nba.com/stats/events?CFID=&amp;CFPARAMS=&amp;GameEventID=155&amp;GameID=0022300537&amp;Season=2023-24&amp;flag=1&amp;title=Leonard%2014'%20pullup%20Jump%20Shot%20(8%20PTS)", "14' pullup Jump Shot (8 PTS)")</f>
        <v>14' pullup Jump Shot (8 PTS)</v>
      </c>
      <c r="K3630" s="2" t="str">
        <f>HYPERLINK("https://www.nba.com/game/...-vs-...-0022300537/play-by-play?watchFullGame=true", "LAC vs MEM - Q1 00:10.20")</f>
        <v>LAC vs MEM - Q1 00:10.20</v>
      </c>
      <c r="L3630">
        <v>14.39</v>
      </c>
      <c r="M3630">
        <v>18.739999999999998</v>
      </c>
      <c r="N3630">
        <v>35.29</v>
      </c>
      <c r="O3630">
        <v>74</v>
      </c>
      <c r="P3630">
        <v>124</v>
      </c>
    </row>
    <row r="3631" spans="1:16" x14ac:dyDescent="0.25">
      <c r="A3631">
        <v>21600240</v>
      </c>
      <c r="B3631">
        <v>2016</v>
      </c>
      <c r="C3631" t="s">
        <v>32</v>
      </c>
      <c r="D3631" t="s">
        <v>29</v>
      </c>
      <c r="E3631">
        <v>73</v>
      </c>
      <c r="F3631">
        <v>87</v>
      </c>
      <c r="G3631">
        <v>3</v>
      </c>
      <c r="H3631" s="1">
        <v>8.564814814814815E-4</v>
      </c>
      <c r="I3631" t="s">
        <v>18</v>
      </c>
      <c r="J3631" s="2" t="str">
        <f>HYPERLINK("https://www.nba.com/stats/events?CFID=&amp;CFPARAMS=&amp;GameEventID=411&amp;GameID=0021600240&amp;Season=2016-17&amp;flag=1&amp;title=Leonard%2017'%20Pullup%20Jump%20Shot%20(16%20PTS)", "Leonard 17' Pullup Jump Shot (16 PTS)")</f>
        <v>Leonard 17' Pullup Jump Shot (16 PTS)</v>
      </c>
      <c r="K3631" s="2" t="str">
        <f>HYPERLINK("https://www.nba.com/game/...-vs-...-0021600240/play-by-play?watchFullGame=true", "SAS vs WAS - Q3 01:14.00")</f>
        <v>SAS vs WAS - Q3 01:14.00</v>
      </c>
      <c r="L3631">
        <v>17</v>
      </c>
      <c r="M3631">
        <v>74</v>
      </c>
      <c r="N3631">
        <v>149</v>
      </c>
      <c r="O3631">
        <v>74</v>
      </c>
      <c r="P3631">
        <v>149</v>
      </c>
    </row>
    <row r="3632" spans="1:16" x14ac:dyDescent="0.25">
      <c r="A3632">
        <v>21900419</v>
      </c>
      <c r="B3632">
        <v>2019</v>
      </c>
      <c r="C3632" t="s">
        <v>32</v>
      </c>
      <c r="D3632" t="s">
        <v>22</v>
      </c>
      <c r="E3632">
        <v>111</v>
      </c>
      <c r="F3632">
        <v>105</v>
      </c>
      <c r="G3632">
        <v>4</v>
      </c>
      <c r="H3632" s="1">
        <v>3.5069444444444445E-3</v>
      </c>
      <c r="I3632" t="s">
        <v>23</v>
      </c>
      <c r="J3632" s="2" t="str">
        <f>HYPERLINK("https://www.nba.com/stats/events?CFID=&amp;CFPARAMS=&amp;GameEventID=604&amp;GameID=0021900419&amp;Season=2019-20&amp;flag=1&amp;title=Leonard%2018'%20jumpshot%20(23%20PTS)", "18' jumpshot (23 PTS)")</f>
        <v>18' jumpshot (23 PTS)</v>
      </c>
      <c r="K3632" s="2" t="str">
        <f>HYPERLINK("https://www.nba.com/game/...-vs-...-0021900419/play-by-play?watchFullGame=true", "LAC vs HOU - Q4 05:03.00")</f>
        <v>LAC vs HOU - Q4 05:03.00</v>
      </c>
      <c r="L3632">
        <v>17.600000000000001</v>
      </c>
      <c r="M3632">
        <v>21.99</v>
      </c>
      <c r="N3632">
        <v>35.229999999999997</v>
      </c>
      <c r="O3632">
        <v>74</v>
      </c>
      <c r="P3632">
        <v>154</v>
      </c>
    </row>
    <row r="3633" spans="1:16" x14ac:dyDescent="0.25">
      <c r="A3633">
        <v>22200687</v>
      </c>
      <c r="B3633">
        <v>2022</v>
      </c>
      <c r="C3633" t="s">
        <v>32</v>
      </c>
      <c r="D3633" t="s">
        <v>19</v>
      </c>
      <c r="E3633">
        <v>67</v>
      </c>
      <c r="F3633">
        <v>63</v>
      </c>
      <c r="G3633">
        <v>2</v>
      </c>
      <c r="H3633" s="1">
        <v>7.5231481481481482E-4</v>
      </c>
      <c r="I3633" t="s">
        <v>23</v>
      </c>
      <c r="J3633" s="2" t="str">
        <f>HYPERLINK("https://www.nba.com/stats/events?CFID=&amp;CFPARAMS=&amp;GameEventID=263&amp;GameID=0022200687&amp;Season=2022-23&amp;flag=1&amp;title=Leonard%2017'%20pullup%20Jump%20Shot%20(13%20PTS)", "17' pullup Jump Shot (13 PTS)")</f>
        <v>17' pullup Jump Shot (13 PTS)</v>
      </c>
      <c r="K3633" s="2" t="str">
        <f>HYPERLINK("https://www.nba.com/game/...-vs-...-0022200687/play-by-play?watchFullGame=true", "LAC vs SAS - Q2 01:05.00")</f>
        <v>LAC vs SAS - Q2 01:05.00</v>
      </c>
      <c r="L3633">
        <v>17.43</v>
      </c>
      <c r="M3633">
        <v>77.61</v>
      </c>
      <c r="N3633">
        <v>64.709999999999994</v>
      </c>
      <c r="O3633">
        <v>74</v>
      </c>
      <c r="P3633">
        <v>158</v>
      </c>
    </row>
    <row r="3634" spans="1:16" x14ac:dyDescent="0.25">
      <c r="A3634">
        <v>21600525</v>
      </c>
      <c r="B3634">
        <v>2016</v>
      </c>
      <c r="C3634" t="s">
        <v>32</v>
      </c>
      <c r="D3634" t="s">
        <v>29</v>
      </c>
      <c r="E3634">
        <v>4</v>
      </c>
      <c r="F3634">
        <v>2</v>
      </c>
      <c r="G3634">
        <v>1</v>
      </c>
      <c r="H3634" s="1">
        <v>7.2453703703703708E-3</v>
      </c>
      <c r="I3634" t="s">
        <v>18</v>
      </c>
      <c r="J3634" s="2" t="str">
        <f>HYPERLINK("https://www.nba.com/stats/events?CFID=&amp;CFPARAMS=&amp;GameEventID=13&amp;GameID=0021600525&amp;Season=2016-17&amp;flag=1&amp;title=Leonard%2019'%20Pullup%20Jump%20Shot%20(2%20PTS)", "Leonard 19' Pullup Jump Shot (2 PTS)")</f>
        <v>Leonard 19' Pullup Jump Shot (2 PTS)</v>
      </c>
      <c r="K3634" s="2" t="str">
        <f>HYPERLINK("https://www.nba.com/game/...-vs-...-0021600525/play-by-play?watchFullGame=true", "SAS vs TOR - Q1 10:26.00")</f>
        <v>SAS vs TOR - Q1 10:26.00</v>
      </c>
      <c r="L3634">
        <v>19</v>
      </c>
      <c r="M3634">
        <v>74</v>
      </c>
      <c r="N3634">
        <v>178</v>
      </c>
      <c r="O3634">
        <v>74</v>
      </c>
      <c r="P3634">
        <v>178</v>
      </c>
    </row>
    <row r="3635" spans="1:16" x14ac:dyDescent="0.25">
      <c r="A3635">
        <v>21600053</v>
      </c>
      <c r="B3635">
        <v>2016</v>
      </c>
      <c r="C3635" t="s">
        <v>32</v>
      </c>
      <c r="D3635" t="s">
        <v>19</v>
      </c>
      <c r="E3635">
        <v>39</v>
      </c>
      <c r="F3635">
        <v>47</v>
      </c>
      <c r="G3635">
        <v>2</v>
      </c>
      <c r="H3635" s="1">
        <v>3.7731481481481483E-3</v>
      </c>
      <c r="I3635" t="s">
        <v>18</v>
      </c>
      <c r="J3635" s="2" t="str">
        <f>HYPERLINK("https://www.nba.com/stats/events?CFID=&amp;CFPARAMS=&amp;GameEventID=177&amp;GameID=0021600053&amp;Season=2016-17&amp;flag=1&amp;title=Leonard%2019'%20Jump%20Shot%20(13%20PTS)%20(Parker%205%20AST)", "Leonard 19' Jump Shot (13 PTS) (Parker 5 AST)")</f>
        <v>Leonard 19' Jump Shot (13 PTS) (Parker 5 AST)</v>
      </c>
      <c r="K3635" s="2" t="str">
        <f>HYPERLINK("https://www.nba.com/game/...-vs-...-0021600053/play-by-play?watchFullGame=true", "SAS vs UTA - Q2 05:26.00")</f>
        <v>SAS vs UTA - Q2 05:26.00</v>
      </c>
      <c r="L3635">
        <v>19</v>
      </c>
      <c r="M3635">
        <v>74</v>
      </c>
      <c r="N3635">
        <v>178</v>
      </c>
      <c r="O3635">
        <v>74</v>
      </c>
      <c r="P3635">
        <v>178</v>
      </c>
    </row>
    <row r="3636" spans="1:16" x14ac:dyDescent="0.25">
      <c r="A3636">
        <v>22300897</v>
      </c>
      <c r="B3636">
        <v>2023</v>
      </c>
      <c r="C3636" t="s">
        <v>32</v>
      </c>
      <c r="D3636" t="s">
        <v>19</v>
      </c>
      <c r="E3636">
        <v>108</v>
      </c>
      <c r="F3636">
        <v>108</v>
      </c>
      <c r="G3636">
        <v>4</v>
      </c>
      <c r="H3636" s="1">
        <v>2.5925925925925925E-3</v>
      </c>
      <c r="I3636" t="s">
        <v>23</v>
      </c>
      <c r="J3636" s="2" t="str">
        <f>HYPERLINK("https://www.nba.com/stats/events?CFID=&amp;CFPARAMS=&amp;GameEventID=545&amp;GameID=0022300897&amp;Season=2023-24&amp;flag=1&amp;title=Leonard%2019'%20pullup%20Jump%20Shot%20(25%20PTS)", "19' pullup Jump Shot (25 PTS)")</f>
        <v>19' pullup Jump Shot (25 PTS)</v>
      </c>
      <c r="K3636" s="2" t="str">
        <f>HYPERLINK("https://www.nba.com/game/...-vs-...-0022300897/play-by-play?watchFullGame=true", "LAC vs HOU - Q4 03:44.00")</f>
        <v>LAC vs HOU - Q4 03:44.00</v>
      </c>
      <c r="L3636">
        <v>19.829999999999998</v>
      </c>
      <c r="M3636">
        <v>25.18</v>
      </c>
      <c r="N3636">
        <v>35.29</v>
      </c>
      <c r="O3636">
        <v>74</v>
      </c>
      <c r="P3636">
        <v>184</v>
      </c>
    </row>
    <row r="3637" spans="1:16" x14ac:dyDescent="0.25">
      <c r="A3637">
        <v>22000130</v>
      </c>
      <c r="B3637">
        <v>2020</v>
      </c>
      <c r="C3637" t="s">
        <v>16</v>
      </c>
      <c r="D3637" t="s">
        <v>19</v>
      </c>
      <c r="E3637">
        <v>48</v>
      </c>
      <c r="F3637">
        <v>59</v>
      </c>
      <c r="G3637">
        <v>2</v>
      </c>
      <c r="H3637" s="1">
        <v>8.564814814814815E-4</v>
      </c>
      <c r="I3637" t="s">
        <v>23</v>
      </c>
      <c r="J3637" s="2" t="str">
        <f>HYPERLINK("https://www.nba.com/stats/events?CFID=&amp;CFPARAMS=&amp;GameEventID=297&amp;GameID=0022000130&amp;Season=2020-21&amp;flag=1&amp;title=Leonard%2028'%203PT%20step%20back%20(11%20PTS)", "28' 3PT step back (11 PTS)")</f>
        <v>28' 3PT step back (11 PTS)</v>
      </c>
      <c r="K3637" s="2" t="str">
        <f>HYPERLINK("https://www.nba.com/game/...-vs-...-0022000130/play-by-play?watchFullGame=true", "LAC vs GSW - Q2 01:14.00")</f>
        <v>LAC vs GSW - Q2 01:14.00</v>
      </c>
      <c r="L3637">
        <v>28.19</v>
      </c>
      <c r="M3637">
        <v>34.51</v>
      </c>
      <c r="N3637">
        <v>35.119999999999997</v>
      </c>
      <c r="O3637">
        <v>74</v>
      </c>
      <c r="P3637">
        <v>272</v>
      </c>
    </row>
    <row r="3638" spans="1:16" x14ac:dyDescent="0.25">
      <c r="A3638">
        <v>21300094</v>
      </c>
      <c r="B3638">
        <v>2013</v>
      </c>
      <c r="C3638" t="s">
        <v>32</v>
      </c>
      <c r="D3638" t="s">
        <v>33</v>
      </c>
      <c r="E3638">
        <v>62</v>
      </c>
      <c r="F3638">
        <v>94</v>
      </c>
      <c r="G3638">
        <v>4</v>
      </c>
      <c r="H3638" s="1">
        <v>7.6967592592592591E-3</v>
      </c>
      <c r="I3638" t="s">
        <v>18</v>
      </c>
      <c r="J3638" s="2" t="str">
        <f>HYPERLINK("https://www.nba.com/stats/events?CFID=&amp;CFPARAMS=&amp;GameEventID=401&amp;GameID=0021300094&amp;Season=2013-14&amp;flag=1&amp;title=Leonard%208'%20Fadeaway%20Jumper%20(18%20PTS)%20(Ginobili%205%20AST)", "Leonard 8' Fadeaway Jumper (18 PTS) (Ginobili 5 AST)")</f>
        <v>Leonard 8' Fadeaway Jumper (18 PTS) (Ginobili 5 AST)</v>
      </c>
      <c r="K3638" s="2" t="str">
        <f>HYPERLINK("https://www.nba.com/game/...-vs-...-0021300094/play-by-play?watchFullGame=true", "SAS vs NYK - Q4 11:05.00")</f>
        <v>SAS vs NYK - Q4 11:05.00</v>
      </c>
      <c r="L3638">
        <v>8</v>
      </c>
      <c r="M3638">
        <v>75</v>
      </c>
      <c r="N3638">
        <v>22</v>
      </c>
      <c r="O3638">
        <v>75</v>
      </c>
      <c r="P3638">
        <v>22</v>
      </c>
    </row>
    <row r="3639" spans="1:16" x14ac:dyDescent="0.25">
      <c r="A3639">
        <v>21400648</v>
      </c>
      <c r="B3639">
        <v>2014</v>
      </c>
      <c r="C3639" t="s">
        <v>32</v>
      </c>
      <c r="D3639" t="s">
        <v>29</v>
      </c>
      <c r="E3639">
        <v>15</v>
      </c>
      <c r="F3639">
        <v>6</v>
      </c>
      <c r="G3639">
        <v>1</v>
      </c>
      <c r="H3639" s="1">
        <v>4.0509259259259257E-3</v>
      </c>
      <c r="I3639" t="s">
        <v>18</v>
      </c>
      <c r="J3639" s="2" t="str">
        <f>HYPERLINK("https://www.nba.com/stats/events?CFID=&amp;CFPARAMS=&amp;GameEventID=42&amp;GameID=0021400648&amp;Season=2014-15&amp;flag=1&amp;title=Leonard%2010'%20Pullup%20Jump%20Shot%20(2%20PTS)", "Leonard 10' Pullup Jump Shot (2 PTS)")</f>
        <v>Leonard 10' Pullup Jump Shot (2 PTS)</v>
      </c>
      <c r="K3639" s="2" t="str">
        <f>HYPERLINK("https://www.nba.com/game/...-vs-...-0021400648/play-by-play?watchFullGame=true", "SAS vs LAL - Q1 05:50.00")</f>
        <v>SAS vs LAL - Q1 05:50.00</v>
      </c>
      <c r="L3639">
        <v>10</v>
      </c>
      <c r="M3639">
        <v>75</v>
      </c>
      <c r="N3639">
        <v>72</v>
      </c>
      <c r="O3639">
        <v>75</v>
      </c>
      <c r="P3639">
        <v>72</v>
      </c>
    </row>
    <row r="3640" spans="1:16" x14ac:dyDescent="0.25">
      <c r="A3640">
        <v>41200407</v>
      </c>
      <c r="B3640" t="s">
        <v>27</v>
      </c>
      <c r="C3640" t="s">
        <v>32</v>
      </c>
      <c r="D3640" t="s">
        <v>19</v>
      </c>
      <c r="E3640">
        <v>48</v>
      </c>
      <c r="F3640">
        <v>48</v>
      </c>
      <c r="G3640">
        <v>3</v>
      </c>
      <c r="H3640" s="1">
        <v>7.4421296296296293E-3</v>
      </c>
      <c r="I3640" t="s">
        <v>18</v>
      </c>
      <c r="J3640" s="2" t="str">
        <f>HYPERLINK("https://www.nba.com/stats/events?CFID=&amp;CFPARAMS=&amp;GameEventID=281&amp;GameID=0041200407&amp;Season=2012-13&amp;flag=1&amp;title=Leonard%2011'%20Jump%20Shot%20(9%20PTS)", "Leonard 11' Jump Shot (9 PTS)")</f>
        <v>Leonard 11' Jump Shot (9 PTS)</v>
      </c>
      <c r="K3640" s="2" t="str">
        <f>HYPERLINK("https://www.nba.com/game/...-vs-...-0041200407/play-by-play?watchFullGame=true", "SAS vs MIA - Q3 10:43.00")</f>
        <v>SAS vs MIA - Q3 10:43.00</v>
      </c>
      <c r="L3640">
        <v>11</v>
      </c>
      <c r="M3640">
        <v>75</v>
      </c>
      <c r="N3640">
        <v>80</v>
      </c>
      <c r="O3640">
        <v>75</v>
      </c>
      <c r="P3640">
        <v>80</v>
      </c>
    </row>
    <row r="3641" spans="1:16" x14ac:dyDescent="0.25">
      <c r="A3641">
        <v>41800214</v>
      </c>
      <c r="B3641" t="s">
        <v>20</v>
      </c>
      <c r="C3641" t="s">
        <v>16</v>
      </c>
      <c r="D3641" t="s">
        <v>31</v>
      </c>
      <c r="E3641">
        <v>90</v>
      </c>
      <c r="F3641">
        <v>94</v>
      </c>
      <c r="G3641">
        <v>4</v>
      </c>
      <c r="H3641" s="1">
        <v>7.0601851851851847E-4</v>
      </c>
      <c r="I3641" t="s">
        <v>21</v>
      </c>
      <c r="J3641" s="2" t="str">
        <f>HYPERLINK("https://www.nba.com/stats/events?CFID=&amp;CFPARAMS=&amp;GameEventID=611&amp;GameID=0041800214&amp;Season=2018-19&amp;flag=1&amp;title=Leonard%2026'%203PT%20Step%20Back%20Jump%20Shot%20(39%20PTS)", "Leonard 26' 3PT Step Back Jump Shot (39 PTS)")</f>
        <v>Leonard 26' 3PT Step Back Jump Shot (39 PTS)</v>
      </c>
      <c r="K3641" s="2" t="str">
        <f>HYPERLINK("https://www.nba.com/game/...-vs-...-0041800214/play-by-play?watchFullGame=true", "TOR vs PHI - Q4 01:01.00")</f>
        <v>TOR vs PHI - Q4 01:01.00</v>
      </c>
      <c r="L3641">
        <v>26</v>
      </c>
      <c r="M3641">
        <v>75</v>
      </c>
      <c r="N3641">
        <v>244</v>
      </c>
      <c r="O3641">
        <v>75</v>
      </c>
      <c r="P3641">
        <v>244</v>
      </c>
    </row>
    <row r="3642" spans="1:16" x14ac:dyDescent="0.25">
      <c r="A3642">
        <v>22200810</v>
      </c>
      <c r="B3642">
        <v>2022</v>
      </c>
      <c r="C3642" t="s">
        <v>32</v>
      </c>
      <c r="D3642" t="s">
        <v>19</v>
      </c>
      <c r="E3642">
        <v>79</v>
      </c>
      <c r="F3642">
        <v>79</v>
      </c>
      <c r="G3642">
        <v>3</v>
      </c>
      <c r="H3642" s="1">
        <v>3.0671296296296297E-3</v>
      </c>
      <c r="I3642" t="s">
        <v>23</v>
      </c>
      <c r="J3642" s="2" t="str">
        <f>HYPERLINK("https://www.nba.com/stats/events?CFID=&amp;CFPARAMS=&amp;GameEventID=407&amp;GameID=0022200810&amp;Season=2022-23&amp;flag=1&amp;title=Leonard%207'%20pullup%20bank%20Jump%20Shot%20(15%20PTS)", "7' pullup bank Jump Shot (15 PTS)")</f>
        <v>7' pullup bank Jump Shot (15 PTS)</v>
      </c>
      <c r="K3642" s="2" t="str">
        <f>HYPERLINK("https://www.nba.com/game/...-vs-...-0022200810/play-by-play?watchFullGame=true", "LAC vs BKN - Q3 04:25.00")</f>
        <v>LAC vs BKN - Q3 04:25.00</v>
      </c>
      <c r="L3642">
        <v>7.8</v>
      </c>
      <c r="M3642">
        <v>7.44</v>
      </c>
      <c r="N3642">
        <v>34.799999999999997</v>
      </c>
      <c r="O3642">
        <v>76</v>
      </c>
      <c r="P3642">
        <v>17</v>
      </c>
    </row>
    <row r="3643" spans="1:16" x14ac:dyDescent="0.25">
      <c r="A3643">
        <v>42000172</v>
      </c>
      <c r="B3643" t="s">
        <v>83</v>
      </c>
      <c r="C3643" t="s">
        <v>32</v>
      </c>
      <c r="D3643" t="s">
        <v>19</v>
      </c>
      <c r="E3643">
        <v>47</v>
      </c>
      <c r="F3643">
        <v>47</v>
      </c>
      <c r="G3643">
        <v>2</v>
      </c>
      <c r="H3643" s="1">
        <v>5.4861111111111109E-3</v>
      </c>
      <c r="I3643" t="s">
        <v>23</v>
      </c>
      <c r="J3643" s="2" t="str">
        <f>HYPERLINK("https://www.nba.com/stats/events?CFID=&amp;CFPARAMS=&amp;GameEventID=200&amp;GameID=0042000172&amp;Season=2020-21&amp;flag=1&amp;title=Leonard%2017'%20pullup%20Jump%20Shot%20(20%20PTS)", "17' pullup Jump Shot (20 PTS)")</f>
        <v>17' pullup Jump Shot (20 PTS)</v>
      </c>
      <c r="K3643" s="2" t="str">
        <f>HYPERLINK("https://www.nba.com/game/...-vs-...-0042000172/play-by-play?watchFullGame=true", "LAC vs DAL - Q2 07:54.00")</f>
        <v>LAC vs DAL - Q2 07:54.00</v>
      </c>
      <c r="L3643">
        <v>17.12</v>
      </c>
      <c r="M3643">
        <v>76.430000000000007</v>
      </c>
      <c r="N3643">
        <v>44.68</v>
      </c>
      <c r="O3643">
        <v>76</v>
      </c>
      <c r="P3643">
        <v>44</v>
      </c>
    </row>
    <row r="3644" spans="1:16" x14ac:dyDescent="0.25">
      <c r="A3644">
        <v>42000223</v>
      </c>
      <c r="B3644" t="s">
        <v>85</v>
      </c>
      <c r="C3644" t="s">
        <v>32</v>
      </c>
      <c r="D3644" t="s">
        <v>19</v>
      </c>
      <c r="E3644">
        <v>120</v>
      </c>
      <c r="F3644">
        <v>98</v>
      </c>
      <c r="G3644">
        <v>4</v>
      </c>
      <c r="H3644" s="1">
        <v>2.5000000000000001E-3</v>
      </c>
      <c r="I3644" t="s">
        <v>23</v>
      </c>
      <c r="J3644" s="2" t="str">
        <f>HYPERLINK("https://www.nba.com/stats/events?CFID=&amp;CFPARAMS=&amp;GameEventID=553&amp;GameID=0042000223&amp;Season=2020-21&amp;flag=1&amp;title=Leonard%2017'%20pullup%20Jump%20Shot%20(34%20PTS)", "17' pullup Jump Shot (34 PTS)")</f>
        <v>17' pullup Jump Shot (34 PTS)</v>
      </c>
      <c r="K3644" s="2" t="str">
        <f>HYPERLINK("https://www.nba.com/game/...-vs-...-0042000223/play-by-play?watchFullGame=true", "LAC vs UTA - Q4 03:36.00")</f>
        <v>LAC vs UTA - Q4 03:36.00</v>
      </c>
      <c r="L3644">
        <v>17.22</v>
      </c>
      <c r="M3644">
        <v>76.14</v>
      </c>
      <c r="N3644">
        <v>47.66</v>
      </c>
      <c r="O3644">
        <v>76</v>
      </c>
      <c r="P3644">
        <v>47</v>
      </c>
    </row>
    <row r="3645" spans="1:16" x14ac:dyDescent="0.25">
      <c r="A3645">
        <v>42200171</v>
      </c>
      <c r="B3645" t="s">
        <v>86</v>
      </c>
      <c r="C3645" t="s">
        <v>32</v>
      </c>
      <c r="D3645" t="s">
        <v>19</v>
      </c>
      <c r="E3645">
        <v>37</v>
      </c>
      <c r="F3645">
        <v>48</v>
      </c>
      <c r="G3645">
        <v>2</v>
      </c>
      <c r="H3645" s="1">
        <v>2.4537037037037036E-3</v>
      </c>
      <c r="I3645" t="s">
        <v>23</v>
      </c>
      <c r="J3645" s="2" t="str">
        <f>HYPERLINK("https://www.nba.com/stats/events?CFID=&amp;CFPARAMS=&amp;GameEventID=270&amp;GameID=0042200171&amp;Season=2022-23&amp;flag=1&amp;title=Leonard%2019'%20Jump%20Shot%20(11%20PTS)%20(R.%20Westbrook%204%20AST)", "19' Jump Shot (11 PTS) (R. Westbrook 4 AST)")</f>
        <v>19' Jump Shot (11 PTS) (R. Westbrook 4 AST)</v>
      </c>
      <c r="K3645" s="2" t="str">
        <f>HYPERLINK("https://www.nba.com/game/...-vs-...-0042200171/play-by-play?watchFullGame=true", "LAC vs PHX - Q2 03:32.00")</f>
        <v>LAC vs PHX - Q2 03:32.00</v>
      </c>
      <c r="L3645">
        <v>19.010000000000002</v>
      </c>
      <c r="M3645">
        <v>76.17</v>
      </c>
      <c r="N3645">
        <v>66.42</v>
      </c>
      <c r="O3645">
        <v>76</v>
      </c>
      <c r="P3645">
        <v>66</v>
      </c>
    </row>
    <row r="3646" spans="1:16" x14ac:dyDescent="0.25">
      <c r="A3646">
        <v>42000223</v>
      </c>
      <c r="B3646" t="s">
        <v>85</v>
      </c>
      <c r="C3646" t="s">
        <v>32</v>
      </c>
      <c r="D3646" t="s">
        <v>19</v>
      </c>
      <c r="E3646">
        <v>71</v>
      </c>
      <c r="F3646">
        <v>56</v>
      </c>
      <c r="G3646">
        <v>3</v>
      </c>
      <c r="H3646" s="1">
        <v>5.9375000000000001E-3</v>
      </c>
      <c r="I3646" t="s">
        <v>23</v>
      </c>
      <c r="J3646" s="2" t="str">
        <f>HYPERLINK("https://www.nba.com/stats/events?CFID=&amp;CFPARAMS=&amp;GameEventID=330&amp;GameID=0042000223&amp;Season=2020-21&amp;flag=1&amp;title=Leonard%2019'%20pullup%20Jump%20Shot%20(14%20PTS)", "19' pullup Jump Shot (14 PTS)")</f>
        <v>19' pullup Jump Shot (14 PTS)</v>
      </c>
      <c r="K3646" s="2" t="str">
        <f>HYPERLINK("https://www.nba.com/game/...-vs-...-0042000223/play-by-play?watchFullGame=true", "LAC vs UTA - Q3 08:33.00")</f>
        <v>LAC vs UTA - Q3 08:33.00</v>
      </c>
      <c r="L3646">
        <v>19.48</v>
      </c>
      <c r="M3646">
        <v>76.260000000000005</v>
      </c>
      <c r="N3646">
        <v>68.8</v>
      </c>
      <c r="O3646">
        <v>76</v>
      </c>
      <c r="P3646">
        <v>68</v>
      </c>
    </row>
    <row r="3647" spans="1:16" x14ac:dyDescent="0.25">
      <c r="A3647">
        <v>21601193</v>
      </c>
      <c r="B3647">
        <v>2016</v>
      </c>
      <c r="C3647" t="s">
        <v>32</v>
      </c>
      <c r="D3647" t="s">
        <v>29</v>
      </c>
      <c r="E3647">
        <v>50</v>
      </c>
      <c r="F3647">
        <v>59</v>
      </c>
      <c r="G3647">
        <v>3</v>
      </c>
      <c r="H3647" s="1">
        <v>6.8634259259259256E-3</v>
      </c>
      <c r="I3647" t="s">
        <v>18</v>
      </c>
      <c r="J3647" s="2" t="str">
        <f>HYPERLINK("https://www.nba.com/stats/events?CFID=&amp;CFPARAMS=&amp;GameEventID=248&amp;GameID=0021601193&amp;Season=2016-17&amp;flag=1&amp;title=Leonard%2015'%20Pullup%20Jump%20Shot%20(15%20PTS)", "Leonard 15' Pullup Jump Shot (15 PTS)")</f>
        <v>Leonard 15' Pullup Jump Shot (15 PTS)</v>
      </c>
      <c r="K3647" s="2" t="str">
        <f>HYPERLINK("https://www.nba.com/game/...-vs-...-0021601193/play-by-play?watchFullGame=true", "SAS vs LAC - Q3 09:53.00")</f>
        <v>SAS vs LAC - Q3 09:53.00</v>
      </c>
      <c r="L3647">
        <v>15</v>
      </c>
      <c r="M3647">
        <v>76</v>
      </c>
      <c r="N3647">
        <v>134</v>
      </c>
      <c r="O3647">
        <v>76</v>
      </c>
      <c r="P3647">
        <v>134</v>
      </c>
    </row>
    <row r="3648" spans="1:16" x14ac:dyDescent="0.25">
      <c r="A3648">
        <v>22200668</v>
      </c>
      <c r="B3648">
        <v>2022</v>
      </c>
      <c r="C3648" t="s">
        <v>32</v>
      </c>
      <c r="D3648" t="s">
        <v>19</v>
      </c>
      <c r="E3648">
        <v>19</v>
      </c>
      <c r="F3648">
        <v>21</v>
      </c>
      <c r="G3648">
        <v>1</v>
      </c>
      <c r="H3648" s="1">
        <v>3.2291666666666666E-3</v>
      </c>
      <c r="I3648" t="s">
        <v>23</v>
      </c>
      <c r="J3648" s="2" t="str">
        <f>HYPERLINK("https://www.nba.com/stats/events?CFID=&amp;CFPARAMS=&amp;GameEventID=82&amp;GameID=0022200668&amp;Season=2022-23&amp;flag=1&amp;title=Leonard%2020'%20pullup%20Jump%20Shot%20(4%20PTS)", "20' pullup Jump Shot (4 PTS)")</f>
        <v>20' pullup Jump Shot (4 PTS)</v>
      </c>
      <c r="K3648" s="2" t="str">
        <f>HYPERLINK("https://www.nba.com/game/...-vs-...-0022200668/play-by-play?watchFullGame=true", "LAC vs PHI - Q1 04:39.00")</f>
        <v>LAC vs PHI - Q1 04:39.00</v>
      </c>
      <c r="L3648">
        <v>20.61</v>
      </c>
      <c r="M3648">
        <v>74.03</v>
      </c>
      <c r="N3648">
        <v>65.2</v>
      </c>
      <c r="O3648">
        <v>76</v>
      </c>
      <c r="P3648">
        <v>192</v>
      </c>
    </row>
    <row r="3649" spans="1:16" x14ac:dyDescent="0.25">
      <c r="A3649">
        <v>21600717</v>
      </c>
      <c r="B3649">
        <v>2016</v>
      </c>
      <c r="C3649" t="s">
        <v>16</v>
      </c>
      <c r="D3649" t="s">
        <v>19</v>
      </c>
      <c r="E3649">
        <v>44</v>
      </c>
      <c r="F3649">
        <v>35</v>
      </c>
      <c r="G3649">
        <v>2</v>
      </c>
      <c r="H3649" s="1">
        <v>4.7106481481481478E-3</v>
      </c>
      <c r="I3649" t="s">
        <v>18</v>
      </c>
      <c r="J3649" s="2" t="str">
        <f>HYPERLINK("https://www.nba.com/stats/events?CFID=&amp;CFPARAMS=&amp;GameEventID=186&amp;GameID=0021600717&amp;Season=2016-17&amp;flag=1&amp;title=Leonard%2024'%203PT%20Jump%20Shot%20(8%20PTS)%20(Aldridge%202%20AST)", "Leonard 24' 3PT Jump Shot (8 PTS) (Aldridge 2 AST)")</f>
        <v>Leonard 24' 3PT Jump Shot (8 PTS) (Aldridge 2 AST)</v>
      </c>
      <c r="K3649" s="2" t="str">
        <f>HYPERLINK("https://www.nba.com/game/...-vs-...-0021600717/play-by-play?watchFullGame=true", "SAS vs DAL - Q2 06:47.00")</f>
        <v>SAS vs DAL - Q2 06:47.00</v>
      </c>
      <c r="L3649">
        <v>24</v>
      </c>
      <c r="M3649">
        <v>76</v>
      </c>
      <c r="N3649">
        <v>228</v>
      </c>
      <c r="O3649">
        <v>76</v>
      </c>
      <c r="P3649">
        <v>228</v>
      </c>
    </row>
    <row r="3650" spans="1:16" x14ac:dyDescent="0.25">
      <c r="A3650">
        <v>21900035</v>
      </c>
      <c r="B3650">
        <v>2019</v>
      </c>
      <c r="C3650" t="s">
        <v>16</v>
      </c>
      <c r="D3650" t="s">
        <v>22</v>
      </c>
      <c r="E3650">
        <v>121</v>
      </c>
      <c r="F3650">
        <v>115</v>
      </c>
      <c r="G3650">
        <v>4</v>
      </c>
      <c r="H3650" s="1">
        <v>1.0879629629629629E-3</v>
      </c>
      <c r="I3650" t="s">
        <v>23</v>
      </c>
      <c r="J3650" s="2" t="str">
        <f>HYPERLINK("https://www.nba.com/stats/events?CFID=&amp;CFPARAMS=&amp;GameEventID=737&amp;GameID=0021900035&amp;Season=2019-20&amp;flag=1&amp;title=[LAC]%20Leonard%203pt%20shot:%20Made%20(24%20PTS)", "[LAC] Leonard 3pt shot: Made (24 PTS)")</f>
        <v>[LAC] Leonard 3pt shot: Made (24 PTS)</v>
      </c>
      <c r="K3650" s="2" t="str">
        <f>HYPERLINK("https://www.nba.com/game/...-vs-...-0021900035/play-by-play?watchFullGame=true", "LAC vs PHX - Q4 01:34.00")</f>
        <v>LAC vs PHX - Q4 01:34.00</v>
      </c>
      <c r="L3650">
        <v>25.78</v>
      </c>
      <c r="M3650">
        <v>68.81</v>
      </c>
      <c r="N3650">
        <v>65.27</v>
      </c>
      <c r="O3650">
        <v>76</v>
      </c>
      <c r="P3650">
        <v>241</v>
      </c>
    </row>
    <row r="3651" spans="1:16" x14ac:dyDescent="0.25">
      <c r="A3651">
        <v>22300052</v>
      </c>
      <c r="B3651">
        <v>2023</v>
      </c>
      <c r="C3651" t="s">
        <v>16</v>
      </c>
      <c r="D3651" t="s">
        <v>19</v>
      </c>
      <c r="E3651">
        <v>50</v>
      </c>
      <c r="F3651">
        <v>54</v>
      </c>
      <c r="G3651">
        <v>2</v>
      </c>
      <c r="H3651" s="1">
        <v>1.8171296296296297E-3</v>
      </c>
      <c r="I3651" t="s">
        <v>23</v>
      </c>
      <c r="J3651" s="2" t="str">
        <f>HYPERLINK("https://www.nba.com/stats/events?CFID=&amp;CFPARAMS=&amp;GameEventID=288&amp;GameID=0022300052&amp;Season=2023-24&amp;flag=1&amp;title=Leonard%2025'%203PT%20pullup%20(10%20PTS)", "25' 3PT pullup (10 PTS)")</f>
        <v>25' 3PT pullup (10 PTS)</v>
      </c>
      <c r="K3651" s="2" t="str">
        <f>HYPERLINK("https://www.nba.com/game/...-vs-...-0022300052/play-by-play?watchFullGame=true", "LAC vs NOP - Q2 02:37.00")</f>
        <v>LAC vs NOP - Q2 02:37.00</v>
      </c>
      <c r="L3651">
        <v>25.59</v>
      </c>
      <c r="M3651">
        <v>31.59</v>
      </c>
      <c r="N3651">
        <v>34.799999999999997</v>
      </c>
      <c r="O3651">
        <v>76</v>
      </c>
      <c r="P3651">
        <v>244</v>
      </c>
    </row>
    <row r="3652" spans="1:16" x14ac:dyDescent="0.25">
      <c r="A3652">
        <v>42000177</v>
      </c>
      <c r="B3652" t="s">
        <v>83</v>
      </c>
      <c r="C3652" t="s">
        <v>32</v>
      </c>
      <c r="D3652" t="s">
        <v>19</v>
      </c>
      <c r="E3652">
        <v>2</v>
      </c>
      <c r="F3652">
        <v>2</v>
      </c>
      <c r="G3652">
        <v>1</v>
      </c>
      <c r="H3652" s="1">
        <v>7.6273148148148151E-3</v>
      </c>
      <c r="I3652" t="s">
        <v>23</v>
      </c>
      <c r="J3652" s="2" t="str">
        <f>HYPERLINK("https://www.nba.com/stats/events?CFID=&amp;CFPARAMS=&amp;GameEventID=14&amp;GameID=0042000177&amp;Season=2020-21&amp;flag=1&amp;title=Leonard%2017'%20turnaround%20Jump%20Shot%20(2%20PTS)%20(M.%20Morris%20Sr.%201%20AST)", "17' turnaround Jump Shot (2 PTS) (M. Morris Sr. 1 AST)")</f>
        <v>17' turnaround Jump Shot (2 PTS) (M. Morris Sr. 1 AST)</v>
      </c>
      <c r="K3652" s="2" t="str">
        <f>HYPERLINK("https://www.nba.com/game/...-vs-...-0042000177/play-by-play?watchFullGame=true", "LAC vs DAL - Q1 10:59.00")</f>
        <v>LAC vs DAL - Q1 10:59.00</v>
      </c>
      <c r="L3652">
        <v>17.66</v>
      </c>
      <c r="M3652">
        <v>77.09</v>
      </c>
      <c r="N3652">
        <v>36.340000000000003</v>
      </c>
      <c r="O3652">
        <v>77</v>
      </c>
      <c r="P3652">
        <v>36</v>
      </c>
    </row>
    <row r="3653" spans="1:16" x14ac:dyDescent="0.25">
      <c r="A3653">
        <v>42000171</v>
      </c>
      <c r="B3653" t="s">
        <v>83</v>
      </c>
      <c r="C3653" t="s">
        <v>32</v>
      </c>
      <c r="D3653" t="s">
        <v>19</v>
      </c>
      <c r="E3653">
        <v>24</v>
      </c>
      <c r="F3653">
        <v>29</v>
      </c>
      <c r="G3653">
        <v>1</v>
      </c>
      <c r="H3653" s="1">
        <v>1.4814814814814814E-3</v>
      </c>
      <c r="I3653" t="s">
        <v>23</v>
      </c>
      <c r="J3653" s="2" t="str">
        <f>HYPERLINK("https://www.nba.com/stats/events?CFID=&amp;CFPARAMS=&amp;GameEventID=124&amp;GameID=0042000171&amp;Season=2020-21&amp;flag=1&amp;title=Leonard%2016'%20Jump%20Shot%20(11%20PTS)%20(R.%20Jackson%202%20AST)", "16' Jump Shot (11 PTS) (R. Jackson 2 AST)")</f>
        <v>16' Jump Shot (11 PTS) (R. Jackson 2 AST)</v>
      </c>
      <c r="K3653" s="2" t="str">
        <f>HYPERLINK("https://www.nba.com/game/...-vs-...-0042000171/play-by-play?watchFullGame=true", "LAC vs DAL - Q1 02:08.00")</f>
        <v>LAC vs DAL - Q1 02:08.00</v>
      </c>
      <c r="L3653">
        <v>16.079999999999998</v>
      </c>
      <c r="M3653">
        <v>77.349999999999994</v>
      </c>
      <c r="N3653">
        <v>47.62</v>
      </c>
      <c r="O3653">
        <v>77</v>
      </c>
      <c r="P3653">
        <v>47</v>
      </c>
    </row>
    <row r="3654" spans="1:16" x14ac:dyDescent="0.25">
      <c r="A3654">
        <v>21300859</v>
      </c>
      <c r="B3654">
        <v>2013</v>
      </c>
      <c r="C3654" t="s">
        <v>32</v>
      </c>
      <c r="D3654" t="s">
        <v>24</v>
      </c>
      <c r="E3654">
        <v>49</v>
      </c>
      <c r="F3654">
        <v>53</v>
      </c>
      <c r="G3654">
        <v>2</v>
      </c>
      <c r="H3654" s="1">
        <v>2.0601851851851853E-3</v>
      </c>
      <c r="I3654" t="s">
        <v>18</v>
      </c>
      <c r="J3654" s="2" t="str">
        <f>HYPERLINK("https://www.nba.com/stats/events?CFID=&amp;CFPARAMS=&amp;GameEventID=218&amp;GameID=0021300859&amp;Season=2013-14&amp;flag=1&amp;title=Leonard%2010'%20Turnaround%20Jump%20Shot%20(9%20PTS)", "Leonard 10' Turnaround Jump Shot (9 PTS)")</f>
        <v>Leonard 10' Turnaround Jump Shot (9 PTS)</v>
      </c>
      <c r="K3654" s="2" t="str">
        <f>HYPERLINK("https://www.nba.com/game/...-vs-...-0021300859/play-by-play?watchFullGame=true", "SAS vs DET - Q2 02:58.00")</f>
        <v>SAS vs DET - Q2 02:58.00</v>
      </c>
      <c r="L3654">
        <v>10</v>
      </c>
      <c r="M3654">
        <v>77</v>
      </c>
      <c r="N3654">
        <v>56</v>
      </c>
      <c r="O3654">
        <v>77</v>
      </c>
      <c r="P3654">
        <v>56</v>
      </c>
    </row>
    <row r="3655" spans="1:16" x14ac:dyDescent="0.25">
      <c r="A3655">
        <v>42000173</v>
      </c>
      <c r="B3655" t="s">
        <v>83</v>
      </c>
      <c r="C3655" t="s">
        <v>32</v>
      </c>
      <c r="D3655" t="s">
        <v>19</v>
      </c>
      <c r="E3655">
        <v>32</v>
      </c>
      <c r="F3655">
        <v>27</v>
      </c>
      <c r="G3655">
        <v>1</v>
      </c>
      <c r="H3655" s="1">
        <v>9.7222222222222219E-4</v>
      </c>
      <c r="I3655" t="s">
        <v>23</v>
      </c>
      <c r="J3655" s="2" t="str">
        <f>HYPERLINK("https://www.nba.com/stats/events?CFID=&amp;CFPARAMS=&amp;GameEventID=119&amp;GameID=0042000173&amp;Season=2020-21&amp;flag=1&amp;title=Leonard%2016'%20pullup%20Jump%20Shot%20(9%20PTS)", "16' pullup Jump Shot (9 PTS)")</f>
        <v>16' pullup Jump Shot (9 PTS)</v>
      </c>
      <c r="K3655" s="2" t="str">
        <f>HYPERLINK("https://www.nba.com/game/...-vs-...-0042000173/play-by-play?watchFullGame=true", "LAC vs DAL - Q1 01:24.00")</f>
        <v>LAC vs DAL - Q1 01:24.00</v>
      </c>
      <c r="L3655">
        <v>16.21</v>
      </c>
      <c r="M3655">
        <v>77.87</v>
      </c>
      <c r="N3655">
        <v>59.14</v>
      </c>
      <c r="O3655">
        <v>77</v>
      </c>
      <c r="P3655">
        <v>59</v>
      </c>
    </row>
    <row r="3656" spans="1:16" x14ac:dyDescent="0.25">
      <c r="A3656">
        <v>42000171</v>
      </c>
      <c r="B3656" t="s">
        <v>83</v>
      </c>
      <c r="C3656" t="s">
        <v>32</v>
      </c>
      <c r="D3656" t="s">
        <v>19</v>
      </c>
      <c r="E3656">
        <v>45</v>
      </c>
      <c r="F3656">
        <v>43</v>
      </c>
      <c r="G3656">
        <v>2</v>
      </c>
      <c r="H3656" s="1">
        <v>4.0162037037037041E-3</v>
      </c>
      <c r="I3656" t="s">
        <v>23</v>
      </c>
      <c r="J3656" s="2" t="str">
        <f>HYPERLINK("https://www.nba.com/stats/events?CFID=&amp;CFPARAMS=&amp;GameEventID=237&amp;GameID=0042000171&amp;Season=2020-21&amp;flag=1&amp;title=Leonard%2020'%20Jump%20Shot%20(15%20PTS)%20(R.%20Rondo%201%20AST)", "20' Jump Shot (15 PTS) (R. Rondo 1 AST)")</f>
        <v>20' Jump Shot (15 PTS) (R. Rondo 1 AST)</v>
      </c>
      <c r="K3656" s="2" t="str">
        <f>HYPERLINK("https://www.nba.com/game/...-vs-...-0042000171/play-by-play?watchFullGame=true", "LAC vs DAL - Q2 05:47.00")</f>
        <v>LAC vs DAL - Q2 05:47.00</v>
      </c>
      <c r="L3656">
        <v>20.190000000000001</v>
      </c>
      <c r="M3656">
        <v>77.09</v>
      </c>
      <c r="N3656">
        <v>73.84</v>
      </c>
      <c r="O3656">
        <v>77</v>
      </c>
      <c r="P3656">
        <v>73</v>
      </c>
    </row>
    <row r="3657" spans="1:16" x14ac:dyDescent="0.25">
      <c r="A3657">
        <v>21401057</v>
      </c>
      <c r="B3657">
        <v>2014</v>
      </c>
      <c r="C3657" t="s">
        <v>32</v>
      </c>
      <c r="D3657" t="s">
        <v>33</v>
      </c>
      <c r="E3657">
        <v>59</v>
      </c>
      <c r="F3657">
        <v>58</v>
      </c>
      <c r="G3657">
        <v>3</v>
      </c>
      <c r="H3657" s="1">
        <v>3.5069444444444445E-3</v>
      </c>
      <c r="I3657" t="s">
        <v>18</v>
      </c>
      <c r="J3657" s="2" t="str">
        <f>HYPERLINK("https://www.nba.com/stats/events?CFID=&amp;CFPARAMS=&amp;GameEventID=318&amp;GameID=0021401057&amp;Season=2014-15&amp;flag=1&amp;title=Leonard%2011'%20Fadeaway%20Jumper%20(15%20PTS)", "Leonard 11' Fadeaway Jumper (15 PTS)")</f>
        <v>Leonard 11' Fadeaway Jumper (15 PTS)</v>
      </c>
      <c r="K3657" s="2" t="str">
        <f>HYPERLINK("https://www.nba.com/game/...-vs-...-0021401057/play-by-play?watchFullGame=true", "SAS vs DAL - Q3 05:03.00")</f>
        <v>SAS vs DAL - Q3 05:03.00</v>
      </c>
      <c r="L3657">
        <v>11</v>
      </c>
      <c r="M3657">
        <v>77</v>
      </c>
      <c r="N3657">
        <v>77</v>
      </c>
      <c r="O3657">
        <v>77</v>
      </c>
      <c r="P3657">
        <v>77</v>
      </c>
    </row>
    <row r="3658" spans="1:16" x14ac:dyDescent="0.25">
      <c r="A3658">
        <v>22000328</v>
      </c>
      <c r="B3658">
        <v>2020</v>
      </c>
      <c r="C3658" t="s">
        <v>32</v>
      </c>
      <c r="D3658" t="s">
        <v>19</v>
      </c>
      <c r="E3658">
        <v>43</v>
      </c>
      <c r="F3658">
        <v>41</v>
      </c>
      <c r="G3658">
        <v>2</v>
      </c>
      <c r="H3658" s="1">
        <v>2.1759259259259258E-3</v>
      </c>
      <c r="I3658" t="s">
        <v>23</v>
      </c>
      <c r="J3658" s="2" t="str">
        <f>HYPERLINK("https://www.nba.com/stats/events?CFID=&amp;CFPARAMS=&amp;GameEventID=249&amp;GameID=0022000328&amp;Season=2020-21&amp;flag=1&amp;title=Leonard%2011'%20turnaround%20Jump%20Shot%20(12%20PTS)%20(P.%20George%204%20AST)", "11' turnaround Jump Shot (12 PTS) (P. George 4 AST)")</f>
        <v>11' turnaround Jump Shot (12 PTS) (P. George 4 AST)</v>
      </c>
      <c r="K3658" s="2" t="str">
        <f>HYPERLINK("https://www.nba.com/game/...-vs-...-0022000328/play-by-play?watchFullGame=true", "LAC vs CLE - Q2 03:08.00")</f>
        <v>LAC vs CLE - Q2 03:08.00</v>
      </c>
      <c r="L3658">
        <v>11.04</v>
      </c>
      <c r="M3658">
        <v>14.01</v>
      </c>
      <c r="N3658">
        <v>34.630000000000003</v>
      </c>
      <c r="O3658">
        <v>77</v>
      </c>
      <c r="P3658">
        <v>79</v>
      </c>
    </row>
    <row r="3659" spans="1:16" x14ac:dyDescent="0.25">
      <c r="A3659">
        <v>22300618</v>
      </c>
      <c r="B3659">
        <v>2023</v>
      </c>
      <c r="C3659" t="s">
        <v>32</v>
      </c>
      <c r="D3659" t="s">
        <v>44</v>
      </c>
      <c r="E3659">
        <v>29</v>
      </c>
      <c r="F3659">
        <v>26</v>
      </c>
      <c r="G3659">
        <v>1</v>
      </c>
      <c r="H3659" s="1">
        <v>6.9444444444444447E-4</v>
      </c>
      <c r="I3659" t="s">
        <v>23</v>
      </c>
      <c r="J3659" s="2" t="str">
        <f>HYPERLINK("https://www.nba.com/stats/events?CFID=&amp;CFPARAMS=&amp;GameEventID=135&amp;GameID=0022300618&amp;Season=2023-24&amp;flag=1&amp;title=Leonard%2011'%20driving%20Hook%20(8%20PTS)%20(N.%20Powell%201%20AST)", "11' driving Hook (8 PTS) (N. Powell 1 AST)")</f>
        <v>11' driving Hook (8 PTS) (N. Powell 1 AST)</v>
      </c>
      <c r="K3659" s="2" t="str">
        <f>HYPERLINK("https://www.nba.com/game/...-vs-...-0022300618/play-by-play?watchFullGame=true", "LAC vs LAL - Q1 01:00.00")</f>
        <v>LAC vs LAL - Q1 01:00.00</v>
      </c>
      <c r="L3659">
        <v>11.24</v>
      </c>
      <c r="M3659">
        <v>85.73</v>
      </c>
      <c r="N3659">
        <v>65.44</v>
      </c>
      <c r="O3659">
        <v>77</v>
      </c>
      <c r="P3659">
        <v>82</v>
      </c>
    </row>
    <row r="3660" spans="1:16" x14ac:dyDescent="0.25">
      <c r="A3660">
        <v>22000324</v>
      </c>
      <c r="B3660">
        <v>2020</v>
      </c>
      <c r="C3660" t="s">
        <v>32</v>
      </c>
      <c r="D3660" t="s">
        <v>19</v>
      </c>
      <c r="E3660">
        <v>6</v>
      </c>
      <c r="F3660">
        <v>16</v>
      </c>
      <c r="G3660">
        <v>1</v>
      </c>
      <c r="H3660" s="1">
        <v>4.9537037037037041E-3</v>
      </c>
      <c r="I3660" t="s">
        <v>23</v>
      </c>
      <c r="J3660" s="2" t="str">
        <f>HYPERLINK("https://www.nba.com/stats/events?CFID=&amp;CFPARAMS=&amp;GameEventID=49&amp;GameID=0022000324&amp;Season=2020-21&amp;flag=1&amp;title=Leonard%2018'%20Jump%20Shot%20(6%20PTS)", "18' Jump Shot (6 PTS)")</f>
        <v>18' Jump Shot (6 PTS)</v>
      </c>
      <c r="K3660" s="2" t="str">
        <f>HYPERLINK("https://www.nba.com/game/...-vs-...-0022000324/play-by-play?watchFullGame=true", "LAC vs BKN - Q1 07:08.00")</f>
        <v>LAC vs BKN - Q1 07:08.00</v>
      </c>
      <c r="L3660">
        <v>18.489999999999998</v>
      </c>
      <c r="M3660">
        <v>23.47</v>
      </c>
      <c r="N3660">
        <v>34.630000000000003</v>
      </c>
      <c r="O3660">
        <v>77</v>
      </c>
      <c r="P3660">
        <v>168</v>
      </c>
    </row>
    <row r="3661" spans="1:16" x14ac:dyDescent="0.25">
      <c r="A3661">
        <v>41300142</v>
      </c>
      <c r="B3661" t="s">
        <v>26</v>
      </c>
      <c r="C3661" t="s">
        <v>16</v>
      </c>
      <c r="D3661" t="s">
        <v>19</v>
      </c>
      <c r="E3661">
        <v>81</v>
      </c>
      <c r="F3661">
        <v>101</v>
      </c>
      <c r="G3661">
        <v>4</v>
      </c>
      <c r="H3661" s="1">
        <v>4.7800925925925927E-3</v>
      </c>
      <c r="I3661" t="s">
        <v>18</v>
      </c>
      <c r="J3661" s="2" t="str">
        <f>HYPERLINK("https://www.nba.com/stats/events?CFID=&amp;CFPARAMS=&amp;GameEventID=426&amp;GameID=0041300142&amp;Season=2013-14&amp;flag=1&amp;title=Leonard%2025'%203PT%20Jump%20Shot%20(6%20PTS)%20(Ginobili%204%20AST)", "Leonard 25' 3PT Jump Shot (6 PTS) (Ginobili 4 AST)")</f>
        <v>Leonard 25' 3PT Jump Shot (6 PTS) (Ginobili 4 AST)</v>
      </c>
      <c r="K3661" s="2" t="str">
        <f>HYPERLINK("https://www.nba.com/game/...-vs-...-0041300142/play-by-play?watchFullGame=true", "SAS vs DAL - Q4 06:53.00")</f>
        <v>SAS vs DAL - Q4 06:53.00</v>
      </c>
      <c r="L3661">
        <v>25</v>
      </c>
      <c r="M3661">
        <v>77</v>
      </c>
      <c r="N3661">
        <v>238</v>
      </c>
      <c r="O3661">
        <v>77</v>
      </c>
      <c r="P3661">
        <v>238</v>
      </c>
    </row>
    <row r="3662" spans="1:16" x14ac:dyDescent="0.25">
      <c r="A3662">
        <v>22300127</v>
      </c>
      <c r="B3662">
        <v>2023</v>
      </c>
      <c r="C3662" t="s">
        <v>16</v>
      </c>
      <c r="D3662" t="s">
        <v>19</v>
      </c>
      <c r="E3662">
        <v>11</v>
      </c>
      <c r="F3662">
        <v>19</v>
      </c>
      <c r="G3662">
        <v>1</v>
      </c>
      <c r="H3662" s="1">
        <v>4.8958333333333336E-3</v>
      </c>
      <c r="I3662" t="s">
        <v>23</v>
      </c>
      <c r="J3662" s="2" t="str">
        <f>HYPERLINK("https://www.nba.com/stats/events?CFID=&amp;CFPARAMS=&amp;GameEventID=50&amp;GameID=0022300127&amp;Season=2023-24&amp;flag=1&amp;title=Leonard%2025'%203PT%20pullup%20(13%20PTS)", "25' 3PT pullup (13 PTS)")</f>
        <v>25' 3PT pullup (13 PTS)</v>
      </c>
      <c r="K3662" s="2" t="str">
        <f>HYPERLINK("https://www.nba.com/game/...-vs-...-0022300127/play-by-play?watchFullGame=true", "LAC vs LAL - Q1 07:03.00")</f>
        <v>LAC vs LAL - Q1 07:03.00</v>
      </c>
      <c r="L3662">
        <v>25.9</v>
      </c>
      <c r="M3662">
        <v>68.12</v>
      </c>
      <c r="N3662">
        <v>65.44</v>
      </c>
      <c r="O3662">
        <v>77</v>
      </c>
      <c r="P3662">
        <v>247</v>
      </c>
    </row>
    <row r="3663" spans="1:16" x14ac:dyDescent="0.25">
      <c r="A3663">
        <v>22200639</v>
      </c>
      <c r="B3663">
        <v>2022</v>
      </c>
      <c r="C3663" t="s">
        <v>32</v>
      </c>
      <c r="D3663" t="s">
        <v>19</v>
      </c>
      <c r="E3663">
        <v>19</v>
      </c>
      <c r="F3663">
        <v>16</v>
      </c>
      <c r="G3663">
        <v>1</v>
      </c>
      <c r="H3663" s="1">
        <v>4.6296296296296294E-3</v>
      </c>
      <c r="I3663" t="s">
        <v>23</v>
      </c>
      <c r="J3663" s="2" t="str">
        <f>HYPERLINK("https://www.nba.com/stats/events?CFID=&amp;CFPARAMS=&amp;GameEventID=55&amp;GameID=0022200639&amp;Season=2022-23&amp;flag=1&amp;title=Leonard%208'%20pullup%20Jump%20Shot%20(8%20PTS)", "8' pullup Jump Shot (8 PTS)")</f>
        <v>8' pullup Jump Shot (8 PTS)</v>
      </c>
      <c r="K3663" s="2" t="str">
        <f>HYPERLINK("https://www.nba.com/game/...-vs-...-0022200639/play-by-play?watchFullGame=true", "LAC vs DEN - Q1 06:40.00")</f>
        <v>LAC vs DEN - Q1 06:40.00</v>
      </c>
      <c r="L3663">
        <v>8.42</v>
      </c>
      <c r="M3663">
        <v>97.68</v>
      </c>
      <c r="N3663">
        <v>65.69</v>
      </c>
      <c r="O3663">
        <v>78</v>
      </c>
      <c r="P3663">
        <v>-31</v>
      </c>
    </row>
    <row r="3664" spans="1:16" x14ac:dyDescent="0.25">
      <c r="A3664">
        <v>42000222</v>
      </c>
      <c r="B3664" t="s">
        <v>85</v>
      </c>
      <c r="C3664" t="s">
        <v>16</v>
      </c>
      <c r="D3664" t="s">
        <v>19</v>
      </c>
      <c r="E3664">
        <v>76</v>
      </c>
      <c r="F3664">
        <v>67</v>
      </c>
      <c r="G3664">
        <v>3</v>
      </c>
      <c r="H3664" s="1">
        <v>4.2939814814814811E-3</v>
      </c>
      <c r="I3664" t="s">
        <v>23</v>
      </c>
      <c r="J3664" s="2" t="str">
        <f>HYPERLINK("https://www.nba.com/stats/events?CFID=&amp;CFPARAMS=&amp;GameEventID=375&amp;GameID=0042000222&amp;Season=2020-21&amp;flag=1&amp;title=Leonard%2026'%203PT%20%20(17%20PTS)%20(P.%20George%205%20AST)", "26' 3PT  (17 PTS) (P. George 5 AST)")</f>
        <v>26' 3PT  (17 PTS) (P. George 5 AST)</v>
      </c>
      <c r="K3664" s="2" t="str">
        <f>HYPERLINK("https://www.nba.com/game/...-vs-...-0042000222/play-by-play?watchFullGame=true", "LAC vs UTA - Q3 06:11.00")</f>
        <v>LAC vs UTA - Q3 06:11.00</v>
      </c>
      <c r="L3664">
        <v>26.09</v>
      </c>
      <c r="M3664">
        <v>78.010000000000005</v>
      </c>
      <c r="N3664">
        <v>7.91</v>
      </c>
      <c r="O3664">
        <v>78</v>
      </c>
      <c r="P3664">
        <v>7</v>
      </c>
    </row>
    <row r="3665" spans="1:16" x14ac:dyDescent="0.25">
      <c r="A3665">
        <v>21500928</v>
      </c>
      <c r="B3665">
        <v>2015</v>
      </c>
      <c r="C3665" t="s">
        <v>32</v>
      </c>
      <c r="D3665" t="s">
        <v>54</v>
      </c>
      <c r="E3665">
        <v>96</v>
      </c>
      <c r="F3665">
        <v>85</v>
      </c>
      <c r="G3665">
        <v>4</v>
      </c>
      <c r="H3665" s="1">
        <v>2.3263888888888887E-3</v>
      </c>
      <c r="I3665" t="s">
        <v>18</v>
      </c>
      <c r="J3665" s="2" t="str">
        <f>HYPERLINK("https://www.nba.com/stats/events?CFID=&amp;CFPARAMS=&amp;GameEventID=492&amp;GameID=0021500928&amp;Season=2015-16&amp;flag=1&amp;title=Leonard%208'%20Driving%20Bank%20Shot%20(23%20PTS)%20(Mills%203%20AST)", "Leonard 8' Driving Bank Shot (23 PTS) (Mills 3 AST)")</f>
        <v>Leonard 8' Driving Bank Shot (23 PTS) (Mills 3 AST)</v>
      </c>
      <c r="K3665" s="2" t="str">
        <f>HYPERLINK("https://www.nba.com/game/...-vs-...-0021500928/play-by-play?watchFullGame=true", "SAS vs SAC - Q4 03:21.00")</f>
        <v>SAS vs SAC - Q4 03:21.00</v>
      </c>
      <c r="L3665">
        <v>8</v>
      </c>
      <c r="M3665">
        <v>78</v>
      </c>
      <c r="N3665">
        <v>8</v>
      </c>
      <c r="O3665">
        <v>78</v>
      </c>
      <c r="P3665">
        <v>8</v>
      </c>
    </row>
    <row r="3666" spans="1:16" x14ac:dyDescent="0.25">
      <c r="A3666">
        <v>41200153</v>
      </c>
      <c r="B3666" t="s">
        <v>27</v>
      </c>
      <c r="C3666" t="s">
        <v>32</v>
      </c>
      <c r="D3666" t="s">
        <v>40</v>
      </c>
      <c r="E3666">
        <v>8</v>
      </c>
      <c r="F3666">
        <v>15</v>
      </c>
      <c r="G3666">
        <v>1</v>
      </c>
      <c r="H3666" s="1">
        <v>4.0972222222222226E-3</v>
      </c>
      <c r="I3666" t="s">
        <v>18</v>
      </c>
      <c r="J3666" s="2" t="str">
        <f>HYPERLINK("https://www.nba.com/stats/events?CFID=&amp;CFPARAMS=&amp;GameEventID=67&amp;GameID=0041200153&amp;Season=2012-13&amp;flag=1&amp;title=Leonard%208'%20Hook%20Shot%20(6%20PTS)%20(Green%202%20AST)", "Leonard 8' Hook Shot (6 PTS) (Green 2 AST)")</f>
        <v>Leonard 8' Hook Shot (6 PTS) (Green 2 AST)</v>
      </c>
      <c r="K3666" s="2" t="str">
        <f>HYPERLINK("https://www.nba.com/game/...-vs-...-0041200153/play-by-play?watchFullGame=true", "SAS vs LAL - Q1 05:54.00")</f>
        <v>SAS vs LAL - Q1 05:54.00</v>
      </c>
      <c r="L3666">
        <v>8</v>
      </c>
      <c r="M3666">
        <v>78</v>
      </c>
      <c r="N3666">
        <v>15</v>
      </c>
      <c r="O3666">
        <v>78</v>
      </c>
      <c r="P3666">
        <v>15</v>
      </c>
    </row>
    <row r="3667" spans="1:16" x14ac:dyDescent="0.25">
      <c r="A3667">
        <v>21500207</v>
      </c>
      <c r="B3667">
        <v>2015</v>
      </c>
      <c r="C3667" t="s">
        <v>32</v>
      </c>
      <c r="D3667" t="s">
        <v>34</v>
      </c>
      <c r="E3667">
        <v>84</v>
      </c>
      <c r="F3667">
        <v>73</v>
      </c>
      <c r="G3667">
        <v>4</v>
      </c>
      <c r="H3667" s="1">
        <v>3.7268518518518519E-3</v>
      </c>
      <c r="I3667" t="s">
        <v>18</v>
      </c>
      <c r="J3667" s="2" t="str">
        <f>HYPERLINK("https://www.nba.com/stats/events?CFID=&amp;CFPARAMS=&amp;GameEventID=422&amp;GameID=0021500207&amp;Season=2015-16&amp;flag=1&amp;title=Leonard%208'%20Turnaround%20Fadeaway%20(24%20PTS)", "Leonard 8' Turnaround Fadeaway (24 PTS)")</f>
        <v>Leonard 8' Turnaround Fadeaway (24 PTS)</v>
      </c>
      <c r="K3667" s="2" t="str">
        <f>HYPERLINK("https://www.nba.com/game/...-vs-...-0021500207/play-by-play?watchFullGame=true", "SAS vs PHX - Q4 05:22.00")</f>
        <v>SAS vs PHX - Q4 05:22.00</v>
      </c>
      <c r="L3667">
        <v>8</v>
      </c>
      <c r="M3667">
        <v>78</v>
      </c>
      <c r="N3667">
        <v>21</v>
      </c>
      <c r="O3667">
        <v>78</v>
      </c>
      <c r="P3667">
        <v>21</v>
      </c>
    </row>
    <row r="3668" spans="1:16" x14ac:dyDescent="0.25">
      <c r="A3668">
        <v>22300658</v>
      </c>
      <c r="B3668">
        <v>2023</v>
      </c>
      <c r="C3668" t="s">
        <v>32</v>
      </c>
      <c r="D3668" t="s">
        <v>19</v>
      </c>
      <c r="E3668">
        <v>42</v>
      </c>
      <c r="F3668">
        <v>49</v>
      </c>
      <c r="G3668">
        <v>2</v>
      </c>
      <c r="H3668" s="1">
        <v>2.662037037037037E-3</v>
      </c>
      <c r="I3668" t="s">
        <v>23</v>
      </c>
      <c r="J3668" s="2" t="str">
        <f>HYPERLINK("https://www.nba.com/stats/events?CFID=&amp;CFPARAMS=&amp;GameEventID=269&amp;GameID=0022300658&amp;Season=2023-24&amp;flag=1&amp;title=Leonard%208'%20fadeaway%20Jump%20Shot%20(12%20PTS)", "8' fadeaway Jump Shot (12 PTS)")</f>
        <v>8' fadeaway Jump Shot (12 PTS)</v>
      </c>
      <c r="K3668" s="2" t="str">
        <f>HYPERLINK("https://www.nba.com/game/...-vs-...-0022300658/play-by-play?watchFullGame=true", "LAC vs CLE - Q2 03:50.00")</f>
        <v>LAC vs CLE - Q2 03:50.00</v>
      </c>
      <c r="L3668">
        <v>8.4700000000000006</v>
      </c>
      <c r="M3668">
        <v>91.02</v>
      </c>
      <c r="N3668">
        <v>65.69</v>
      </c>
      <c r="O3668">
        <v>78</v>
      </c>
      <c r="P3668">
        <v>32</v>
      </c>
    </row>
    <row r="3669" spans="1:16" x14ac:dyDescent="0.25">
      <c r="A3669">
        <v>21601070</v>
      </c>
      <c r="B3669">
        <v>2016</v>
      </c>
      <c r="C3669" t="s">
        <v>32</v>
      </c>
      <c r="D3669" t="s">
        <v>29</v>
      </c>
      <c r="E3669">
        <v>59</v>
      </c>
      <c r="F3669">
        <v>48</v>
      </c>
      <c r="G3669">
        <v>3</v>
      </c>
      <c r="H3669" s="1">
        <v>6.1921296296296299E-3</v>
      </c>
      <c r="I3669" t="s">
        <v>18</v>
      </c>
      <c r="J3669" s="2" t="str">
        <f>HYPERLINK("https://www.nba.com/stats/events?CFID=&amp;CFPARAMS=&amp;GameEventID=287&amp;GameID=0021601070&amp;Season=2016-17&amp;flag=1&amp;title=Leonard%209'%20Pullup%20Jump%20Shot%20(10%20PTS)%20(Parker%204%20AST)", "Leonard 9' Pullup Jump Shot (10 PTS) (Parker 4 AST)")</f>
        <v>Leonard 9' Pullup Jump Shot (10 PTS) (Parker 4 AST)</v>
      </c>
      <c r="K3669" s="2" t="str">
        <f>HYPERLINK("https://www.nba.com/game/...-vs-...-0021601070/play-by-play?watchFullGame=true", "SAS vs MEM - Q3 08:55.00")</f>
        <v>SAS vs MEM - Q3 08:55.00</v>
      </c>
      <c r="L3669">
        <v>9</v>
      </c>
      <c r="M3669">
        <v>78</v>
      </c>
      <c r="N3669">
        <v>36</v>
      </c>
      <c r="O3669">
        <v>78</v>
      </c>
      <c r="P3669">
        <v>36</v>
      </c>
    </row>
    <row r="3670" spans="1:16" x14ac:dyDescent="0.25">
      <c r="A3670">
        <v>22000457</v>
      </c>
      <c r="B3670">
        <v>2020</v>
      </c>
      <c r="C3670" t="s">
        <v>32</v>
      </c>
      <c r="D3670" t="s">
        <v>19</v>
      </c>
      <c r="E3670">
        <v>14</v>
      </c>
      <c r="F3670">
        <v>9</v>
      </c>
      <c r="G3670">
        <v>1</v>
      </c>
      <c r="H3670" s="1">
        <v>4.7916666666666663E-3</v>
      </c>
      <c r="I3670" t="s">
        <v>23</v>
      </c>
      <c r="J3670" s="2" t="str">
        <f>HYPERLINK("https://www.nba.com/stats/events?CFID=&amp;CFPARAMS=&amp;GameEventID=47&amp;GameID=0022000457&amp;Season=2020-21&amp;flag=1&amp;title=Leonard%2010'%20pullup%20Jump%20Shot%20(4%20PTS)", "10' pullup Jump Shot (4 PTS)")</f>
        <v>10' pullup Jump Shot (4 PTS)</v>
      </c>
      <c r="K3670" s="2" t="str">
        <f>HYPERLINK("https://www.nba.com/game/...-vs-...-0022000457/play-by-play?watchFullGame=true", "LAC vs UTA - Q1 06:54.00")</f>
        <v>LAC vs UTA - Q1 06:54.00</v>
      </c>
      <c r="L3670">
        <v>10.36</v>
      </c>
      <c r="M3670">
        <v>12.83</v>
      </c>
      <c r="N3670">
        <v>34.380000000000003</v>
      </c>
      <c r="O3670">
        <v>78</v>
      </c>
      <c r="P3670">
        <v>68</v>
      </c>
    </row>
    <row r="3671" spans="1:16" x14ac:dyDescent="0.25">
      <c r="A3671">
        <v>21600605</v>
      </c>
      <c r="B3671">
        <v>2016</v>
      </c>
      <c r="C3671" t="s">
        <v>32</v>
      </c>
      <c r="D3671" t="s">
        <v>29</v>
      </c>
      <c r="E3671">
        <v>17</v>
      </c>
      <c r="F3671">
        <v>19</v>
      </c>
      <c r="G3671">
        <v>1</v>
      </c>
      <c r="H3671" s="1">
        <v>2.9745370370370373E-3</v>
      </c>
      <c r="I3671" t="s">
        <v>18</v>
      </c>
      <c r="J3671" s="2" t="str">
        <f>HYPERLINK("https://www.nba.com/stats/events?CFID=&amp;CFPARAMS=&amp;GameEventID=90&amp;GameID=0021600605&amp;Season=2016-17&amp;flag=1&amp;title=Leonard%2013'%20Pullup%20Jump%20Shot%20(2%20PTS)", "Leonard 13' Pullup Jump Shot (2 PTS)")</f>
        <v>Leonard 13' Pullup Jump Shot (2 PTS)</v>
      </c>
      <c r="K3671" s="2" t="str">
        <f>HYPERLINK("https://www.nba.com/game/...-vs-...-0021600605/play-by-play?watchFullGame=true", "SAS vs PHX - Q1 04:17.00")</f>
        <v>SAS vs PHX - Q1 04:17.00</v>
      </c>
      <c r="L3671">
        <v>13</v>
      </c>
      <c r="M3671">
        <v>78</v>
      </c>
      <c r="N3671">
        <v>110</v>
      </c>
      <c r="O3671">
        <v>78</v>
      </c>
      <c r="P3671">
        <v>110</v>
      </c>
    </row>
    <row r="3672" spans="1:16" x14ac:dyDescent="0.25">
      <c r="A3672">
        <v>22300235</v>
      </c>
      <c r="B3672">
        <v>2023</v>
      </c>
      <c r="C3672" t="s">
        <v>32</v>
      </c>
      <c r="D3672" t="s">
        <v>19</v>
      </c>
      <c r="E3672">
        <v>14</v>
      </c>
      <c r="F3672">
        <v>21</v>
      </c>
      <c r="G3672">
        <v>1</v>
      </c>
      <c r="H3672" s="1">
        <v>1.0532407407407407E-3</v>
      </c>
      <c r="I3672" t="s">
        <v>23</v>
      </c>
      <c r="J3672" s="2" t="str">
        <f>HYPERLINK("https://www.nba.com/stats/events?CFID=&amp;CFPARAMS=&amp;GameEventID=133&amp;GameID=0022300235&amp;Season=2023-24&amp;flag=1&amp;title=Leonard%2015'%20pullup%20Jump%20Shot%20(7%20PTS)", "15' pullup Jump Shot (7 PTS)")</f>
        <v>15' pullup Jump Shot (7 PTS)</v>
      </c>
      <c r="K3672" s="2" t="str">
        <f>HYPERLINK("https://www.nba.com/game/...-vs-...-0022300235/play-by-play?watchFullGame=true", "LAC vs SAS - Q1 01:31.00")</f>
        <v>LAC vs SAS - Q1 01:31.00</v>
      </c>
      <c r="L3672">
        <v>15.78</v>
      </c>
      <c r="M3672">
        <v>79.849999999999994</v>
      </c>
      <c r="N3672">
        <v>65.69</v>
      </c>
      <c r="O3672">
        <v>78</v>
      </c>
      <c r="P3672">
        <v>137</v>
      </c>
    </row>
    <row r="3673" spans="1:16" x14ac:dyDescent="0.25">
      <c r="A3673">
        <v>22200784</v>
      </c>
      <c r="B3673">
        <v>2022</v>
      </c>
      <c r="C3673" t="s">
        <v>32</v>
      </c>
      <c r="D3673" t="s">
        <v>19</v>
      </c>
      <c r="E3673">
        <v>0</v>
      </c>
      <c r="F3673">
        <v>2</v>
      </c>
      <c r="G3673">
        <v>1</v>
      </c>
      <c r="H3673" s="1">
        <v>8.1597222222222227E-3</v>
      </c>
      <c r="I3673" t="s">
        <v>23</v>
      </c>
      <c r="J3673" s="2" t="str">
        <f>HYPERLINK("https://www.nba.com/stats/events?CFID=&amp;CFPARAMS=&amp;GameEventID=7&amp;GameID=0022200784&amp;Season=2022-23&amp;flag=1&amp;title=Leonard%2016'%20pullup%20Jump%20Shot%20(2%20PTS)", "16' pullup Jump Shot (2 PTS)")</f>
        <v>16' pullup Jump Shot (2 PTS)</v>
      </c>
      <c r="K3673" s="2" t="str">
        <f>HYPERLINK("https://www.nba.com/game/...-vs-...-0022200784/play-by-play?watchFullGame=true", "LAC vs MIL - Q1 11:45.00")</f>
        <v>LAC vs MIL - Q1 11:45.00</v>
      </c>
      <c r="L3673">
        <v>16.46</v>
      </c>
      <c r="M3673">
        <v>20.98</v>
      </c>
      <c r="N3673">
        <v>34.31</v>
      </c>
      <c r="O3673">
        <v>78</v>
      </c>
      <c r="P3673">
        <v>145</v>
      </c>
    </row>
    <row r="3674" spans="1:16" x14ac:dyDescent="0.25">
      <c r="A3674">
        <v>22000251</v>
      </c>
      <c r="B3674">
        <v>2020</v>
      </c>
      <c r="C3674" t="s">
        <v>32</v>
      </c>
      <c r="D3674" t="s">
        <v>19</v>
      </c>
      <c r="E3674">
        <v>85</v>
      </c>
      <c r="F3674">
        <v>73</v>
      </c>
      <c r="G3674">
        <v>3</v>
      </c>
      <c r="H3674" s="1">
        <v>1.0416666666666666E-5</v>
      </c>
      <c r="I3674" t="s">
        <v>23</v>
      </c>
      <c r="J3674" s="2" t="str">
        <f>HYPERLINK("https://www.nba.com/stats/events?CFID=&amp;CFPARAMS=&amp;GameEventID=450&amp;GameID=0022000251&amp;Season=2020-21&amp;flag=1&amp;title=Leonard%2016'%20pullup%20Jump%20Shot%20(32%20PTS)", "16' pullup Jump Shot (32 PTS)")</f>
        <v>16' pullup Jump Shot (32 PTS)</v>
      </c>
      <c r="K3674" s="2" t="str">
        <f>HYPERLINK("https://www.nba.com/game/...-vs-...-0022000251/play-by-play?watchFullGame=true", "LAC vs OKC - Q3 00:00.90")</f>
        <v>LAC vs OKC - Q3 00:00.90</v>
      </c>
      <c r="L3674">
        <v>16.88</v>
      </c>
      <c r="M3674">
        <v>21.5</v>
      </c>
      <c r="N3674">
        <v>34.380000000000003</v>
      </c>
      <c r="O3674">
        <v>78</v>
      </c>
      <c r="P3674">
        <v>150</v>
      </c>
    </row>
    <row r="3675" spans="1:16" x14ac:dyDescent="0.25">
      <c r="A3675">
        <v>22300676</v>
      </c>
      <c r="B3675">
        <v>2023</v>
      </c>
      <c r="C3675" t="s">
        <v>32</v>
      </c>
      <c r="D3675" t="s">
        <v>19</v>
      </c>
      <c r="E3675">
        <v>21</v>
      </c>
      <c r="F3675">
        <v>25</v>
      </c>
      <c r="G3675">
        <v>1</v>
      </c>
      <c r="H3675" s="1">
        <v>3.0439814814814813E-3</v>
      </c>
      <c r="I3675" t="s">
        <v>23</v>
      </c>
      <c r="J3675" s="2" t="str">
        <f>HYPERLINK("https://www.nba.com/stats/events?CFID=&amp;CFPARAMS=&amp;GameEventID=94&amp;GameID=0022300676&amp;Season=2023-24&amp;flag=1&amp;title=Leonard%2015'%20turnaround%20Jump%20Shot%20(9%20PTS)%20(R.%20Westbrook%201%20AST)", "15' turnaround Jump Shot (9 PTS) (R. Westbrook 1 AST)")</f>
        <v>15' turnaround Jump Shot (9 PTS) (R. Westbrook 1 AST)</v>
      </c>
      <c r="K3675" s="2" t="str">
        <f>HYPERLINK("https://www.nba.com/game/...-vs-...-0022300676/play-by-play?watchFullGame=true", "LAC vs WAS - Q1 04:23.00")</f>
        <v>LAC vs WAS - Q1 04:23.00</v>
      </c>
      <c r="L3675">
        <v>15.18</v>
      </c>
      <c r="M3675">
        <v>78.27</v>
      </c>
      <c r="N3675">
        <v>50</v>
      </c>
      <c r="O3675">
        <v>78</v>
      </c>
      <c r="P3675">
        <v>152</v>
      </c>
    </row>
    <row r="3676" spans="1:16" x14ac:dyDescent="0.25">
      <c r="A3676">
        <v>41200152</v>
      </c>
      <c r="B3676" t="s">
        <v>27</v>
      </c>
      <c r="C3676" t="s">
        <v>32</v>
      </c>
      <c r="D3676" t="s">
        <v>29</v>
      </c>
      <c r="E3676">
        <v>4</v>
      </c>
      <c r="F3676">
        <v>2</v>
      </c>
      <c r="G3676">
        <v>1</v>
      </c>
      <c r="H3676" s="1">
        <v>7.2453703703703708E-3</v>
      </c>
      <c r="I3676" t="s">
        <v>18</v>
      </c>
      <c r="J3676" s="2" t="str">
        <f>HYPERLINK("https://www.nba.com/stats/events?CFID=&amp;CFPARAMS=&amp;GameEventID=13&amp;GameID=0041200152&amp;Season=2012-13&amp;flag=1&amp;title=Leonard%2017'%20Pullup%20Jump%20Shot%20(2%20PTS)%20(Parker%201%20AST)", "Leonard 17' Pullup Jump Shot (2 PTS) (Parker 1 AST)")</f>
        <v>Leonard 17' Pullup Jump Shot (2 PTS) (Parker 1 AST)</v>
      </c>
      <c r="K3676" s="2" t="str">
        <f>HYPERLINK("https://www.nba.com/game/...-vs-...-0041200152/play-by-play?watchFullGame=true", "SAS vs LAL - Q1 10:26.00")</f>
        <v>SAS vs LAL - Q1 10:26.00</v>
      </c>
      <c r="L3676">
        <v>17</v>
      </c>
      <c r="M3676">
        <v>78</v>
      </c>
      <c r="N3676">
        <v>153</v>
      </c>
      <c r="O3676">
        <v>78</v>
      </c>
      <c r="P3676">
        <v>153</v>
      </c>
    </row>
    <row r="3677" spans="1:16" x14ac:dyDescent="0.25">
      <c r="A3677">
        <v>21901258</v>
      </c>
      <c r="B3677">
        <v>2019</v>
      </c>
      <c r="C3677" t="s">
        <v>32</v>
      </c>
      <c r="D3677" t="s">
        <v>22</v>
      </c>
      <c r="E3677">
        <v>82</v>
      </c>
      <c r="F3677">
        <v>85</v>
      </c>
      <c r="G3677">
        <v>3</v>
      </c>
      <c r="H3677" s="1">
        <v>2.5462962962962965E-3</v>
      </c>
      <c r="I3677" t="s">
        <v>23</v>
      </c>
      <c r="J3677" s="2" t="str">
        <f>HYPERLINK("https://www.nba.com/stats/events?CFID=&amp;CFPARAMS=&amp;GameEventID=415&amp;GameID=0021901258&amp;Season=2019-20&amp;flag=1&amp;title=Leonard%2020'%20jumpshot%20(14%20PTS)", "20' jumpshot (14 PTS)")</f>
        <v>20' jumpshot (14 PTS)</v>
      </c>
      <c r="K3677" s="2" t="str">
        <f>HYPERLINK("https://www.nba.com/game/...-vs-...-0021901258/play-by-play?watchFullGame=true", "LAC vs PHX - Q3 03:40.00")</f>
        <v>LAC vs PHX - Q3 03:40.00</v>
      </c>
      <c r="L3677">
        <v>20.010000000000002</v>
      </c>
      <c r="M3677">
        <v>75.38</v>
      </c>
      <c r="N3677">
        <v>65.510000000000005</v>
      </c>
      <c r="O3677">
        <v>78</v>
      </c>
      <c r="P3677">
        <v>179</v>
      </c>
    </row>
    <row r="3678" spans="1:16" x14ac:dyDescent="0.25">
      <c r="A3678">
        <v>22000387</v>
      </c>
      <c r="B3678">
        <v>2020</v>
      </c>
      <c r="C3678" t="s">
        <v>16</v>
      </c>
      <c r="D3678" t="s">
        <v>19</v>
      </c>
      <c r="E3678">
        <v>24</v>
      </c>
      <c r="F3678">
        <v>16</v>
      </c>
      <c r="G3678">
        <v>1</v>
      </c>
      <c r="H3678" s="1">
        <v>3.6226851851851854E-3</v>
      </c>
      <c r="I3678" t="s">
        <v>23</v>
      </c>
      <c r="J3678" s="2" t="str">
        <f>HYPERLINK("https://www.nba.com/stats/events?CFID=&amp;CFPARAMS=&amp;GameEventID=82&amp;GameID=0022000387&amp;Season=2020-21&amp;flag=1&amp;title=Leonard%2025'%203PT%20step%20back%20(7%20PTS)", "25' 3PT step back (7 PTS)")</f>
        <v>25' 3PT step back (7 PTS)</v>
      </c>
      <c r="K3678" s="2" t="str">
        <f>HYPERLINK("https://www.nba.com/game/...-vs-...-0022000387/play-by-play?watchFullGame=true", "LAC vs MIN - Q1 05:13.00")</f>
        <v>LAC vs MIN - Q1 05:13.00</v>
      </c>
      <c r="L3678">
        <v>25.18</v>
      </c>
      <c r="M3678">
        <v>68.94</v>
      </c>
      <c r="N3678">
        <v>65.510000000000005</v>
      </c>
      <c r="O3678">
        <v>78</v>
      </c>
      <c r="P3678">
        <v>239</v>
      </c>
    </row>
    <row r="3679" spans="1:16" x14ac:dyDescent="0.25">
      <c r="A3679">
        <v>21500909</v>
      </c>
      <c r="B3679">
        <v>2015</v>
      </c>
      <c r="C3679" t="s">
        <v>16</v>
      </c>
      <c r="D3679" t="s">
        <v>29</v>
      </c>
      <c r="E3679">
        <v>27</v>
      </c>
      <c r="F3679">
        <v>34</v>
      </c>
      <c r="G3679">
        <v>2</v>
      </c>
      <c r="H3679" s="1">
        <v>4.6990740740740743E-3</v>
      </c>
      <c r="I3679" t="s">
        <v>18</v>
      </c>
      <c r="J3679" s="2" t="str">
        <f>HYPERLINK("https://www.nba.com/stats/events?CFID=&amp;CFPARAMS=&amp;GameEventID=166&amp;GameID=0021500909&amp;Season=2015-16&amp;flag=1&amp;title=Leonard%2026'%203PT%20Pullup%20Jump%20Shot%20(12%20PTS)", "Leonard 26' 3PT Pullup Jump Shot (12 PTS)")</f>
        <v>Leonard 26' 3PT Pullup Jump Shot (12 PTS)</v>
      </c>
      <c r="K3679" s="2" t="str">
        <f>HYPERLINK("https://www.nba.com/game/...-vs-...-0021500909/play-by-play?watchFullGame=true", "SAS vs NOP - Q2 06:46.00")</f>
        <v>SAS vs NOP - Q2 06:46.00</v>
      </c>
      <c r="L3679">
        <v>26</v>
      </c>
      <c r="M3679">
        <v>78</v>
      </c>
      <c r="N3679">
        <v>244</v>
      </c>
      <c r="O3679">
        <v>78</v>
      </c>
      <c r="P3679">
        <v>244</v>
      </c>
    </row>
    <row r="3680" spans="1:16" x14ac:dyDescent="0.25">
      <c r="A3680">
        <v>21500960</v>
      </c>
      <c r="B3680">
        <v>2015</v>
      </c>
      <c r="C3680" t="s">
        <v>16</v>
      </c>
      <c r="D3680" t="s">
        <v>19</v>
      </c>
      <c r="E3680">
        <v>9</v>
      </c>
      <c r="F3680">
        <v>5</v>
      </c>
      <c r="G3680">
        <v>1</v>
      </c>
      <c r="H3680" s="1">
        <v>6.1574074074074074E-3</v>
      </c>
      <c r="I3680" t="s">
        <v>18</v>
      </c>
      <c r="J3680" s="2" t="str">
        <f>HYPERLINK("https://www.nba.com/stats/events?CFID=&amp;CFPARAMS=&amp;GameEventID=27&amp;GameID=0021500960&amp;Season=2015-16&amp;flag=1&amp;title=Leonard%2026'%203PT%20Jump%20Shot%20(5%20PTS)%20(Parker%201%20AST)", "Leonard 26' 3PT Jump Shot (5 PTS) (Parker 1 AST)")</f>
        <v>Leonard 26' 3PT Jump Shot (5 PTS) (Parker 1 AST)</v>
      </c>
      <c r="K3680" s="2" t="str">
        <f>HYPERLINK("https://www.nba.com/game/...-vs-...-0021500960/play-by-play?watchFullGame=true", "SAS vs CHI - Q1 08:52.00")</f>
        <v>SAS vs CHI - Q1 08:52.00</v>
      </c>
      <c r="L3680">
        <v>26</v>
      </c>
      <c r="M3680">
        <v>78</v>
      </c>
      <c r="N3680">
        <v>247</v>
      </c>
      <c r="O3680">
        <v>78</v>
      </c>
      <c r="P3680">
        <v>247</v>
      </c>
    </row>
    <row r="3681" spans="1:16" x14ac:dyDescent="0.25">
      <c r="A3681">
        <v>21601227</v>
      </c>
      <c r="B3681">
        <v>2016</v>
      </c>
      <c r="C3681" t="s">
        <v>32</v>
      </c>
      <c r="D3681" t="s">
        <v>34</v>
      </c>
      <c r="E3681">
        <v>46</v>
      </c>
      <c r="F3681">
        <v>37</v>
      </c>
      <c r="G3681">
        <v>2</v>
      </c>
      <c r="H3681" s="1">
        <v>2.8587962962962963E-3</v>
      </c>
      <c r="I3681" t="s">
        <v>18</v>
      </c>
      <c r="J3681" s="2" t="str">
        <f>HYPERLINK("https://www.nba.com/stats/events?CFID=&amp;CFPARAMS=&amp;GameEventID=182&amp;GameID=0021601227&amp;Season=2016-17&amp;flag=1&amp;title=Leonard%208'%20Turnaround%20Fadeaway%20(6%20PTS)", "Leonard 8' Turnaround Fadeaway (6 PTS)")</f>
        <v>Leonard 8' Turnaround Fadeaway (6 PTS)</v>
      </c>
      <c r="K3681" s="2" t="str">
        <f>HYPERLINK("https://www.nba.com/game/...-vs-...-0021601227/play-by-play?watchFullGame=true", "SAS vs UTA - Q2 04:07.00")</f>
        <v>SAS vs UTA - Q2 04:07.00</v>
      </c>
      <c r="L3681">
        <v>8</v>
      </c>
      <c r="M3681">
        <v>79</v>
      </c>
      <c r="N3681">
        <v>11</v>
      </c>
      <c r="O3681">
        <v>79</v>
      </c>
      <c r="P3681">
        <v>11</v>
      </c>
    </row>
    <row r="3682" spans="1:16" x14ac:dyDescent="0.25">
      <c r="A3682">
        <v>42000223</v>
      </c>
      <c r="B3682" t="s">
        <v>85</v>
      </c>
      <c r="C3682" t="s">
        <v>32</v>
      </c>
      <c r="D3682" t="s">
        <v>19</v>
      </c>
      <c r="E3682">
        <v>79</v>
      </c>
      <c r="F3682">
        <v>63</v>
      </c>
      <c r="G3682">
        <v>3</v>
      </c>
      <c r="H3682" s="1">
        <v>4.6759259259259263E-3</v>
      </c>
      <c r="I3682" t="s">
        <v>23</v>
      </c>
      <c r="J3682" s="2" t="str">
        <f>HYPERLINK("https://www.nba.com/stats/events?CFID=&amp;CFPARAMS=&amp;GameEventID=352&amp;GameID=0042000223&amp;Season=2020-21&amp;flag=1&amp;title=Leonard%2014'%20Jump%20Shot%20(20%20PTS)", "14' Jump Shot (20 PTS)")</f>
        <v>14' Jump Shot (20 PTS)</v>
      </c>
      <c r="K3682" s="2" t="str">
        <f>HYPERLINK("https://www.nba.com/game/...-vs-...-0042000223/play-by-play?watchFullGame=true", "LAC vs UTA - Q3 06:44.00")</f>
        <v>LAC vs UTA - Q3 06:44.00</v>
      </c>
      <c r="L3682">
        <v>14.86</v>
      </c>
      <c r="M3682">
        <v>79.55</v>
      </c>
      <c r="N3682">
        <v>39.880000000000003</v>
      </c>
      <c r="O3682">
        <v>79</v>
      </c>
      <c r="P3682">
        <v>39</v>
      </c>
    </row>
    <row r="3683" spans="1:16" x14ac:dyDescent="0.25">
      <c r="A3683">
        <v>42000224</v>
      </c>
      <c r="B3683" t="s">
        <v>85</v>
      </c>
      <c r="C3683" t="s">
        <v>32</v>
      </c>
      <c r="D3683" t="s">
        <v>19</v>
      </c>
      <c r="E3683">
        <v>75</v>
      </c>
      <c r="F3683">
        <v>59</v>
      </c>
      <c r="G3683">
        <v>3</v>
      </c>
      <c r="H3683" s="1">
        <v>5.2662037037037035E-3</v>
      </c>
      <c r="I3683" t="s">
        <v>23</v>
      </c>
      <c r="J3683" s="2" t="str">
        <f>HYPERLINK("https://www.nba.com/stats/events?CFID=&amp;CFPARAMS=&amp;GameEventID=355&amp;GameID=0042000224&amp;Season=2020-21&amp;flag=1&amp;title=Leonard%2013'%20pullup%20Jump%20Shot%20(21%20PTS)%20(N.%20Batum%204%20AST)", "13' pullup Jump Shot (21 PTS) (N. Batum 4 AST)")</f>
        <v>13' pullup Jump Shot (21 PTS) (N. Batum 4 AST)</v>
      </c>
      <c r="K3683" s="2" t="str">
        <f>HYPERLINK("https://www.nba.com/game/...-vs-...-0042000224/play-by-play?watchFullGame=true", "LAC vs UTA - Q3 07:35.00")</f>
        <v>LAC vs UTA - Q3 07:35.00</v>
      </c>
      <c r="L3683">
        <v>13.74</v>
      </c>
      <c r="M3683">
        <v>79.81</v>
      </c>
      <c r="N3683">
        <v>48.95</v>
      </c>
      <c r="O3683">
        <v>79</v>
      </c>
      <c r="P3683">
        <v>48</v>
      </c>
    </row>
    <row r="3684" spans="1:16" x14ac:dyDescent="0.25">
      <c r="A3684">
        <v>42000224</v>
      </c>
      <c r="B3684" t="s">
        <v>85</v>
      </c>
      <c r="C3684" t="s">
        <v>32</v>
      </c>
      <c r="D3684" t="s">
        <v>19</v>
      </c>
      <c r="E3684">
        <v>87</v>
      </c>
      <c r="F3684">
        <v>71</v>
      </c>
      <c r="G3684">
        <v>3</v>
      </c>
      <c r="H3684" s="1">
        <v>1.1458333333333333E-3</v>
      </c>
      <c r="I3684" t="s">
        <v>23</v>
      </c>
      <c r="J3684" s="2" t="str">
        <f>HYPERLINK("https://www.nba.com/stats/events?CFID=&amp;CFPARAMS=&amp;GameEventID=433&amp;GameID=0042000224&amp;Season=2020-21&amp;flag=1&amp;title=Leonard%2014'%20pullup%20Jump%20Shot%20(24%20PTS)", "14' pullup Jump Shot (24 PTS)")</f>
        <v>14' pullup Jump Shot (24 PTS)</v>
      </c>
      <c r="K3684" s="2" t="str">
        <f>HYPERLINK("https://www.nba.com/game/...-vs-...-0042000224/play-by-play?watchFullGame=true", "LAC vs UTA - Q3 01:39.00")</f>
        <v>LAC vs UTA - Q3 01:39.00</v>
      </c>
      <c r="L3684">
        <v>14.24</v>
      </c>
      <c r="M3684">
        <v>79.290000000000006</v>
      </c>
      <c r="N3684">
        <v>48.46</v>
      </c>
      <c r="O3684">
        <v>79</v>
      </c>
      <c r="P3684">
        <v>48</v>
      </c>
    </row>
    <row r="3685" spans="1:16" x14ac:dyDescent="0.25">
      <c r="A3685">
        <v>21500502</v>
      </c>
      <c r="B3685">
        <v>2015</v>
      </c>
      <c r="C3685" t="s">
        <v>32</v>
      </c>
      <c r="D3685" t="s">
        <v>29</v>
      </c>
      <c r="E3685">
        <v>39</v>
      </c>
      <c r="F3685">
        <v>37</v>
      </c>
      <c r="G3685">
        <v>2</v>
      </c>
      <c r="H3685" s="1">
        <v>4.6527777777777774E-3</v>
      </c>
      <c r="I3685" t="s">
        <v>18</v>
      </c>
      <c r="J3685" s="2" t="str">
        <f>HYPERLINK("https://www.nba.com/stats/events?CFID=&amp;CFPARAMS=&amp;GameEventID=191&amp;GameID=0021500502&amp;Season=2015-16&amp;flag=1&amp;title=Leonard%2012'%20Pullup%20Jump%20Shot%20(4%20PTS)%20(Diaw%201%20AST)", "Leonard 12' Pullup Jump Shot (4 PTS) (Diaw 1 AST)")</f>
        <v>Leonard 12' Pullup Jump Shot (4 PTS) (Diaw 1 AST)</v>
      </c>
      <c r="K3685" s="2" t="str">
        <f>HYPERLINK("https://www.nba.com/game/...-vs-...-0021500502/play-by-play?watchFullGame=true", "SAS vs HOU - Q2 06:42.00")</f>
        <v>SAS vs HOU - Q2 06:42.00</v>
      </c>
      <c r="L3685">
        <v>12</v>
      </c>
      <c r="M3685">
        <v>79</v>
      </c>
      <c r="N3685">
        <v>95</v>
      </c>
      <c r="O3685">
        <v>79</v>
      </c>
      <c r="P3685">
        <v>95</v>
      </c>
    </row>
    <row r="3686" spans="1:16" x14ac:dyDescent="0.25">
      <c r="A3686">
        <v>21900618</v>
      </c>
      <c r="B3686">
        <v>2019</v>
      </c>
      <c r="C3686" t="s">
        <v>32</v>
      </c>
      <c r="D3686" t="s">
        <v>22</v>
      </c>
      <c r="E3686">
        <v>32</v>
      </c>
      <c r="F3686">
        <v>24</v>
      </c>
      <c r="G3686">
        <v>1</v>
      </c>
      <c r="H3686" s="1">
        <v>2.2685185185185187E-3</v>
      </c>
      <c r="I3686" t="s">
        <v>23</v>
      </c>
      <c r="J3686" s="2" t="str">
        <f>HYPERLINK("https://www.nba.com/stats/events?CFID=&amp;CFPARAMS=&amp;GameEventID=96&amp;GameID=0021900618&amp;Season=2019-20&amp;flag=1&amp;title=Leonard%2018'%20jumpshot%20(14%20PTS)%20(L.%20Williams%201%20AST)", "18' jumpshot (14 PTS) (L. Williams 1 AST)")</f>
        <v>18' jumpshot (14 PTS) (L. Williams 1 AST)</v>
      </c>
      <c r="K3686" s="2" t="str">
        <f>HYPERLINK("https://www.nba.com/game/...-vs-...-0021900618/play-by-play?watchFullGame=true", "LAC vs ORL - Q1 03:16.00")</f>
        <v>LAC vs ORL - Q1 03:16.00</v>
      </c>
      <c r="L3686">
        <v>17.87</v>
      </c>
      <c r="M3686">
        <v>77.97</v>
      </c>
      <c r="N3686">
        <v>65.86</v>
      </c>
      <c r="O3686">
        <v>79</v>
      </c>
      <c r="P3686">
        <v>155</v>
      </c>
    </row>
    <row r="3687" spans="1:16" x14ac:dyDescent="0.25">
      <c r="A3687">
        <v>22000350</v>
      </c>
      <c r="B3687">
        <v>2020</v>
      </c>
      <c r="C3687" t="s">
        <v>32</v>
      </c>
      <c r="D3687" t="s">
        <v>19</v>
      </c>
      <c r="E3687">
        <v>58</v>
      </c>
      <c r="F3687">
        <v>42</v>
      </c>
      <c r="G3687">
        <v>2</v>
      </c>
      <c r="H3687" s="1">
        <v>1.8865740740740742E-3</v>
      </c>
      <c r="I3687" t="s">
        <v>23</v>
      </c>
      <c r="J3687" s="2" t="str">
        <f>HYPERLINK("https://www.nba.com/stats/events?CFID=&amp;CFPARAMS=&amp;GameEventID=275&amp;GameID=0022000350&amp;Season=2020-21&amp;flag=1&amp;title=Leonard%2018'%20Jump%20Shot%20(12%20PTS)", "18' Jump Shot (12 PTS)")</f>
        <v>18' Jump Shot (12 PTS)</v>
      </c>
      <c r="K3687" s="2" t="str">
        <f>HYPERLINK("https://www.nba.com/game/...-vs-...-0022000350/play-by-play?watchFullGame=true", "LAC vs BOS - Q2 02:43.00")</f>
        <v>LAC vs BOS - Q2 02:43.00</v>
      </c>
      <c r="L3687">
        <v>18.37</v>
      </c>
      <c r="M3687">
        <v>23.21</v>
      </c>
      <c r="N3687">
        <v>34.14</v>
      </c>
      <c r="O3687">
        <v>79</v>
      </c>
      <c r="P3687">
        <v>166</v>
      </c>
    </row>
    <row r="3688" spans="1:16" x14ac:dyDescent="0.25">
      <c r="A3688">
        <v>21600865</v>
      </c>
      <c r="B3688">
        <v>2016</v>
      </c>
      <c r="C3688" t="s">
        <v>32</v>
      </c>
      <c r="D3688" t="s">
        <v>19</v>
      </c>
      <c r="E3688">
        <v>42</v>
      </c>
      <c r="F3688">
        <v>49</v>
      </c>
      <c r="G3688">
        <v>3</v>
      </c>
      <c r="H3688" s="1">
        <v>7.4537037037037037E-3</v>
      </c>
      <c r="I3688" t="s">
        <v>18</v>
      </c>
      <c r="J3688" s="2" t="str">
        <f>HYPERLINK("https://www.nba.com/stats/events?CFID=&amp;CFPARAMS=&amp;GameEventID=264&amp;GameID=0021600865&amp;Season=2016-17&amp;flag=1&amp;title=Leonard%2021'%20Jump%20Shot%20(12%20PTS)%20(Dedmon%202%20AST)", "Leonard 21' Jump Shot (12 PTS) (Dedmon 2 AST)")</f>
        <v>Leonard 21' Jump Shot (12 PTS) (Dedmon 2 AST)</v>
      </c>
      <c r="K3688" s="2" t="str">
        <f>HYPERLINK("https://www.nba.com/game/...-vs-...-0021600865/play-by-play?watchFullGame=true", "SAS vs LAC - Q3 10:44.00")</f>
        <v>SAS vs LAC - Q3 10:44.00</v>
      </c>
      <c r="L3688">
        <v>21</v>
      </c>
      <c r="M3688">
        <v>79</v>
      </c>
      <c r="N3688">
        <v>195</v>
      </c>
      <c r="O3688">
        <v>79</v>
      </c>
      <c r="P3688">
        <v>195</v>
      </c>
    </row>
    <row r="3689" spans="1:16" x14ac:dyDescent="0.25">
      <c r="A3689">
        <v>21601151</v>
      </c>
      <c r="B3689">
        <v>2016</v>
      </c>
      <c r="C3689" t="s">
        <v>16</v>
      </c>
      <c r="D3689" t="s">
        <v>29</v>
      </c>
      <c r="E3689">
        <v>77</v>
      </c>
      <c r="F3689">
        <v>66</v>
      </c>
      <c r="G3689">
        <v>3</v>
      </c>
      <c r="H3689" s="1">
        <v>3.2291666666666666E-3</v>
      </c>
      <c r="I3689" t="s">
        <v>18</v>
      </c>
      <c r="J3689" s="2" t="str">
        <f>HYPERLINK("https://www.nba.com/stats/events?CFID=&amp;CFPARAMS=&amp;GameEventID=294&amp;GameID=0021601151&amp;Season=2016-17&amp;flag=1&amp;title=Leonard%2025'%203PT%20Pullup%20Jump%20Shot%20(19%20PTS)", "Leonard 25' 3PT Pullup Jump Shot (19 PTS)")</f>
        <v>Leonard 25' 3PT Pullup Jump Shot (19 PTS)</v>
      </c>
      <c r="K3689" s="2" t="str">
        <f>HYPERLINK("https://www.nba.com/game/...-vs-...-0021601151/play-by-play?watchFullGame=true", "SAS vs UTA - Q3 04:39.00")</f>
        <v>SAS vs UTA - Q3 04:39.00</v>
      </c>
      <c r="L3689">
        <v>25</v>
      </c>
      <c r="M3689">
        <v>79</v>
      </c>
      <c r="N3689">
        <v>237</v>
      </c>
      <c r="O3689">
        <v>79</v>
      </c>
      <c r="P3689">
        <v>237</v>
      </c>
    </row>
    <row r="3690" spans="1:16" x14ac:dyDescent="0.25">
      <c r="A3690">
        <v>21901307</v>
      </c>
      <c r="B3690">
        <v>2019</v>
      </c>
      <c r="C3690" t="s">
        <v>16</v>
      </c>
      <c r="D3690" t="s">
        <v>22</v>
      </c>
      <c r="E3690">
        <v>51</v>
      </c>
      <c r="F3690">
        <v>49</v>
      </c>
      <c r="G3690">
        <v>2</v>
      </c>
      <c r="H3690" s="1">
        <v>1.0879629629629629E-3</v>
      </c>
      <c r="I3690" t="s">
        <v>23</v>
      </c>
      <c r="J3690" s="2" t="str">
        <f>HYPERLINK("https://www.nba.com/stats/events?CFID=&amp;CFPARAMS=&amp;GameEventID=299&amp;GameID=0021901307&amp;Season=2019-20&amp;flag=1&amp;title=Leonard%2026'%203PT%20%20(14%20PTS)%20(L.%20Williams%202%20AST)", "26' 3PT  (14 PTS) (L. Williams 2 AST)")</f>
        <v>26' 3PT  (14 PTS) (L. Williams 2 AST)</v>
      </c>
      <c r="K3690" s="2" t="str">
        <f>HYPERLINK("https://www.nba.com/game/...-vs-...-0021901307/play-by-play?watchFullGame=true", "LAC vs DEN - Q2 01:34.00")</f>
        <v>LAC vs DEN - Q2 01:34.00</v>
      </c>
      <c r="L3690">
        <v>26.13</v>
      </c>
      <c r="M3690">
        <v>31.49</v>
      </c>
      <c r="N3690">
        <v>34.14</v>
      </c>
      <c r="O3690">
        <v>79</v>
      </c>
      <c r="P3690">
        <v>243</v>
      </c>
    </row>
    <row r="3691" spans="1:16" x14ac:dyDescent="0.25">
      <c r="A3691">
        <v>42200172</v>
      </c>
      <c r="B3691" t="s">
        <v>86</v>
      </c>
      <c r="C3691" t="s">
        <v>32</v>
      </c>
      <c r="D3691" t="s">
        <v>19</v>
      </c>
      <c r="E3691">
        <v>13</v>
      </c>
      <c r="F3691">
        <v>15</v>
      </c>
      <c r="G3691">
        <v>1</v>
      </c>
      <c r="H3691" s="1">
        <v>4.2824074074074075E-3</v>
      </c>
      <c r="I3691" t="s">
        <v>23</v>
      </c>
      <c r="J3691" s="2" t="str">
        <f>HYPERLINK("https://www.nba.com/stats/events?CFID=&amp;CFPARAMS=&amp;GameEventID=68&amp;GameID=0042200172&amp;Season=2022-23&amp;flag=1&amp;title=Leonard%2012'%20step%20back%20Jump%20Shot%20(2%20PTS)%20(E.%20Gordon%201%20AST)", "12' step back Jump Shot (2 PTS) (E. Gordon 1 AST)")</f>
        <v>12' step back Jump Shot (2 PTS) (E. Gordon 1 AST)</v>
      </c>
      <c r="K3691" s="2" t="str">
        <f>HYPERLINK("https://www.nba.com/game/...-vs-...-0042200172/play-by-play?watchFullGame=true", "LAC vs PHX - Q1 06:10.00")</f>
        <v>LAC vs PHX - Q1 06:10.00</v>
      </c>
      <c r="L3691">
        <v>12.84</v>
      </c>
      <c r="M3691">
        <v>80.77</v>
      </c>
      <c r="N3691">
        <v>48.77</v>
      </c>
      <c r="O3691">
        <v>80</v>
      </c>
      <c r="P3691">
        <v>48</v>
      </c>
    </row>
    <row r="3692" spans="1:16" x14ac:dyDescent="0.25">
      <c r="A3692">
        <v>22200408</v>
      </c>
      <c r="B3692">
        <v>2022</v>
      </c>
      <c r="C3692" t="s">
        <v>32</v>
      </c>
      <c r="D3692" t="s">
        <v>19</v>
      </c>
      <c r="E3692">
        <v>68</v>
      </c>
      <c r="F3692">
        <v>52</v>
      </c>
      <c r="G3692">
        <v>3</v>
      </c>
      <c r="H3692" s="1">
        <v>5.8101851851851856E-3</v>
      </c>
      <c r="I3692" t="s">
        <v>23</v>
      </c>
      <c r="J3692" s="2" t="str">
        <f>HYPERLINK("https://www.nba.com/stats/events?CFID=&amp;CFPARAMS=&amp;GameEventID=379&amp;GameID=0022200408&amp;Season=2022-23&amp;flag=1&amp;title=Leonard%2013'%20pullup%20Jump%20Shot%20(17%20PTS)", "13' pullup Jump Shot (17 PTS)")</f>
        <v>13' pullup Jump Shot (17 PTS)</v>
      </c>
      <c r="K3692" s="2" t="str">
        <f>HYPERLINK("https://www.nba.com/game/...-vs-...-0022200408/play-by-play?watchFullGame=true", "LAC vs BOS - Q3 08:22.00")</f>
        <v>LAC vs BOS - Q3 08:22.00</v>
      </c>
      <c r="L3692">
        <v>13.37</v>
      </c>
      <c r="M3692">
        <v>17</v>
      </c>
      <c r="N3692">
        <v>34.07</v>
      </c>
      <c r="O3692">
        <v>80</v>
      </c>
      <c r="P3692">
        <v>107</v>
      </c>
    </row>
    <row r="3693" spans="1:16" x14ac:dyDescent="0.25">
      <c r="A3693">
        <v>22000224</v>
      </c>
      <c r="B3693">
        <v>2020</v>
      </c>
      <c r="C3693" t="s">
        <v>16</v>
      </c>
      <c r="D3693" t="s">
        <v>19</v>
      </c>
      <c r="E3693">
        <v>48</v>
      </c>
      <c r="F3693">
        <v>43</v>
      </c>
      <c r="G3693">
        <v>2</v>
      </c>
      <c r="H3693" s="1">
        <v>3.3101851851851851E-3</v>
      </c>
      <c r="I3693" t="s">
        <v>23</v>
      </c>
      <c r="J3693" s="2" t="str">
        <f>HYPERLINK("https://www.nba.com/stats/events?CFID=&amp;CFPARAMS=&amp;GameEventID=254&amp;GameID=0022000224&amp;Season=2020-21&amp;flag=1&amp;title=Leonard%2025'%203PT%20pullup%20(13%20PTS)", "25' 3PT pullup (13 PTS)")</f>
        <v>25' 3PT pullup (13 PTS)</v>
      </c>
      <c r="K3693" s="2" t="str">
        <f>HYPERLINK("https://www.nba.com/game/...-vs-...-0022000224/play-by-play?watchFullGame=true", "LAC vs SAC - Q2 04:46.00")</f>
        <v>LAC vs SAC - Q2 04:46.00</v>
      </c>
      <c r="L3693">
        <v>25.48</v>
      </c>
      <c r="M3693">
        <v>68.680000000000007</v>
      </c>
      <c r="N3693">
        <v>66</v>
      </c>
      <c r="O3693">
        <v>80</v>
      </c>
      <c r="P3693">
        <v>242</v>
      </c>
    </row>
    <row r="3694" spans="1:16" x14ac:dyDescent="0.25">
      <c r="A3694">
        <v>21300082</v>
      </c>
      <c r="B3694">
        <v>2013</v>
      </c>
      <c r="C3694" t="s">
        <v>16</v>
      </c>
      <c r="D3694" t="s">
        <v>19</v>
      </c>
      <c r="E3694">
        <v>5</v>
      </c>
      <c r="F3694">
        <v>0</v>
      </c>
      <c r="G3694">
        <v>1</v>
      </c>
      <c r="H3694" s="1">
        <v>7.5925925925925926E-3</v>
      </c>
      <c r="I3694" t="s">
        <v>18</v>
      </c>
      <c r="J3694" s="2" t="str">
        <f>HYPERLINK("https://www.nba.com/stats/events?CFID=&amp;CFPARAMS=&amp;GameEventID=8&amp;GameID=0021300082&amp;Season=2013-14&amp;flag=1&amp;title=Leonard%2026'%203PT%20Jump%20Shot%20(3%20PTS)%20(Duncan%201%20AST)", "Leonard 26' 3PT Jump Shot (3 PTS) (Duncan 1 AST)")</f>
        <v>Leonard 26' 3PT Jump Shot (3 PTS) (Duncan 1 AST)</v>
      </c>
      <c r="K3694" s="2" t="str">
        <f>HYPERLINK("https://www.nba.com/game/...-vs-...-0021300082/play-by-play?watchFullGame=true", "SAS vs GSW - Q1 10:56.00")</f>
        <v>SAS vs GSW - Q1 10:56.00</v>
      </c>
      <c r="L3694">
        <v>26</v>
      </c>
      <c r="M3694">
        <v>80</v>
      </c>
      <c r="N3694">
        <v>250</v>
      </c>
      <c r="O3694">
        <v>80</v>
      </c>
      <c r="P3694">
        <v>250</v>
      </c>
    </row>
    <row r="3695" spans="1:16" x14ac:dyDescent="0.25">
      <c r="A3695">
        <v>22400911</v>
      </c>
      <c r="B3695">
        <v>2024</v>
      </c>
      <c r="C3695" t="s">
        <v>16</v>
      </c>
      <c r="D3695" t="s">
        <v>19</v>
      </c>
      <c r="E3695">
        <v>42</v>
      </c>
      <c r="F3695">
        <v>45</v>
      </c>
      <c r="G3695">
        <v>2</v>
      </c>
      <c r="H3695" s="1">
        <v>3.7499999999999999E-3</v>
      </c>
      <c r="I3695" t="s">
        <v>23</v>
      </c>
      <c r="J3695" s="2" t="str">
        <f>HYPERLINK("https://www.nba.com/stats/events?CFID=&amp;CFPARAMS=&amp;GameEventID=226&amp;GameID=0022400911&amp;Season=2024-25&amp;flag=1&amp;title=Leonard%2026'%203PT%20running%20(5%20PTS)%20(J.%20Harden%205%20AST)", "26' 3PT running (5 PTS) (J. Harden 5 AST)")</f>
        <v>26' 3PT running (5 PTS) (J. Harden 5 AST)</v>
      </c>
      <c r="K3695" s="2" t="str">
        <f>HYPERLINK("https://www.nba.com/game/...-vs-...-0022400911/play-by-play?watchFullGame=true", "LAC vs NYK - Q2 05:24.00")</f>
        <v>LAC vs NYK - Q2 05:24.00</v>
      </c>
      <c r="L3695">
        <v>26.76</v>
      </c>
      <c r="M3695">
        <v>67.23</v>
      </c>
      <c r="N3695">
        <v>65.930000000000007</v>
      </c>
      <c r="O3695">
        <v>80</v>
      </c>
      <c r="P3695">
        <v>256</v>
      </c>
    </row>
    <row r="3696" spans="1:16" x14ac:dyDescent="0.25">
      <c r="A3696">
        <v>21900157</v>
      </c>
      <c r="B3696">
        <v>2019</v>
      </c>
      <c r="C3696" t="s">
        <v>16</v>
      </c>
      <c r="D3696" t="s">
        <v>22</v>
      </c>
      <c r="E3696">
        <v>74</v>
      </c>
      <c r="F3696">
        <v>68</v>
      </c>
      <c r="G3696">
        <v>3</v>
      </c>
      <c r="H3696" s="1">
        <v>4.6296296296296296E-6</v>
      </c>
      <c r="I3696" t="s">
        <v>23</v>
      </c>
      <c r="J3696" s="2" t="str">
        <f>HYPERLINK("https://www.nba.com/stats/events?CFID=&amp;CFPARAMS=&amp;GameEventID=509&amp;GameID=0021900157&amp;Season=2019-20&amp;flag=1&amp;title=Leonard%2030'%203PT%20%20(19%20PTS)", "30' 3PT  (19 PTS)")</f>
        <v>30' 3PT  (19 PTS)</v>
      </c>
      <c r="K3696" s="2" t="str">
        <f>HYPERLINK("https://www.nba.com/game/...-vs-...-0021900157/play-by-play?watchFullGame=true", "LAC vs HOU - Q3 00:00.40")</f>
        <v>LAC vs HOU - Q3 00:00.40</v>
      </c>
      <c r="L3696">
        <v>29.79</v>
      </c>
      <c r="M3696">
        <v>35.53</v>
      </c>
      <c r="N3696">
        <v>34</v>
      </c>
      <c r="O3696">
        <v>80</v>
      </c>
      <c r="P3696">
        <v>281</v>
      </c>
    </row>
    <row r="3697" spans="1:16" x14ac:dyDescent="0.25">
      <c r="A3697">
        <v>21500439</v>
      </c>
      <c r="B3697">
        <v>2015</v>
      </c>
      <c r="C3697" t="s">
        <v>32</v>
      </c>
      <c r="D3697" t="s">
        <v>37</v>
      </c>
      <c r="E3697">
        <v>57</v>
      </c>
      <c r="F3697">
        <v>56</v>
      </c>
      <c r="G3697">
        <v>3</v>
      </c>
      <c r="H3697" s="1">
        <v>2.8356481481481483E-3</v>
      </c>
      <c r="I3697" t="s">
        <v>18</v>
      </c>
      <c r="J3697" s="2" t="str">
        <f>HYPERLINK("https://www.nba.com/stats/events?CFID=&amp;CFPARAMS=&amp;GameEventID=326&amp;GameID=0021500439&amp;Season=2015-16&amp;flag=1&amp;title=Leonard%209'%20Floating%20Jump%20Shot%20(15%20PTS)%20(Diaw%201%20AST)", "Leonard 9' Floating Jump Shot (15 PTS) (Diaw 1 AST)")</f>
        <v>Leonard 9' Floating Jump Shot (15 PTS) (Diaw 1 AST)</v>
      </c>
      <c r="K3697" s="2" t="str">
        <f>HYPERLINK("https://www.nba.com/game/...-vs-...-0021500439/play-by-play?watchFullGame=true", "SAS vs HOU - Q3 04:05.00")</f>
        <v>SAS vs HOU - Q3 04:05.00</v>
      </c>
      <c r="L3697">
        <v>9</v>
      </c>
      <c r="M3697">
        <v>81</v>
      </c>
      <c r="N3697">
        <v>26</v>
      </c>
      <c r="O3697">
        <v>81</v>
      </c>
      <c r="P3697">
        <v>26</v>
      </c>
    </row>
    <row r="3698" spans="1:16" x14ac:dyDescent="0.25">
      <c r="A3698">
        <v>42000175</v>
      </c>
      <c r="B3698" t="s">
        <v>83</v>
      </c>
      <c r="C3698" t="s">
        <v>32</v>
      </c>
      <c r="D3698" t="s">
        <v>19</v>
      </c>
      <c r="E3698">
        <v>46</v>
      </c>
      <c r="F3698">
        <v>46</v>
      </c>
      <c r="G3698">
        <v>2</v>
      </c>
      <c r="H3698" s="1">
        <v>3.8425925925925928E-3</v>
      </c>
      <c r="I3698" t="s">
        <v>23</v>
      </c>
      <c r="J3698" s="2" t="str">
        <f>HYPERLINK("https://www.nba.com/stats/events?CFID=&amp;CFPARAMS=&amp;GameEventID=264&amp;GameID=0042000175&amp;Season=2020-21&amp;flag=1&amp;title=Leonard%2013'%20pullup%20Jump%20Shot%20(8%20PTS)", "13' pullup Jump Shot (8 PTS)")</f>
        <v>13' pullup Jump Shot (8 PTS)</v>
      </c>
      <c r="K3698" s="2" t="str">
        <f>HYPERLINK("https://www.nba.com/game/...-vs-...-0042000175/play-by-play?watchFullGame=true", "LAC vs DAL - Q2 05:32.00")</f>
        <v>LAC vs DAL - Q2 05:32.00</v>
      </c>
      <c r="L3698">
        <v>13.36</v>
      </c>
      <c r="M3698">
        <v>81.03</v>
      </c>
      <c r="N3698">
        <v>41</v>
      </c>
      <c r="O3698">
        <v>81</v>
      </c>
      <c r="P3698">
        <v>41</v>
      </c>
    </row>
    <row r="3699" spans="1:16" x14ac:dyDescent="0.25">
      <c r="A3699">
        <v>21600213</v>
      </c>
      <c r="B3699">
        <v>2016</v>
      </c>
      <c r="C3699" t="s">
        <v>32</v>
      </c>
      <c r="D3699" t="s">
        <v>34</v>
      </c>
      <c r="E3699">
        <v>43</v>
      </c>
      <c r="F3699">
        <v>42</v>
      </c>
      <c r="G3699">
        <v>2</v>
      </c>
      <c r="H3699" s="1">
        <v>4.2824074074074075E-3</v>
      </c>
      <c r="I3699" t="s">
        <v>18</v>
      </c>
      <c r="J3699" s="2" t="str">
        <f>HYPERLINK("https://www.nba.com/stats/events?CFID=&amp;CFPARAMS=&amp;GameEventID=171&amp;GameID=0021600213&amp;Season=2016-17&amp;flag=1&amp;title=Leonard%209'%20Turnaround%20Fadeaway%20(10%20PTS)", "Leonard 9' Turnaround Fadeaway (10 PTS)")</f>
        <v>Leonard 9' Turnaround Fadeaway (10 PTS)</v>
      </c>
      <c r="K3699" s="2" t="str">
        <f>HYPERLINK("https://www.nba.com/game/...-vs-...-0021600213/play-by-play?watchFullGame=true", "SAS vs CHA - Q2 06:10.00")</f>
        <v>SAS vs CHA - Q2 06:10.00</v>
      </c>
      <c r="L3699">
        <v>9</v>
      </c>
      <c r="M3699">
        <v>81</v>
      </c>
      <c r="N3699">
        <v>46</v>
      </c>
      <c r="O3699">
        <v>81</v>
      </c>
      <c r="P3699">
        <v>46</v>
      </c>
    </row>
    <row r="3700" spans="1:16" x14ac:dyDescent="0.25">
      <c r="A3700">
        <v>21600625</v>
      </c>
      <c r="B3700">
        <v>2016</v>
      </c>
      <c r="C3700" t="s">
        <v>32</v>
      </c>
      <c r="D3700" t="s">
        <v>29</v>
      </c>
      <c r="E3700">
        <v>20</v>
      </c>
      <c r="F3700">
        <v>18</v>
      </c>
      <c r="G3700">
        <v>1</v>
      </c>
      <c r="H3700" s="1">
        <v>2.0023148148148148E-3</v>
      </c>
      <c r="I3700" t="s">
        <v>18</v>
      </c>
      <c r="J3700" s="2" t="str">
        <f>HYPERLINK("https://www.nba.com/stats/events?CFID=&amp;CFPARAMS=&amp;GameEventID=84&amp;GameID=0021600625&amp;Season=2016-17&amp;flag=1&amp;title=Leonard%209'%20Pullup%20Jump%20Shot%20(4%20PTS)", "Leonard 9' Pullup Jump Shot (4 PTS)")</f>
        <v>Leonard 9' Pullup Jump Shot (4 PTS)</v>
      </c>
      <c r="K3700" s="2" t="str">
        <f>HYPERLINK("https://www.nba.com/game/...-vs-...-0021600625/play-by-play?watchFullGame=true", "SAS vs MIN - Q1 02:53.00")</f>
        <v>SAS vs MIN - Q1 02:53.00</v>
      </c>
      <c r="L3700">
        <v>9</v>
      </c>
      <c r="M3700">
        <v>81</v>
      </c>
      <c r="N3700">
        <v>47</v>
      </c>
      <c r="O3700">
        <v>81</v>
      </c>
      <c r="P3700">
        <v>47</v>
      </c>
    </row>
    <row r="3701" spans="1:16" x14ac:dyDescent="0.25">
      <c r="A3701">
        <v>42000177</v>
      </c>
      <c r="B3701" t="s">
        <v>83</v>
      </c>
      <c r="C3701" t="s">
        <v>32</v>
      </c>
      <c r="D3701" t="s">
        <v>19</v>
      </c>
      <c r="E3701">
        <v>8</v>
      </c>
      <c r="F3701">
        <v>7</v>
      </c>
      <c r="G3701">
        <v>1</v>
      </c>
      <c r="H3701" s="1">
        <v>6.3657407407407404E-3</v>
      </c>
      <c r="I3701" t="s">
        <v>23</v>
      </c>
      <c r="J3701" s="2" t="str">
        <f>HYPERLINK("https://www.nba.com/stats/events?CFID=&amp;CFPARAMS=&amp;GameEventID=33&amp;GameID=0042000177&amp;Season=2020-21&amp;flag=1&amp;title=Leonard%2015'%20pullup%20Jump%20Shot%20(4%20PTS)", "15' pullup Jump Shot (4 PTS)")</f>
        <v>15' pullup Jump Shot (4 PTS)</v>
      </c>
      <c r="K3701" s="2" t="str">
        <f>HYPERLINK("https://www.nba.com/game/...-vs-...-0042000177/play-by-play?watchFullGame=true", "LAC vs DAL - Q1 09:10.00")</f>
        <v>LAC vs DAL - Q1 09:10.00</v>
      </c>
      <c r="L3701">
        <v>15.4</v>
      </c>
      <c r="M3701">
        <v>81.819999999999993</v>
      </c>
      <c r="N3701">
        <v>69.680000000000007</v>
      </c>
      <c r="O3701">
        <v>81</v>
      </c>
      <c r="P3701">
        <v>69</v>
      </c>
    </row>
    <row r="3702" spans="1:16" x14ac:dyDescent="0.25">
      <c r="A3702">
        <v>22400783</v>
      </c>
      <c r="B3702">
        <v>2024</v>
      </c>
      <c r="C3702" t="s">
        <v>32</v>
      </c>
      <c r="D3702" t="s">
        <v>19</v>
      </c>
      <c r="E3702">
        <v>68</v>
      </c>
      <c r="F3702">
        <v>63</v>
      </c>
      <c r="G3702">
        <v>3</v>
      </c>
      <c r="H3702" s="1">
        <v>8.1365740740740738E-3</v>
      </c>
      <c r="I3702" t="s">
        <v>23</v>
      </c>
      <c r="J3702" s="2" t="str">
        <f>HYPERLINK("https://www.nba.com/stats/events?CFID=&amp;CFPARAMS=&amp;GameEventID=360&amp;GameID=0022400783&amp;Season=2024-25&amp;flag=1&amp;title=Leonard%2012'%20turnaround%20fadeaway%20Jump%20Shot%20(16%20PTS)", "12' turnaround fadeaway Jump Shot (16 PTS)")</f>
        <v>12' turnaround fadeaway Jump Shot (16 PTS)</v>
      </c>
      <c r="K3702" s="2" t="str">
        <f>HYPERLINK("https://www.nba.com/game/...-vs-...-0022400783/play-by-play?watchFullGame=true", "LAC vs MEM - Q3 11:43.00")</f>
        <v>LAC vs MEM - Q3 11:43.00</v>
      </c>
      <c r="L3702">
        <v>12</v>
      </c>
      <c r="M3702">
        <v>85.02</v>
      </c>
      <c r="N3702">
        <v>66.25</v>
      </c>
      <c r="O3702">
        <v>81</v>
      </c>
      <c r="P3702">
        <v>88</v>
      </c>
    </row>
    <row r="3703" spans="1:16" x14ac:dyDescent="0.25">
      <c r="A3703">
        <v>22201082</v>
      </c>
      <c r="B3703">
        <v>2022</v>
      </c>
      <c r="C3703" t="s">
        <v>32</v>
      </c>
      <c r="D3703" t="s">
        <v>19</v>
      </c>
      <c r="E3703">
        <v>91</v>
      </c>
      <c r="F3703">
        <v>89</v>
      </c>
      <c r="G3703">
        <v>4</v>
      </c>
      <c r="H3703" s="1">
        <v>4.1319444444444442E-3</v>
      </c>
      <c r="I3703" t="s">
        <v>23</v>
      </c>
      <c r="J3703" s="2" t="str">
        <f>HYPERLINK("https://www.nba.com/stats/events?CFID=&amp;CFPARAMS=&amp;GameEventID=584&amp;GameID=0022201082&amp;Season=2022-23&amp;flag=1&amp;title=Leonard%2013'%20turnaround%20fadeaway%20Jump%20Shot%20(19%20PTS)", "13' turnaround fadeaway Jump Shot (19 PTS)")</f>
        <v>13' turnaround fadeaway Jump Shot (19 PTS)</v>
      </c>
      <c r="K3703" s="2" t="str">
        <f>HYPERLINK("https://www.nba.com/game/...-vs-...-0022201082/play-by-play?watchFullGame=true", "LAC vs OKC - Q4 05:57.00")</f>
        <v>LAC vs OKC - Q4 05:57.00</v>
      </c>
      <c r="L3703">
        <v>13.94</v>
      </c>
      <c r="M3703">
        <v>17.66</v>
      </c>
      <c r="N3703">
        <v>33.82</v>
      </c>
      <c r="O3703">
        <v>81</v>
      </c>
      <c r="P3703">
        <v>113</v>
      </c>
    </row>
    <row r="3704" spans="1:16" x14ac:dyDescent="0.25">
      <c r="A3704">
        <v>21400102</v>
      </c>
      <c r="B3704">
        <v>2014</v>
      </c>
      <c r="C3704" t="s">
        <v>32</v>
      </c>
      <c r="D3704" t="s">
        <v>29</v>
      </c>
      <c r="E3704">
        <v>10</v>
      </c>
      <c r="F3704">
        <v>8</v>
      </c>
      <c r="G3704">
        <v>1</v>
      </c>
      <c r="H3704" s="1">
        <v>4.2824074074074075E-3</v>
      </c>
      <c r="I3704" t="s">
        <v>18</v>
      </c>
      <c r="J3704" s="2" t="str">
        <f>HYPERLINK("https://www.nba.com/stats/events?CFID=&amp;CFPARAMS=&amp;GameEventID=46&amp;GameID=0021400102&amp;Season=2014-15&amp;flag=1&amp;title=Leonard%2015'%20Pullup%20Jump%20Shot%20(6%20PTS)", "Leonard 15' Pullup Jump Shot (6 PTS)")</f>
        <v>Leonard 15' Pullup Jump Shot (6 PTS)</v>
      </c>
      <c r="K3704" s="2" t="str">
        <f>HYPERLINK("https://www.nba.com/game/...-vs-...-0021400102/play-by-play?watchFullGame=true", "SAS vs LAC - Q1 06:10.00")</f>
        <v>SAS vs LAC - Q1 06:10.00</v>
      </c>
      <c r="L3704">
        <v>15</v>
      </c>
      <c r="M3704">
        <v>81</v>
      </c>
      <c r="N3704">
        <v>121</v>
      </c>
      <c r="O3704">
        <v>81</v>
      </c>
      <c r="P3704">
        <v>121</v>
      </c>
    </row>
    <row r="3705" spans="1:16" x14ac:dyDescent="0.25">
      <c r="A3705">
        <v>22000116</v>
      </c>
      <c r="B3705">
        <v>2020</v>
      </c>
      <c r="C3705" t="s">
        <v>32</v>
      </c>
      <c r="D3705" t="s">
        <v>19</v>
      </c>
      <c r="E3705">
        <v>64</v>
      </c>
      <c r="F3705">
        <v>68</v>
      </c>
      <c r="G3705">
        <v>3</v>
      </c>
      <c r="H3705" s="1">
        <v>3.9814814814814817E-3</v>
      </c>
      <c r="I3705" t="s">
        <v>23</v>
      </c>
      <c r="J3705" s="2" t="str">
        <f>HYPERLINK("https://www.nba.com/stats/events?CFID=&amp;CFPARAMS=&amp;GameEventID=422&amp;GameID=0022000116&amp;Season=2020-21&amp;flag=1&amp;title=Leonard%2014'%20pullup%20Jump%20Shot%20(13%20PTS)", "14' pullup Jump Shot (13 PTS)")</f>
        <v>14' pullup Jump Shot (13 PTS)</v>
      </c>
      <c r="K3705" s="2" t="str">
        <f>HYPERLINK("https://www.nba.com/game/...-vs-...-0022000116/play-by-play?watchFullGame=true", "LAC vs GSW - Q3 05:44.00")</f>
        <v>LAC vs GSW - Q3 05:44.00</v>
      </c>
      <c r="L3705">
        <v>14.66</v>
      </c>
      <c r="M3705">
        <v>81.42</v>
      </c>
      <c r="N3705">
        <v>66.25</v>
      </c>
      <c r="O3705">
        <v>81</v>
      </c>
      <c r="P3705">
        <v>122</v>
      </c>
    </row>
    <row r="3706" spans="1:16" x14ac:dyDescent="0.25">
      <c r="A3706">
        <v>21600925</v>
      </c>
      <c r="B3706">
        <v>2016</v>
      </c>
      <c r="C3706" t="s">
        <v>32</v>
      </c>
      <c r="D3706" t="s">
        <v>24</v>
      </c>
      <c r="E3706">
        <v>30</v>
      </c>
      <c r="F3706">
        <v>43</v>
      </c>
      <c r="G3706">
        <v>2</v>
      </c>
      <c r="H3706" s="1">
        <v>4.0740740740740737E-3</v>
      </c>
      <c r="I3706" t="s">
        <v>18</v>
      </c>
      <c r="J3706" s="2" t="str">
        <f>HYPERLINK("https://www.nba.com/stats/events?CFID=&amp;CFPARAMS=&amp;GameEventID=205&amp;GameID=0021600925&amp;Season=2016-17&amp;flag=1&amp;title=Leonard%2015'%20Turnaround%20Jump%20Shot%20(8%20PTS)", "Leonard 15' Turnaround Jump Shot (8 PTS)")</f>
        <v>Leonard 15' Turnaround Jump Shot (8 PTS)</v>
      </c>
      <c r="K3706" s="2" t="str">
        <f>HYPERLINK("https://www.nba.com/game/...-vs-...-0021600925/play-by-play?watchFullGame=true", "SAS vs MIN - Q2 05:52.00")</f>
        <v>SAS vs MIN - Q2 05:52.00</v>
      </c>
      <c r="L3706">
        <v>15</v>
      </c>
      <c r="M3706">
        <v>81</v>
      </c>
      <c r="N3706">
        <v>129</v>
      </c>
      <c r="O3706">
        <v>81</v>
      </c>
      <c r="P3706">
        <v>129</v>
      </c>
    </row>
    <row r="3707" spans="1:16" x14ac:dyDescent="0.25">
      <c r="A3707">
        <v>22300037</v>
      </c>
      <c r="B3707">
        <v>2023</v>
      </c>
      <c r="C3707" t="s">
        <v>32</v>
      </c>
      <c r="D3707" t="s">
        <v>19</v>
      </c>
      <c r="E3707">
        <v>84</v>
      </c>
      <c r="F3707">
        <v>90</v>
      </c>
      <c r="G3707">
        <v>4</v>
      </c>
      <c r="H3707" s="1">
        <v>5.9837962962962961E-3</v>
      </c>
      <c r="I3707" t="s">
        <v>23</v>
      </c>
      <c r="J3707" s="2" t="str">
        <f>HYPERLINK("https://www.nba.com/stats/events?CFID=&amp;CFPARAMS=&amp;GameEventID=574&amp;GameID=0022300037&amp;Season=2023-24&amp;flag=1&amp;title=Leonard%2015'%20pullup%20Jump%20Shot%20(22%20PTS)", "15' pullup Jump Shot (22 PTS)")</f>
        <v>15' pullup Jump Shot (22 PTS)</v>
      </c>
      <c r="K3707" s="2" t="str">
        <f>HYPERLINK("https://www.nba.com/game/...-vs-...-0022300037/play-by-play?watchFullGame=true", "LAC vs HOU - Q4 08:37.00")</f>
        <v>LAC vs HOU - Q4 08:37.00</v>
      </c>
      <c r="L3707">
        <v>15.29</v>
      </c>
      <c r="M3707">
        <v>80.599999999999994</v>
      </c>
      <c r="N3707">
        <v>66.180000000000007</v>
      </c>
      <c r="O3707">
        <v>81</v>
      </c>
      <c r="P3707">
        <v>130</v>
      </c>
    </row>
    <row r="3708" spans="1:16" x14ac:dyDescent="0.25">
      <c r="A3708">
        <v>21501118</v>
      </c>
      <c r="B3708">
        <v>2015</v>
      </c>
      <c r="C3708" t="s">
        <v>32</v>
      </c>
      <c r="D3708" t="s">
        <v>19</v>
      </c>
      <c r="E3708">
        <v>48</v>
      </c>
      <c r="F3708">
        <v>41</v>
      </c>
      <c r="G3708">
        <v>3</v>
      </c>
      <c r="H3708" s="1">
        <v>7.3148148148148148E-3</v>
      </c>
      <c r="I3708" t="s">
        <v>18</v>
      </c>
      <c r="J3708" s="2" t="str">
        <f>HYPERLINK("https://www.nba.com/stats/events?CFID=&amp;CFPARAMS=&amp;GameEventID=253&amp;GameID=0021501118&amp;Season=2015-16&amp;flag=1&amp;title=Leonard%2016'%20Jump%20Shot%20(16%20PTS)%20(Parker%204%20AST)", "Leonard 16' Jump Shot (16 PTS) (Parker 4 AST)")</f>
        <v>Leonard 16' Jump Shot (16 PTS) (Parker 4 AST)</v>
      </c>
      <c r="K3708" s="2" t="str">
        <f>HYPERLINK("https://www.nba.com/game/...-vs-...-0021501118/play-by-play?watchFullGame=true", "SAS vs NOP - Q3 10:32.00")</f>
        <v>SAS vs NOP - Q3 10:32.00</v>
      </c>
      <c r="L3708">
        <v>16</v>
      </c>
      <c r="M3708">
        <v>81</v>
      </c>
      <c r="N3708">
        <v>139</v>
      </c>
      <c r="O3708">
        <v>81</v>
      </c>
      <c r="P3708">
        <v>139</v>
      </c>
    </row>
    <row r="3709" spans="1:16" x14ac:dyDescent="0.25">
      <c r="A3709">
        <v>22300964</v>
      </c>
      <c r="B3709">
        <v>2023</v>
      </c>
      <c r="C3709" t="s">
        <v>32</v>
      </c>
      <c r="D3709" t="s">
        <v>19</v>
      </c>
      <c r="E3709">
        <v>44</v>
      </c>
      <c r="F3709">
        <v>40</v>
      </c>
      <c r="G3709">
        <v>2</v>
      </c>
      <c r="H3709" s="1">
        <v>1.6550925925925926E-3</v>
      </c>
      <c r="I3709" t="s">
        <v>23</v>
      </c>
      <c r="J3709" s="2" t="str">
        <f>HYPERLINK("https://www.nba.com/stats/events?CFID=&amp;CFPARAMS=&amp;GameEventID=271&amp;GameID=0022300964&amp;Season=2023-24&amp;flag=1&amp;title=Leonard%2019'%20pullup%20Jump%20Shot%20(11%20PTS)", "19' pullup Jump Shot (11 PTS)")</f>
        <v>19' pullup Jump Shot (11 PTS)</v>
      </c>
      <c r="K3709" s="2" t="str">
        <f>HYPERLINK("https://www.nba.com/game/...-vs-...-0022300964/play-by-play?watchFullGame=true", "LAC vs NOP - Q2 02:23.00")</f>
        <v>LAC vs NOP - Q2 02:23.00</v>
      </c>
      <c r="L3709">
        <v>19.079999999999998</v>
      </c>
      <c r="M3709">
        <v>76.03</v>
      </c>
      <c r="N3709">
        <v>66.180000000000007</v>
      </c>
      <c r="O3709">
        <v>81</v>
      </c>
      <c r="P3709">
        <v>173</v>
      </c>
    </row>
    <row r="3710" spans="1:16" x14ac:dyDescent="0.25">
      <c r="A3710">
        <v>41800401</v>
      </c>
      <c r="B3710" t="s">
        <v>20</v>
      </c>
      <c r="C3710" t="s">
        <v>16</v>
      </c>
      <c r="D3710" t="s">
        <v>29</v>
      </c>
      <c r="E3710">
        <v>6</v>
      </c>
      <c r="F3710">
        <v>4</v>
      </c>
      <c r="G3710">
        <v>1</v>
      </c>
      <c r="H3710" s="1">
        <v>7.1180555555555554E-3</v>
      </c>
      <c r="I3710" t="s">
        <v>21</v>
      </c>
      <c r="J3710" s="2" t="str">
        <f>HYPERLINK("https://www.nba.com/stats/events?CFID=&amp;CFPARAMS=&amp;GameEventID=24&amp;GameID=0041800401&amp;Season=2018-19&amp;flag=1&amp;title=Leonard%2026'%203PT%20Pullup%20Jump%20Shot%20(3%20PTS)", "Leonard 26' 3PT Pullup Jump Shot (3 PTS)")</f>
        <v>Leonard 26' 3PT Pullup Jump Shot (3 PTS)</v>
      </c>
      <c r="K3710" s="2" t="str">
        <f>HYPERLINK("https://www.nba.com/game/...-vs-...-0041800401/play-by-play?watchFullGame=true", "TOR vs GSW - Q1 10:15.00")</f>
        <v>TOR vs GSW - Q1 10:15.00</v>
      </c>
      <c r="L3710">
        <v>26</v>
      </c>
      <c r="M3710">
        <v>81</v>
      </c>
      <c r="N3710">
        <v>247</v>
      </c>
      <c r="O3710">
        <v>81</v>
      </c>
      <c r="P3710">
        <v>247</v>
      </c>
    </row>
    <row r="3711" spans="1:16" x14ac:dyDescent="0.25">
      <c r="A3711">
        <v>41600154</v>
      </c>
      <c r="B3711" t="s">
        <v>30</v>
      </c>
      <c r="C3711" t="s">
        <v>16</v>
      </c>
      <c r="D3711" t="s">
        <v>19</v>
      </c>
      <c r="E3711">
        <v>88</v>
      </c>
      <c r="F3711">
        <v>91</v>
      </c>
      <c r="G3711">
        <v>4</v>
      </c>
      <c r="H3711" s="1">
        <v>1.724537037037037E-3</v>
      </c>
      <c r="I3711" t="s">
        <v>18</v>
      </c>
      <c r="J3711" s="2" t="str">
        <f>HYPERLINK("https://www.nba.com/stats/events?CFID=&amp;CFPARAMS=&amp;GameEventID=477&amp;GameID=0041600154&amp;Season=2016-17&amp;flag=1&amp;title=Leonard%2026'%203PT%20Jump%20Shot%20(30%20PTS)", "Leonard 26' 3PT Jump Shot (30 PTS)")</f>
        <v>Leonard 26' 3PT Jump Shot (30 PTS)</v>
      </c>
      <c r="K3711" s="2" t="str">
        <f>HYPERLINK("https://www.nba.com/game/...-vs-...-0041600154/play-by-play?watchFullGame=true", "SAS vs MEM - Q4 02:29.00")</f>
        <v>SAS vs MEM - Q4 02:29.00</v>
      </c>
      <c r="L3711">
        <v>26</v>
      </c>
      <c r="M3711">
        <v>81</v>
      </c>
      <c r="N3711">
        <v>247</v>
      </c>
      <c r="O3711">
        <v>81</v>
      </c>
      <c r="P3711">
        <v>247</v>
      </c>
    </row>
    <row r="3712" spans="1:16" x14ac:dyDescent="0.25">
      <c r="A3712">
        <v>41800305</v>
      </c>
      <c r="B3712" t="s">
        <v>20</v>
      </c>
      <c r="C3712" t="s">
        <v>16</v>
      </c>
      <c r="D3712" t="s">
        <v>31</v>
      </c>
      <c r="E3712">
        <v>81</v>
      </c>
      <c r="F3712">
        <v>85</v>
      </c>
      <c r="G3712">
        <v>4</v>
      </c>
      <c r="H3712" s="1">
        <v>5.5208333333333333E-3</v>
      </c>
      <c r="I3712" t="s">
        <v>21</v>
      </c>
      <c r="J3712" s="2" t="str">
        <f>HYPERLINK("https://www.nba.com/stats/events?CFID=&amp;CFPARAMS=&amp;GameEventID=530&amp;GameID=0041800305&amp;Season=2018-19&amp;flag=1&amp;title=Leonard%2027'%203PT%20Step%20Back%20Jump%20Shot%20(30%20PTS)", "Leonard 27' 3PT Step Back Jump Shot (30 PTS)")</f>
        <v>Leonard 27' 3PT Step Back Jump Shot (30 PTS)</v>
      </c>
      <c r="K3712" s="2" t="str">
        <f>HYPERLINK("https://www.nba.com/game/...-vs-...-0041800305/play-by-play?watchFullGame=true", "TOR vs MIL - Q4 07:57.00")</f>
        <v>TOR vs MIL - Q4 07:57.00</v>
      </c>
      <c r="L3712">
        <v>27</v>
      </c>
      <c r="M3712">
        <v>81</v>
      </c>
      <c r="N3712">
        <v>253</v>
      </c>
      <c r="O3712">
        <v>81</v>
      </c>
      <c r="P3712">
        <v>253</v>
      </c>
    </row>
    <row r="3713" spans="1:16" x14ac:dyDescent="0.25">
      <c r="A3713">
        <v>21600639</v>
      </c>
      <c r="B3713">
        <v>2016</v>
      </c>
      <c r="C3713" t="s">
        <v>32</v>
      </c>
      <c r="D3713" t="s">
        <v>29</v>
      </c>
      <c r="E3713">
        <v>45</v>
      </c>
      <c r="F3713">
        <v>41</v>
      </c>
      <c r="G3713">
        <v>2</v>
      </c>
      <c r="H3713" s="1">
        <v>2.685185185185185E-3</v>
      </c>
      <c r="I3713" t="s">
        <v>18</v>
      </c>
      <c r="J3713" s="2" t="str">
        <f>HYPERLINK("https://www.nba.com/stats/events?CFID=&amp;CFPARAMS=&amp;GameEventID=208&amp;GameID=0021600639&amp;Season=2016-17&amp;flag=1&amp;title=Leonard%209'%20Pullup%20Jump%20Shot%20(11%20PTS)", "Leonard 9' Pullup Jump Shot (11 PTS)")</f>
        <v>Leonard 9' Pullup Jump Shot (11 PTS)</v>
      </c>
      <c r="K3713" s="2" t="str">
        <f>HYPERLINK("https://www.nba.com/game/...-vs-...-0021600639/play-by-play?watchFullGame=true", "SAS vs DEN - Q2 03:52.00")</f>
        <v>SAS vs DEN - Q2 03:52.00</v>
      </c>
      <c r="L3713">
        <v>9</v>
      </c>
      <c r="M3713">
        <v>82</v>
      </c>
      <c r="N3713">
        <v>36</v>
      </c>
      <c r="O3713">
        <v>82</v>
      </c>
      <c r="P3713">
        <v>36</v>
      </c>
    </row>
    <row r="3714" spans="1:16" x14ac:dyDescent="0.25">
      <c r="A3714">
        <v>41500233</v>
      </c>
      <c r="B3714" t="s">
        <v>25</v>
      </c>
      <c r="C3714" t="s">
        <v>32</v>
      </c>
      <c r="D3714" t="s">
        <v>29</v>
      </c>
      <c r="E3714">
        <v>11</v>
      </c>
      <c r="F3714">
        <v>17</v>
      </c>
      <c r="G3714">
        <v>1</v>
      </c>
      <c r="H3714" s="1">
        <v>4.2013888888888891E-3</v>
      </c>
      <c r="I3714" t="s">
        <v>18</v>
      </c>
      <c r="J3714" s="2" t="str">
        <f>HYPERLINK("https://www.nba.com/stats/events?CFID=&amp;CFPARAMS=&amp;GameEventID=43&amp;GameID=0041500233&amp;Season=2015-16&amp;flag=1&amp;title=Leonard%209'%20Pullup%20Jump%20Shot%20(8%20PTS)", "Leonard 9' Pullup Jump Shot (8 PTS)")</f>
        <v>Leonard 9' Pullup Jump Shot (8 PTS)</v>
      </c>
      <c r="K3714" s="2" t="str">
        <f>HYPERLINK("https://www.nba.com/game/...-vs-...-0041500233/play-by-play?watchFullGame=true", "SAS vs OKC - Q1 06:03.00")</f>
        <v>SAS vs OKC - Q1 06:03.00</v>
      </c>
      <c r="L3714">
        <v>9</v>
      </c>
      <c r="M3714">
        <v>82</v>
      </c>
      <c r="N3714">
        <v>41</v>
      </c>
      <c r="O3714">
        <v>82</v>
      </c>
      <c r="P3714">
        <v>41</v>
      </c>
    </row>
    <row r="3715" spans="1:16" x14ac:dyDescent="0.25">
      <c r="A3715">
        <v>42000171</v>
      </c>
      <c r="B3715" t="s">
        <v>83</v>
      </c>
      <c r="C3715" t="s">
        <v>32</v>
      </c>
      <c r="D3715" t="s">
        <v>19</v>
      </c>
      <c r="E3715">
        <v>8</v>
      </c>
      <c r="F3715">
        <v>17</v>
      </c>
      <c r="G3715">
        <v>1</v>
      </c>
      <c r="H3715" s="1">
        <v>4.2939814814814811E-3</v>
      </c>
      <c r="I3715" t="s">
        <v>23</v>
      </c>
      <c r="J3715" s="2" t="str">
        <f>HYPERLINK("https://www.nba.com/stats/events?CFID=&amp;CFPARAMS=&amp;GameEventID=79&amp;GameID=0042000171&amp;Season=2020-21&amp;flag=1&amp;title=Leonard%2011'%20turnaround%20Jump%20Shot%20(2%20PTS)", "11' turnaround Jump Shot (2 PTS)")</f>
        <v>11' turnaround Jump Shot (2 PTS)</v>
      </c>
      <c r="K3715" s="2" t="str">
        <f>HYPERLINK("https://www.nba.com/game/...-vs-...-0042000171/play-by-play?watchFullGame=true", "LAC vs DAL - Q1 06:11.00")</f>
        <v>LAC vs DAL - Q1 06:11.00</v>
      </c>
      <c r="L3715">
        <v>11.02</v>
      </c>
      <c r="M3715">
        <v>82.74</v>
      </c>
      <c r="N3715">
        <v>48.11</v>
      </c>
      <c r="O3715">
        <v>82</v>
      </c>
      <c r="P3715">
        <v>48</v>
      </c>
    </row>
    <row r="3716" spans="1:16" x14ac:dyDescent="0.25">
      <c r="A3716">
        <v>42000173</v>
      </c>
      <c r="B3716" t="s">
        <v>83</v>
      </c>
      <c r="C3716" t="s">
        <v>32</v>
      </c>
      <c r="D3716" t="s">
        <v>19</v>
      </c>
      <c r="E3716">
        <v>40</v>
      </c>
      <c r="F3716">
        <v>38</v>
      </c>
      <c r="G3716">
        <v>2</v>
      </c>
      <c r="H3716" s="1">
        <v>7.3032407407407404E-3</v>
      </c>
      <c r="I3716" t="s">
        <v>23</v>
      </c>
      <c r="J3716" s="2" t="str">
        <f>HYPERLINK("https://www.nba.com/stats/events?CFID=&amp;CFPARAMS=&amp;GameEventID=161&amp;GameID=0042000173&amp;Season=2020-21&amp;flag=1&amp;title=Leonard%2013'%20pullup%20Jump%20Shot%20(14%20PTS)%20(R.%20Rondo%203%20AST)", "13' pullup Jump Shot (14 PTS) (R. Rondo 3 AST)")</f>
        <v>13' pullup Jump Shot (14 PTS) (R. Rondo 3 AST)</v>
      </c>
      <c r="K3716" s="2" t="str">
        <f>HYPERLINK("https://www.nba.com/game/...-vs-...-0042000173/play-by-play?watchFullGame=true", "LAC vs DAL - Q2 10:31.00")</f>
        <v>LAC vs DAL - Q2 10:31.00</v>
      </c>
      <c r="L3716">
        <v>13.04</v>
      </c>
      <c r="M3716">
        <v>82.47</v>
      </c>
      <c r="N3716">
        <v>63.3</v>
      </c>
      <c r="O3716">
        <v>82</v>
      </c>
      <c r="P3716">
        <v>63</v>
      </c>
    </row>
    <row r="3717" spans="1:16" x14ac:dyDescent="0.25">
      <c r="A3717">
        <v>22300770</v>
      </c>
      <c r="B3717">
        <v>2023</v>
      </c>
      <c r="C3717" t="s">
        <v>32</v>
      </c>
      <c r="D3717" t="s">
        <v>19</v>
      </c>
      <c r="E3717">
        <v>15</v>
      </c>
      <c r="F3717">
        <v>16</v>
      </c>
      <c r="G3717">
        <v>1</v>
      </c>
      <c r="H3717" s="1">
        <v>2.685185185185185E-3</v>
      </c>
      <c r="I3717" t="s">
        <v>23</v>
      </c>
      <c r="J3717" s="2" t="str">
        <f>HYPERLINK("https://www.nba.com/stats/events?CFID=&amp;CFPARAMS=&amp;GameEventID=110&amp;GameID=0022300770&amp;Season=2023-24&amp;flag=1&amp;title=Leonard%2010'%20turnaround%20fadeaway%20Jump%20Shot%20(4%20PTS)", "10' turnaround fadeaway Jump Shot (4 PTS)")</f>
        <v>10' turnaround fadeaway Jump Shot (4 PTS)</v>
      </c>
      <c r="K3717" s="2" t="str">
        <f>HYPERLINK("https://www.nba.com/game/...-vs-...-0022300770/play-by-play?watchFullGame=true", "LAC vs MIN - Q1 03:52.00")</f>
        <v>LAC vs MIN - Q1 03:52.00</v>
      </c>
      <c r="L3717">
        <v>10.57</v>
      </c>
      <c r="M3717">
        <v>12.66</v>
      </c>
      <c r="N3717">
        <v>33.58</v>
      </c>
      <c r="O3717">
        <v>82</v>
      </c>
      <c r="P3717">
        <v>67</v>
      </c>
    </row>
    <row r="3718" spans="1:16" x14ac:dyDescent="0.25">
      <c r="A3718">
        <v>22000251</v>
      </c>
      <c r="B3718">
        <v>2020</v>
      </c>
      <c r="C3718" t="s">
        <v>32</v>
      </c>
      <c r="D3718" t="s">
        <v>19</v>
      </c>
      <c r="E3718">
        <v>79</v>
      </c>
      <c r="F3718">
        <v>69</v>
      </c>
      <c r="G3718">
        <v>3</v>
      </c>
      <c r="H3718" s="1">
        <v>1.5277777777777779E-3</v>
      </c>
      <c r="I3718" t="s">
        <v>23</v>
      </c>
      <c r="J3718" s="2" t="str">
        <f>HYPERLINK("https://www.nba.com/stats/events?CFID=&amp;CFPARAMS=&amp;GameEventID=424&amp;GameID=0022000251&amp;Season=2020-21&amp;flag=1&amp;title=Leonard%2011'%20turnaround%20fadeaway%20Jump%20Shot%20(30%20PTS)", "11' turnaround fadeaway Jump Shot (30 PTS)")</f>
        <v>11' turnaround fadeaway Jump Shot (30 PTS)</v>
      </c>
      <c r="K3718" s="2" t="str">
        <f>HYPERLINK("https://www.nba.com/game/...-vs-...-0022000251/play-by-play?watchFullGame=true", "LAC vs OKC - Q3 02:12.00")</f>
        <v>LAC vs OKC - Q3 02:12.00</v>
      </c>
      <c r="L3718">
        <v>11.83</v>
      </c>
      <c r="M3718">
        <v>14.67</v>
      </c>
      <c r="N3718">
        <v>33.65</v>
      </c>
      <c r="O3718">
        <v>82</v>
      </c>
      <c r="P3718">
        <v>85</v>
      </c>
    </row>
    <row r="3719" spans="1:16" x14ac:dyDescent="0.25">
      <c r="A3719">
        <v>21900292</v>
      </c>
      <c r="B3719">
        <v>2019</v>
      </c>
      <c r="C3719" t="s">
        <v>32</v>
      </c>
      <c r="D3719" t="s">
        <v>22</v>
      </c>
      <c r="E3719">
        <v>11</v>
      </c>
      <c r="F3719">
        <v>6</v>
      </c>
      <c r="G3719">
        <v>1</v>
      </c>
      <c r="H3719" s="1">
        <v>6.4699074074074077E-3</v>
      </c>
      <c r="I3719" t="s">
        <v>23</v>
      </c>
      <c r="J3719" s="2" t="str">
        <f>HYPERLINK("https://www.nba.com/stats/events?CFID=&amp;CFPARAMS=&amp;GameEventID=42&amp;GameID=0021900292&amp;Season=2019-20&amp;flag=1&amp;title=Leonard%2012'%20jumpshot%20(4%20PTS)", "12' jumpshot (4 PTS)")</f>
        <v>12' jumpshot (4 PTS)</v>
      </c>
      <c r="K3719" s="2" t="str">
        <f>HYPERLINK("https://www.nba.com/game/...-vs-...-0021900292/play-by-play?watchFullGame=true", "LAC vs WAS - Q1 09:19.00")</f>
        <v>LAC vs WAS - Q1 09:19.00</v>
      </c>
      <c r="L3719">
        <v>11.56</v>
      </c>
      <c r="M3719">
        <v>82.7</v>
      </c>
      <c r="N3719">
        <v>49.93</v>
      </c>
      <c r="O3719">
        <v>82</v>
      </c>
      <c r="P3719">
        <v>110</v>
      </c>
    </row>
    <row r="3720" spans="1:16" x14ac:dyDescent="0.25">
      <c r="A3720">
        <v>22300676</v>
      </c>
      <c r="B3720">
        <v>2023</v>
      </c>
      <c r="C3720" t="s">
        <v>32</v>
      </c>
      <c r="D3720" t="s">
        <v>19</v>
      </c>
      <c r="E3720">
        <v>53</v>
      </c>
      <c r="F3720">
        <v>60</v>
      </c>
      <c r="G3720">
        <v>2</v>
      </c>
      <c r="H3720" s="1">
        <v>1.7476851851851852E-3</v>
      </c>
      <c r="I3720" t="s">
        <v>23</v>
      </c>
      <c r="J3720" s="2" t="str">
        <f>HYPERLINK("https://www.nba.com/stats/events?CFID=&amp;CFPARAMS=&amp;GameEventID=276&amp;GameID=0022300676&amp;Season=2023-24&amp;flag=1&amp;title=Leonard%2015'%20turnaround%20fadeaway%20Jump%20Shot%20(15%20PTS)", "15' turnaround fadeaway Jump Shot (15 PTS)")</f>
        <v>15' turnaround fadeaway Jump Shot (15 PTS)</v>
      </c>
      <c r="K3720" s="2" t="str">
        <f>HYPERLINK("https://www.nba.com/game/...-vs-...-0022300676/play-by-play?watchFullGame=true", "LAC vs WAS - Q2 02:31.00")</f>
        <v>LAC vs WAS - Q2 02:31.00</v>
      </c>
      <c r="L3720">
        <v>15.54</v>
      </c>
      <c r="M3720">
        <v>80.37</v>
      </c>
      <c r="N3720">
        <v>66.42</v>
      </c>
      <c r="O3720">
        <v>82</v>
      </c>
      <c r="P3720">
        <v>132</v>
      </c>
    </row>
    <row r="3721" spans="1:16" x14ac:dyDescent="0.25">
      <c r="A3721">
        <v>22300731</v>
      </c>
      <c r="B3721">
        <v>2023</v>
      </c>
      <c r="C3721" t="s">
        <v>32</v>
      </c>
      <c r="D3721" t="s">
        <v>19</v>
      </c>
      <c r="E3721">
        <v>65</v>
      </c>
      <c r="F3721">
        <v>71</v>
      </c>
      <c r="G3721">
        <v>3</v>
      </c>
      <c r="H3721" s="1">
        <v>2.1643518518518518E-3</v>
      </c>
      <c r="I3721" t="s">
        <v>23</v>
      </c>
      <c r="J3721" s="2" t="str">
        <f>HYPERLINK("https://www.nba.com/stats/events?CFID=&amp;CFPARAMS=&amp;GameEventID=417&amp;GameID=0022300731&amp;Season=2023-24&amp;flag=1&amp;title=Leonard%2016'%20turnaround%20fadeaway%20Jump%20Shot%20(14%20PTS)%20(J.%20Harden%202%20AST)", "16' turnaround fadeaway Jump Shot (14 PTS) (J. Harden 2 AST)")</f>
        <v>16' turnaround fadeaway Jump Shot (14 PTS) (J. Harden 2 AST)</v>
      </c>
      <c r="K3721" s="2" t="str">
        <f>HYPERLINK("https://www.nba.com/game/...-vs-...-0022300731/play-by-play?watchFullGame=true", "LAC vs NOP - Q3 03:07.00")</f>
        <v>LAC vs NOP - Q3 03:07.00</v>
      </c>
      <c r="L3721">
        <v>16.100000000000001</v>
      </c>
      <c r="M3721">
        <v>79.680000000000007</v>
      </c>
      <c r="N3721">
        <v>66.42</v>
      </c>
      <c r="O3721">
        <v>82</v>
      </c>
      <c r="P3721">
        <v>138</v>
      </c>
    </row>
    <row r="3722" spans="1:16" x14ac:dyDescent="0.25">
      <c r="A3722">
        <v>21901258</v>
      </c>
      <c r="B3722">
        <v>2019</v>
      </c>
      <c r="C3722" t="s">
        <v>32</v>
      </c>
      <c r="D3722" t="s">
        <v>22</v>
      </c>
      <c r="E3722">
        <v>84</v>
      </c>
      <c r="F3722">
        <v>85</v>
      </c>
      <c r="G3722">
        <v>3</v>
      </c>
      <c r="H3722" s="1">
        <v>2.1875000000000002E-3</v>
      </c>
      <c r="I3722" t="s">
        <v>23</v>
      </c>
      <c r="J3722" s="2" t="str">
        <f>HYPERLINK("https://www.nba.com/stats/events?CFID=&amp;CFPARAMS=&amp;GameEventID=418&amp;GameID=0021901258&amp;Season=2019-20&amp;flag=1&amp;title=Leonard%2019'%20jumpshot%20(16%20PTS)", "19' jumpshot (16 PTS)")</f>
        <v>19' jumpshot (16 PTS)</v>
      </c>
      <c r="K3722" s="2" t="str">
        <f>HYPERLINK("https://www.nba.com/game/...-vs-...-0021901258/play-by-play?watchFullGame=true", "LAC vs PHX - Q3 03:09.00")</f>
        <v>LAC vs PHX - Q3 03:09.00</v>
      </c>
      <c r="L3722">
        <v>18.98</v>
      </c>
      <c r="M3722">
        <v>76.819999999999993</v>
      </c>
      <c r="N3722">
        <v>66.489999999999995</v>
      </c>
      <c r="O3722">
        <v>82</v>
      </c>
      <c r="P3722">
        <v>165</v>
      </c>
    </row>
    <row r="3723" spans="1:16" x14ac:dyDescent="0.25">
      <c r="A3723">
        <v>22000554</v>
      </c>
      <c r="B3723">
        <v>2020</v>
      </c>
      <c r="C3723" t="s">
        <v>32</v>
      </c>
      <c r="D3723" t="s">
        <v>19</v>
      </c>
      <c r="E3723">
        <v>0</v>
      </c>
      <c r="F3723">
        <v>2</v>
      </c>
      <c r="G3723">
        <v>1</v>
      </c>
      <c r="H3723" s="1">
        <v>7.9398148148148145E-3</v>
      </c>
      <c r="I3723" t="s">
        <v>23</v>
      </c>
      <c r="J3723" s="2" t="str">
        <f>HYPERLINK("https://www.nba.com/stats/events?CFID=&amp;CFPARAMS=&amp;GameEventID=11&amp;GameID=0022000554&amp;Season=2020-21&amp;flag=1&amp;title=Leonard%2019'%20pullup%20Jump%20Shot%20(2%20PTS)%20(P.%20Beverley%201%20AST)", "19' pullup Jump Shot (2 PTS) (P. Beverley 1 AST)")</f>
        <v>19' pullup Jump Shot (2 PTS) (P. Beverley 1 AST)</v>
      </c>
      <c r="K3723" s="2" t="str">
        <f>HYPERLINK("https://www.nba.com/game/...-vs-...-0022000554/play-by-play?watchFullGame=true", "LAC vs WAS - Q1 11:26.00")</f>
        <v>LAC vs WAS - Q1 11:26.00</v>
      </c>
      <c r="L3723">
        <v>19.03</v>
      </c>
      <c r="M3723">
        <v>23.87</v>
      </c>
      <c r="N3723">
        <v>33.65</v>
      </c>
      <c r="O3723">
        <v>82</v>
      </c>
      <c r="P3723">
        <v>172</v>
      </c>
    </row>
    <row r="3724" spans="1:16" x14ac:dyDescent="0.25">
      <c r="A3724">
        <v>21601011</v>
      </c>
      <c r="B3724">
        <v>2016</v>
      </c>
      <c r="C3724" t="s">
        <v>16</v>
      </c>
      <c r="D3724" t="s">
        <v>29</v>
      </c>
      <c r="E3724">
        <v>14</v>
      </c>
      <c r="F3724">
        <v>7</v>
      </c>
      <c r="G3724">
        <v>1</v>
      </c>
      <c r="H3724" s="1">
        <v>5.4513888888888893E-3</v>
      </c>
      <c r="I3724" t="s">
        <v>18</v>
      </c>
      <c r="J3724" s="2" t="str">
        <f>HYPERLINK("https://www.nba.com/stats/events?CFID=&amp;CFPARAMS=&amp;GameEventID=26&amp;GameID=0021601011&amp;Season=2016-17&amp;flag=1&amp;title=Leonard%2025'%203PT%20Pullup%20Jump%20Shot%20(3%20PTS)", "Leonard 25' 3PT Pullup Jump Shot (3 PTS)")</f>
        <v>Leonard 25' 3PT Pullup Jump Shot (3 PTS)</v>
      </c>
      <c r="K3724" s="2" t="str">
        <f>HYPERLINK("https://www.nba.com/game/...-vs-...-0021601011/play-by-play?watchFullGame=true", "SAS vs POR - Q1 07:51.00")</f>
        <v>SAS vs POR - Q1 07:51.00</v>
      </c>
      <c r="L3724">
        <v>25</v>
      </c>
      <c r="M3724">
        <v>82</v>
      </c>
      <c r="N3724">
        <v>232</v>
      </c>
      <c r="O3724">
        <v>82</v>
      </c>
      <c r="P3724">
        <v>232</v>
      </c>
    </row>
    <row r="3725" spans="1:16" x14ac:dyDescent="0.25">
      <c r="A3725">
        <v>21500280</v>
      </c>
      <c r="B3725">
        <v>2015</v>
      </c>
      <c r="C3725" t="s">
        <v>16</v>
      </c>
      <c r="D3725" t="s">
        <v>19</v>
      </c>
      <c r="E3725">
        <v>60</v>
      </c>
      <c r="F3725">
        <v>77</v>
      </c>
      <c r="G3725">
        <v>4</v>
      </c>
      <c r="H3725" s="1">
        <v>7.8472222222222224E-3</v>
      </c>
      <c r="I3725" t="s">
        <v>18</v>
      </c>
      <c r="J3725" s="2" t="str">
        <f>HYPERLINK("https://www.nba.com/stats/events?CFID=&amp;CFPARAMS=&amp;GameEventID=360&amp;GameID=0021500280&amp;Season=2015-16&amp;flag=1&amp;title=Leonard%2025'%203PT%20Jump%20Shot%20(21%20PTS)%20(Green%202%20AST)", "Leonard 25' 3PT Jump Shot (21 PTS) (Green 2 AST)")</f>
        <v>Leonard 25' 3PT Jump Shot (21 PTS) (Green 2 AST)</v>
      </c>
      <c r="K3725" s="2" t="str">
        <f>HYPERLINK("https://www.nba.com/game/...-vs-...-0021500280/play-by-play?watchFullGame=true", "SAS vs MEM - Q4 11:18.00")</f>
        <v>SAS vs MEM - Q4 11:18.00</v>
      </c>
      <c r="L3725">
        <v>25</v>
      </c>
      <c r="M3725">
        <v>82</v>
      </c>
      <c r="N3725">
        <v>234</v>
      </c>
      <c r="O3725">
        <v>82</v>
      </c>
      <c r="P3725">
        <v>234</v>
      </c>
    </row>
    <row r="3726" spans="1:16" x14ac:dyDescent="0.25">
      <c r="A3726">
        <v>21500182</v>
      </c>
      <c r="B3726">
        <v>2015</v>
      </c>
      <c r="C3726" t="s">
        <v>16</v>
      </c>
      <c r="D3726" t="s">
        <v>19</v>
      </c>
      <c r="E3726">
        <v>14</v>
      </c>
      <c r="F3726">
        <v>16</v>
      </c>
      <c r="G3726">
        <v>1</v>
      </c>
      <c r="H3726" s="1">
        <v>2.2685185185185187E-3</v>
      </c>
      <c r="I3726" t="s">
        <v>18</v>
      </c>
      <c r="J3726" s="2" t="str">
        <f>HYPERLINK("https://www.nba.com/stats/events?CFID=&amp;CFPARAMS=&amp;GameEventID=111&amp;GameID=0021500182&amp;Season=2015-16&amp;flag=1&amp;title=Leonard%2025'%203PT%20Jump%20Shot%20(8%20PTS)%20(Mills%201%20AST)", "Leonard 25' 3PT Jump Shot (8 PTS) (Mills 1 AST)")</f>
        <v>Leonard 25' 3PT Jump Shot (8 PTS) (Mills 1 AST)</v>
      </c>
      <c r="K3726" s="2" t="str">
        <f>HYPERLINK("https://www.nba.com/game/...-vs-...-0021500182/play-by-play?watchFullGame=true", "SAS vs NOP - Q1 03:16.00")</f>
        <v>SAS vs NOP - Q1 03:16.00</v>
      </c>
      <c r="L3726">
        <v>25</v>
      </c>
      <c r="M3726">
        <v>82</v>
      </c>
      <c r="N3726">
        <v>234</v>
      </c>
      <c r="O3726">
        <v>82</v>
      </c>
      <c r="P3726">
        <v>234</v>
      </c>
    </row>
    <row r="3727" spans="1:16" x14ac:dyDescent="0.25">
      <c r="A3727">
        <v>22200604</v>
      </c>
      <c r="B3727">
        <v>2022</v>
      </c>
      <c r="C3727" t="s">
        <v>16</v>
      </c>
      <c r="D3727" t="s">
        <v>19</v>
      </c>
      <c r="E3727">
        <v>47</v>
      </c>
      <c r="F3727">
        <v>59</v>
      </c>
      <c r="G3727">
        <v>2</v>
      </c>
      <c r="H3727" s="1">
        <v>7.9861111111111116E-4</v>
      </c>
      <c r="I3727" t="s">
        <v>23</v>
      </c>
      <c r="J3727" s="2" t="str">
        <f>HYPERLINK("https://www.nba.com/stats/events?CFID=&amp;CFPARAMS=&amp;GameEventID=307&amp;GameID=0022200604&amp;Season=2022-23&amp;flag=1&amp;title=Leonard%2025'%203PT%20running%20pullup%20(14%20PTS)", "25' 3PT running pullup (14 PTS)")</f>
        <v>25' 3PT running pullup (14 PTS)</v>
      </c>
      <c r="K3727" s="2" t="str">
        <f>HYPERLINK("https://www.nba.com/game/...-vs-...-0022200604/play-by-play?watchFullGame=true", "LAC vs ATL - Q2 01:09.00")</f>
        <v>LAC vs ATL - Q2 01:09.00</v>
      </c>
      <c r="L3727">
        <v>25.35</v>
      </c>
      <c r="M3727">
        <v>68.91</v>
      </c>
      <c r="N3727">
        <v>66.42</v>
      </c>
      <c r="O3727">
        <v>82</v>
      </c>
      <c r="P3727">
        <v>240</v>
      </c>
    </row>
    <row r="3728" spans="1:16" x14ac:dyDescent="0.25">
      <c r="A3728">
        <v>22000736</v>
      </c>
      <c r="B3728">
        <v>2020</v>
      </c>
      <c r="C3728" t="s">
        <v>16</v>
      </c>
      <c r="D3728" t="s">
        <v>19</v>
      </c>
      <c r="E3728">
        <v>69</v>
      </c>
      <c r="F3728">
        <v>76</v>
      </c>
      <c r="G3728">
        <v>3</v>
      </c>
      <c r="H3728" s="1">
        <v>2.9050925925925928E-3</v>
      </c>
      <c r="I3728" t="s">
        <v>23</v>
      </c>
      <c r="J3728" s="2" t="str">
        <f>HYPERLINK("https://www.nba.com/stats/events?CFID=&amp;CFPARAMS=&amp;GameEventID=389&amp;GameID=0022000736&amp;Season=2020-21&amp;flag=1&amp;title=Leonard%2025'%203PT%20%20(20%20PTS)%20(T.%20Mann%201%20AST)", "25' 3PT  (20 PTS) (T. Mann 1 AST)")</f>
        <v>25' 3PT  (20 PTS) (T. Mann 1 AST)</v>
      </c>
      <c r="K3728" s="2" t="str">
        <f>HYPERLINK("https://www.nba.com/game/...-vs-...-0022000736/play-by-play?watchFullGame=true", "LAC vs DEN - Q3 04:11.00")</f>
        <v>LAC vs DEN - Q3 04:11.00</v>
      </c>
      <c r="L3728">
        <v>25.92</v>
      </c>
      <c r="M3728">
        <v>31.75</v>
      </c>
      <c r="N3728">
        <v>33.65</v>
      </c>
      <c r="O3728">
        <v>82</v>
      </c>
      <c r="P3728">
        <v>246</v>
      </c>
    </row>
    <row r="3729" spans="1:16" x14ac:dyDescent="0.25">
      <c r="A3729">
        <v>22000002</v>
      </c>
      <c r="B3729">
        <v>2020</v>
      </c>
      <c r="C3729" t="s">
        <v>16</v>
      </c>
      <c r="D3729" t="s">
        <v>19</v>
      </c>
      <c r="E3729">
        <v>63</v>
      </c>
      <c r="F3729">
        <v>68</v>
      </c>
      <c r="G3729">
        <v>3</v>
      </c>
      <c r="H3729" s="1">
        <v>6.2037037037037035E-3</v>
      </c>
      <c r="I3729" t="s">
        <v>23</v>
      </c>
      <c r="J3729" s="2" t="str">
        <f>HYPERLINK("https://www.nba.com/stats/events?CFID=&amp;CFPARAMS=&amp;GameEventID=405&amp;GameID=0022000002&amp;Season=2020-21&amp;flag=1&amp;title=Leonard%2026'%203PT%20%20(20%20PTS)%20(P.%20Beverley%203%20AST)", "26' 3PT  (20 PTS) (P. Beverley 3 AST)")</f>
        <v>26' 3PT  (20 PTS) (P. Beverley 3 AST)</v>
      </c>
      <c r="K3729" s="2" t="str">
        <f>HYPERLINK("https://www.nba.com/game/...-vs-...-0022000002/play-by-play?watchFullGame=true", "LAC vs LAL - Q3 08:56.00")</f>
        <v>LAC vs LAL - Q3 08:56.00</v>
      </c>
      <c r="L3729">
        <v>26.15</v>
      </c>
      <c r="M3729">
        <v>68.02</v>
      </c>
      <c r="N3729">
        <v>66.489999999999995</v>
      </c>
      <c r="O3729">
        <v>82</v>
      </c>
      <c r="P3729">
        <v>248</v>
      </c>
    </row>
    <row r="3730" spans="1:16" x14ac:dyDescent="0.25">
      <c r="A3730">
        <v>21900523</v>
      </c>
      <c r="B3730">
        <v>2019</v>
      </c>
      <c r="C3730" t="s">
        <v>16</v>
      </c>
      <c r="D3730" t="s">
        <v>22</v>
      </c>
      <c r="E3730">
        <v>55</v>
      </c>
      <c r="F3730">
        <v>63</v>
      </c>
      <c r="G3730">
        <v>2</v>
      </c>
      <c r="H3730" s="1">
        <v>9.9537037037037042E-4</v>
      </c>
      <c r="I3730" t="s">
        <v>23</v>
      </c>
      <c r="J3730" s="2" t="str">
        <f>HYPERLINK("https://www.nba.com/stats/events?CFID=&amp;CFPARAMS=&amp;GameEventID=340&amp;GameID=0021900523&amp;Season=2019-20&amp;flag=1&amp;title=Leonard%2027'%203PT%20%20(16%20PTS)", "27' 3PT  (16 PTS)")</f>
        <v>27' 3PT  (16 PTS)</v>
      </c>
      <c r="K3730" s="2" t="str">
        <f>HYPERLINK("https://www.nba.com/game/...-vs-...-0021900523/play-by-play?watchFullGame=true", "LAC vs MEM - Q2 01:26.00")</f>
        <v>LAC vs MEM - Q2 01:26.00</v>
      </c>
      <c r="L3730">
        <v>27.37</v>
      </c>
      <c r="M3730">
        <v>32.770000000000003</v>
      </c>
      <c r="N3730">
        <v>33.51</v>
      </c>
      <c r="O3730">
        <v>82</v>
      </c>
      <c r="P3730">
        <v>256</v>
      </c>
    </row>
    <row r="3731" spans="1:16" x14ac:dyDescent="0.25">
      <c r="A3731">
        <v>22300273</v>
      </c>
      <c r="B3731">
        <v>2023</v>
      </c>
      <c r="C3731" t="s">
        <v>16</v>
      </c>
      <c r="D3731" t="s">
        <v>19</v>
      </c>
      <c r="E3731">
        <v>78</v>
      </c>
      <c r="F3731">
        <v>69</v>
      </c>
      <c r="G3731">
        <v>3</v>
      </c>
      <c r="H3731" s="1">
        <v>3.2986111111111111E-3</v>
      </c>
      <c r="I3731" t="s">
        <v>23</v>
      </c>
      <c r="J3731" s="2" t="str">
        <f>HYPERLINK("https://www.nba.com/stats/events?CFID=&amp;CFPARAMS=&amp;GameEventID=412&amp;GameID=0022300273&amp;Season=2023-24&amp;flag=1&amp;title=Leonard%2027'%203PT%20%20(19%20PTS)%20(J.%20Harden%206%20AST)", "27' 3PT  (19 PTS) (J. Harden 6 AST)")</f>
        <v>27' 3PT  (19 PTS) (J. Harden 6 AST)</v>
      </c>
      <c r="K3731" s="2" t="str">
        <f>HYPERLINK("https://www.nba.com/game/...-vs-...-0022300273/play-by-play?watchFullGame=true", "LAC vs GSW - Q3 04:45.00")</f>
        <v>LAC vs GSW - Q3 04:45.00</v>
      </c>
      <c r="L3731">
        <v>27.58</v>
      </c>
      <c r="M3731">
        <v>33.590000000000003</v>
      </c>
      <c r="N3731">
        <v>33.58</v>
      </c>
      <c r="O3731">
        <v>82</v>
      </c>
      <c r="P3731">
        <v>263</v>
      </c>
    </row>
    <row r="3732" spans="1:16" x14ac:dyDescent="0.25">
      <c r="A3732">
        <v>41300221</v>
      </c>
      <c r="B3732" t="s">
        <v>26</v>
      </c>
      <c r="C3732" t="s">
        <v>32</v>
      </c>
      <c r="D3732" t="s">
        <v>41</v>
      </c>
      <c r="E3732">
        <v>2</v>
      </c>
      <c r="F3732">
        <v>0</v>
      </c>
      <c r="G3732">
        <v>1</v>
      </c>
      <c r="H3732" s="1">
        <v>7.8356481481481489E-3</v>
      </c>
      <c r="I3732" t="s">
        <v>18</v>
      </c>
      <c r="J3732" s="2" t="str">
        <f>HYPERLINK("https://www.nba.com/stats/events?CFID=&amp;CFPARAMS=&amp;GameEventID=8&amp;GameID=0041300221&amp;Season=2013-14&amp;flag=1&amp;title=Leonard%208'%20Turnaround%20Bank%20Shot%20(2%20PTS)", "Leonard 8' Turnaround Bank Shot (2 PTS)")</f>
        <v>Leonard 8' Turnaround Bank Shot (2 PTS)</v>
      </c>
      <c r="K3732" s="2" t="str">
        <f>HYPERLINK("https://www.nba.com/game/...-vs-...-0041300221/play-by-play?watchFullGame=true", "SAS vs POR - Q1 11:17.00")</f>
        <v>SAS vs POR - Q1 11:17.00</v>
      </c>
      <c r="L3732">
        <v>8</v>
      </c>
      <c r="M3732">
        <v>83</v>
      </c>
      <c r="N3732">
        <v>7</v>
      </c>
      <c r="O3732">
        <v>83</v>
      </c>
      <c r="P3732">
        <v>7</v>
      </c>
    </row>
    <row r="3733" spans="1:16" x14ac:dyDescent="0.25">
      <c r="A3733">
        <v>22300537</v>
      </c>
      <c r="B3733">
        <v>2023</v>
      </c>
      <c r="C3733" t="s">
        <v>32</v>
      </c>
      <c r="D3733" t="s">
        <v>19</v>
      </c>
      <c r="E3733">
        <v>68</v>
      </c>
      <c r="F3733">
        <v>91</v>
      </c>
      <c r="G3733">
        <v>3</v>
      </c>
      <c r="H3733" s="1">
        <v>2.7777777777777779E-3</v>
      </c>
      <c r="I3733" t="s">
        <v>23</v>
      </c>
      <c r="J3733" s="2" t="str">
        <f>HYPERLINK("https://www.nba.com/stats/events?CFID=&amp;CFPARAMS=&amp;GameEventID=412&amp;GameID=0022300537&amp;Season=2023-24&amp;flag=1&amp;title=Leonard%208'%20driving%20floating%20Jump%20Shot%20(22%20PTS)", "8' driving floating Jump Shot (22 PTS)")</f>
        <v>8' driving floating Jump Shot (22 PTS)</v>
      </c>
      <c r="K3733" s="2" t="str">
        <f>HYPERLINK("https://www.nba.com/game/...-vs-...-0022300537/play-by-play?watchFullGame=true", "LAC vs MEM - Q3 04:00.00")</f>
        <v>LAC vs MEM - Q3 04:00.00</v>
      </c>
      <c r="L3733">
        <v>8.4600000000000009</v>
      </c>
      <c r="M3733">
        <v>92.85</v>
      </c>
      <c r="N3733">
        <v>66.67</v>
      </c>
      <c r="O3733">
        <v>83</v>
      </c>
      <c r="P3733">
        <v>15</v>
      </c>
    </row>
    <row r="3734" spans="1:16" x14ac:dyDescent="0.25">
      <c r="A3734">
        <v>21400867</v>
      </c>
      <c r="B3734">
        <v>2014</v>
      </c>
      <c r="C3734" t="s">
        <v>32</v>
      </c>
      <c r="D3734" t="s">
        <v>19</v>
      </c>
      <c r="E3734">
        <v>20</v>
      </c>
      <c r="F3734">
        <v>12</v>
      </c>
      <c r="G3734">
        <v>1</v>
      </c>
      <c r="H3734" s="1">
        <v>3.9236111111111112E-3</v>
      </c>
      <c r="I3734" t="s">
        <v>18</v>
      </c>
      <c r="J3734" s="2" t="str">
        <f>HYPERLINK("https://www.nba.com/stats/events?CFID=&amp;CFPARAMS=&amp;GameEventID=59&amp;GameID=0021400867&amp;Season=2014-15&amp;flag=1&amp;title=Leonard%209'%20Jump%20Shot%20(7%20PTS)", "Leonard 9' Jump Shot (7 PTS)")</f>
        <v>Leonard 9' Jump Shot (7 PTS)</v>
      </c>
      <c r="K3734" s="2" t="str">
        <f>HYPERLINK("https://www.nba.com/game/...-vs-...-0021400867/play-by-play?watchFullGame=true", "SAS vs SAC - Q1 05:39.00")</f>
        <v>SAS vs SAC - Q1 05:39.00</v>
      </c>
      <c r="L3734">
        <v>9</v>
      </c>
      <c r="M3734">
        <v>83</v>
      </c>
      <c r="N3734">
        <v>41</v>
      </c>
      <c r="O3734">
        <v>83</v>
      </c>
      <c r="P3734">
        <v>41</v>
      </c>
    </row>
    <row r="3735" spans="1:16" x14ac:dyDescent="0.25">
      <c r="A3735">
        <v>22400671</v>
      </c>
      <c r="B3735">
        <v>2024</v>
      </c>
      <c r="C3735" t="s">
        <v>32</v>
      </c>
      <c r="D3735" t="s">
        <v>19</v>
      </c>
      <c r="E3735">
        <v>107</v>
      </c>
      <c r="F3735">
        <v>119</v>
      </c>
      <c r="G3735">
        <v>4</v>
      </c>
      <c r="H3735" s="1">
        <v>1.6203703703703703E-3</v>
      </c>
      <c r="I3735" t="s">
        <v>23</v>
      </c>
      <c r="J3735" s="2" t="str">
        <f>HYPERLINK("https://www.nba.com/stats/events?CFID=&amp;CFPARAMS=&amp;GameEventID=623&amp;GameID=0022400671&amp;Season=2024-25&amp;flag=1&amp;title=Leonard%2010'%20driving%20floating%20Jump%20Shot%20(25%20PTS)", "10' driving floating Jump Shot (25 PTS)")</f>
        <v>10' driving floating Jump Shot (25 PTS)</v>
      </c>
      <c r="K3735" s="2" t="str">
        <f>HYPERLINK("https://www.nba.com/game/...-vs-...-0022400671/play-by-play?watchFullGame=true", "LAC vs SAS - Q4 02:20.00")</f>
        <v>LAC vs SAS - Q4 02:20.00</v>
      </c>
      <c r="L3735">
        <v>10.38</v>
      </c>
      <c r="M3735">
        <v>12.17</v>
      </c>
      <c r="N3735">
        <v>33.33</v>
      </c>
      <c r="O3735">
        <v>83</v>
      </c>
      <c r="P3735">
        <v>62</v>
      </c>
    </row>
    <row r="3736" spans="1:16" x14ac:dyDescent="0.25">
      <c r="A3736">
        <v>22300325</v>
      </c>
      <c r="B3736">
        <v>2023</v>
      </c>
      <c r="C3736" t="s">
        <v>32</v>
      </c>
      <c r="D3736" t="s">
        <v>19</v>
      </c>
      <c r="E3736">
        <v>51</v>
      </c>
      <c r="F3736">
        <v>39</v>
      </c>
      <c r="G3736">
        <v>2</v>
      </c>
      <c r="H3736" s="1">
        <v>4.2245370370370371E-3</v>
      </c>
      <c r="I3736" t="s">
        <v>23</v>
      </c>
      <c r="J3736" s="2" t="str">
        <f>HYPERLINK("https://www.nba.com/stats/events?CFID=&amp;CFPARAMS=&amp;GameEventID=266&amp;GameID=0022300325&amp;Season=2023-24&amp;flag=1&amp;title=Leonard%2010'%20pullup%20Jump%20Shot%20(10%20PTS)%20(N.%20Powell%201%20AST)", "10' pullup Jump Shot (10 PTS) (N. Powell 1 AST)")</f>
        <v>10' pullup Jump Shot (10 PTS) (N. Powell 1 AST)</v>
      </c>
      <c r="K3736" s="2" t="str">
        <f>HYPERLINK("https://www.nba.com/game/...-vs-...-0022300325/play-by-play?watchFullGame=true", "LAC vs GSW - Q2 06:05.00")</f>
        <v>LAC vs GSW - Q2 06:05.00</v>
      </c>
      <c r="L3736">
        <v>10.36</v>
      </c>
      <c r="M3736">
        <v>12.14</v>
      </c>
      <c r="N3736">
        <v>33.33</v>
      </c>
      <c r="O3736">
        <v>83</v>
      </c>
      <c r="P3736">
        <v>62</v>
      </c>
    </row>
    <row r="3737" spans="1:16" x14ac:dyDescent="0.25">
      <c r="A3737">
        <v>22400715</v>
      </c>
      <c r="B3737">
        <v>2024</v>
      </c>
      <c r="C3737" t="s">
        <v>32</v>
      </c>
      <c r="D3737" t="s">
        <v>19</v>
      </c>
      <c r="E3737">
        <v>58</v>
      </c>
      <c r="F3737">
        <v>75</v>
      </c>
      <c r="G3737">
        <v>3</v>
      </c>
      <c r="H3737" s="1">
        <v>7.060185185185185E-3</v>
      </c>
      <c r="I3737" t="s">
        <v>23</v>
      </c>
      <c r="J3737" s="2" t="str">
        <f>HYPERLINK("https://www.nba.com/stats/events?CFID=&amp;CFPARAMS=&amp;GameEventID=338&amp;GameID=0022400715&amp;Season=2024-25&amp;flag=1&amp;title=Leonard%2014'%20pullup%20Jump%20Shot%20(7%20PTS)%20(I.%20Zubac%203%20AST)", "14' pullup Jump Shot (7 PTS) (I. Zubac 3 AST)")</f>
        <v>14' pullup Jump Shot (7 PTS) (I. Zubac 3 AST)</v>
      </c>
      <c r="K3737" s="2" t="str">
        <f>HYPERLINK("https://www.nba.com/game/...-vs-...-0022400715/play-by-play?watchFullGame=true", "LAC vs LAL - Q3 10:10.00")</f>
        <v>LAC vs LAL - Q3 10:10.00</v>
      </c>
      <c r="L3737">
        <v>14.61</v>
      </c>
      <c r="M3737">
        <v>18.350000000000001</v>
      </c>
      <c r="N3737">
        <v>33.33</v>
      </c>
      <c r="O3737">
        <v>83</v>
      </c>
      <c r="P3737">
        <v>120</v>
      </c>
    </row>
    <row r="3738" spans="1:16" x14ac:dyDescent="0.25">
      <c r="A3738">
        <v>41800213</v>
      </c>
      <c r="B3738" t="s">
        <v>20</v>
      </c>
      <c r="C3738" t="s">
        <v>32</v>
      </c>
      <c r="D3738" t="s">
        <v>34</v>
      </c>
      <c r="E3738">
        <v>85</v>
      </c>
      <c r="F3738">
        <v>74</v>
      </c>
      <c r="G3738">
        <v>3</v>
      </c>
      <c r="H3738" s="1">
        <v>1.5277777777777779E-3</v>
      </c>
      <c r="I3738" t="s">
        <v>21</v>
      </c>
      <c r="J3738" s="2" t="str">
        <f>HYPERLINK("https://www.nba.com/stats/events?CFID=&amp;CFPARAMS=&amp;GameEventID=446&amp;GameID=0041800213&amp;Season=2018-19&amp;flag=1&amp;title=Leonard%2016'%20Turnaround%20Fadeaway%20(26%20PTS)", "Leonard 16' Turnaround Fadeaway (26 PTS)")</f>
        <v>Leonard 16' Turnaround Fadeaway (26 PTS)</v>
      </c>
      <c r="K3738" s="2" t="str">
        <f>HYPERLINK("https://www.nba.com/game/...-vs-...-0041800213/play-by-play?watchFullGame=true", "TOR vs PHI - Q3 02:12.00")</f>
        <v>TOR vs PHI - Q3 02:12.00</v>
      </c>
      <c r="L3738">
        <v>16</v>
      </c>
      <c r="M3738">
        <v>83</v>
      </c>
      <c r="N3738">
        <v>135</v>
      </c>
      <c r="O3738">
        <v>83</v>
      </c>
      <c r="P3738">
        <v>135</v>
      </c>
    </row>
    <row r="3739" spans="1:16" x14ac:dyDescent="0.25">
      <c r="A3739">
        <v>22300865</v>
      </c>
      <c r="B3739">
        <v>2023</v>
      </c>
      <c r="C3739" t="s">
        <v>32</v>
      </c>
      <c r="D3739" t="s">
        <v>19</v>
      </c>
      <c r="E3739">
        <v>69</v>
      </c>
      <c r="F3739">
        <v>50</v>
      </c>
      <c r="G3739">
        <v>2</v>
      </c>
      <c r="H3739" s="1">
        <v>2.3726851851851851E-3</v>
      </c>
      <c r="I3739" t="s">
        <v>23</v>
      </c>
      <c r="J3739" s="2" t="str">
        <f>HYPERLINK("https://www.nba.com/stats/events?CFID=&amp;CFPARAMS=&amp;GameEventID=281&amp;GameID=0022300865&amp;Season=2023-24&amp;flag=1&amp;title=Leonard%2015'%20pullup%20Jump%20Shot%20(11%20PTS)", "15' pullup Jump Shot (11 PTS)")</f>
        <v>15' pullup Jump Shot (11 PTS)</v>
      </c>
      <c r="K3739" s="2" t="str">
        <f>HYPERLINK("https://www.nba.com/game/...-vs-...-0022300865/play-by-play?watchFullGame=true", "LAC vs WAS - Q2 03:25.00")</f>
        <v>LAC vs WAS - Q2 03:25.00</v>
      </c>
      <c r="L3739">
        <v>15.85</v>
      </c>
      <c r="M3739">
        <v>80.08</v>
      </c>
      <c r="N3739">
        <v>66.67</v>
      </c>
      <c r="O3739">
        <v>83</v>
      </c>
      <c r="P3739">
        <v>135</v>
      </c>
    </row>
    <row r="3740" spans="1:16" x14ac:dyDescent="0.25">
      <c r="A3740">
        <v>21401057</v>
      </c>
      <c r="B3740">
        <v>2014</v>
      </c>
      <c r="C3740" t="s">
        <v>32</v>
      </c>
      <c r="D3740" t="s">
        <v>19</v>
      </c>
      <c r="E3740">
        <v>15</v>
      </c>
      <c r="F3740">
        <v>27</v>
      </c>
      <c r="G3740">
        <v>1</v>
      </c>
      <c r="H3740" s="1">
        <v>7.5231481481481482E-4</v>
      </c>
      <c r="I3740" t="s">
        <v>18</v>
      </c>
      <c r="J3740" s="2" t="str">
        <f>HYPERLINK("https://www.nba.com/stats/events?CFID=&amp;CFPARAMS=&amp;GameEventID=99&amp;GameID=0021401057&amp;Season=2014-15&amp;flag=1&amp;title=Leonard%2016'%20Jump%20Shot%20(8%20PTS)%20(Mills%201%20AST)", "Leonard 16' Jump Shot (8 PTS) (Mills 1 AST)")</f>
        <v>Leonard 16' Jump Shot (8 PTS) (Mills 1 AST)</v>
      </c>
      <c r="K3740" s="2" t="str">
        <f>HYPERLINK("https://www.nba.com/game/...-vs-...-0021401057/play-by-play?watchFullGame=true", "SAS vs DAL - Q1 01:05.00")</f>
        <v>SAS vs DAL - Q1 01:05.00</v>
      </c>
      <c r="L3740">
        <v>16</v>
      </c>
      <c r="M3740">
        <v>83</v>
      </c>
      <c r="N3740">
        <v>137</v>
      </c>
      <c r="O3740">
        <v>83</v>
      </c>
      <c r="P3740">
        <v>137</v>
      </c>
    </row>
    <row r="3741" spans="1:16" x14ac:dyDescent="0.25">
      <c r="A3741">
        <v>22300708</v>
      </c>
      <c r="B3741">
        <v>2023</v>
      </c>
      <c r="C3741" t="s">
        <v>32</v>
      </c>
      <c r="D3741" t="s">
        <v>19</v>
      </c>
      <c r="E3741">
        <v>41</v>
      </c>
      <c r="F3741">
        <v>43</v>
      </c>
      <c r="G3741">
        <v>2</v>
      </c>
      <c r="H3741" s="1">
        <v>8.9120370370370373E-4</v>
      </c>
      <c r="I3741" t="s">
        <v>23</v>
      </c>
      <c r="J3741" s="2" t="str">
        <f>HYPERLINK("https://www.nba.com/stats/events?CFID=&amp;CFPARAMS=&amp;GameEventID=253&amp;GameID=0022300708&amp;Season=2023-24&amp;flag=1&amp;title=Leonard%2016'%20pullup%20Jump%20Shot%20(11%20PTS)%20(P.%20George%201%20AST)", "16' pullup Jump Shot (11 PTS) (P. George 1 AST)")</f>
        <v>16' pullup Jump Shot (11 PTS) (P. George 1 AST)</v>
      </c>
      <c r="K3741" s="2" t="str">
        <f>HYPERLINK("https://www.nba.com/game/...-vs-...-0022300708/play-by-play?watchFullGame=true", "LAC vs MIA - Q2 01:17.00")</f>
        <v>LAC vs MIA - Q2 01:17.00</v>
      </c>
      <c r="L3741">
        <v>16.059999999999999</v>
      </c>
      <c r="M3741">
        <v>20.190000000000001</v>
      </c>
      <c r="N3741">
        <v>33.33</v>
      </c>
      <c r="O3741">
        <v>83</v>
      </c>
      <c r="P3741">
        <v>137</v>
      </c>
    </row>
    <row r="3742" spans="1:16" x14ac:dyDescent="0.25">
      <c r="A3742">
        <v>22400596</v>
      </c>
      <c r="B3742">
        <v>2024</v>
      </c>
      <c r="C3742" t="s">
        <v>32</v>
      </c>
      <c r="D3742" t="s">
        <v>19</v>
      </c>
      <c r="E3742">
        <v>79</v>
      </c>
      <c r="F3742">
        <v>60</v>
      </c>
      <c r="G3742">
        <v>3</v>
      </c>
      <c r="H3742" s="1">
        <v>4.7222222222222223E-3</v>
      </c>
      <c r="I3742" t="s">
        <v>23</v>
      </c>
      <c r="J3742" s="2" t="str">
        <f>HYPERLINK("https://www.nba.com/stats/events?CFID=&amp;CFPARAMS=&amp;GameEventID=346&amp;GameID=0022400596&amp;Season=2024-25&amp;flag=1&amp;title=Leonard%2016'%20Jump%20Shot%20(15%20PTS)%20(J.%20Harden%208%20AST)", "16' Jump Shot (15 PTS) (J. Harden 8 AST)")</f>
        <v>16' Jump Shot (15 PTS) (J. Harden 8 AST)</v>
      </c>
      <c r="K3742" s="2" t="str">
        <f>HYPERLINK("https://www.nba.com/game/...-vs-...-0022400596/play-by-play?watchFullGame=true", "LAC vs LAL - Q3 06:48.00")</f>
        <v>LAC vs LAL - Q3 06:48.00</v>
      </c>
      <c r="L3742">
        <v>16.079999999999998</v>
      </c>
      <c r="M3742">
        <v>20.239999999999998</v>
      </c>
      <c r="N3742">
        <v>33.409999999999997</v>
      </c>
      <c r="O3742">
        <v>83</v>
      </c>
      <c r="P3742">
        <v>138</v>
      </c>
    </row>
    <row r="3743" spans="1:16" x14ac:dyDescent="0.25">
      <c r="A3743">
        <v>21600657</v>
      </c>
      <c r="B3743">
        <v>2016</v>
      </c>
      <c r="C3743" t="s">
        <v>32</v>
      </c>
      <c r="D3743" t="s">
        <v>70</v>
      </c>
      <c r="E3743">
        <v>76</v>
      </c>
      <c r="F3743">
        <v>79</v>
      </c>
      <c r="G3743">
        <v>3</v>
      </c>
      <c r="H3743" s="1">
        <v>2.4537037037037036E-3</v>
      </c>
      <c r="I3743" t="s">
        <v>18</v>
      </c>
      <c r="J3743" s="2" t="str">
        <f>HYPERLINK("https://www.nba.com/stats/events?CFID=&amp;CFPARAMS=&amp;GameEventID=311&amp;GameID=0021600657&amp;Season=2016-17&amp;flag=1&amp;title=Leonard%208'%20Driving%20Hook%20Shot%20(23%20PTS)%20(Aldridge%205%20AST)", "Leonard 8' Driving Hook Shot (23 PTS) (Aldridge 5 AST)")</f>
        <v>Leonard 8' Driving Hook Shot (23 PTS) (Aldridge 5 AST)</v>
      </c>
      <c r="K3743" s="2" t="str">
        <f>HYPERLINK("https://www.nba.com/game/...-vs-...-0021600657/play-by-play?watchFullGame=true", "SAS vs CLE - Q3 03:32.00")</f>
        <v>SAS vs CLE - Q3 03:32.00</v>
      </c>
      <c r="L3743">
        <v>8</v>
      </c>
      <c r="M3743">
        <v>84</v>
      </c>
      <c r="N3743">
        <v>11</v>
      </c>
      <c r="O3743">
        <v>84</v>
      </c>
      <c r="P3743">
        <v>11</v>
      </c>
    </row>
    <row r="3744" spans="1:16" x14ac:dyDescent="0.25">
      <c r="A3744">
        <v>22400596</v>
      </c>
      <c r="B3744">
        <v>2024</v>
      </c>
      <c r="C3744" t="s">
        <v>32</v>
      </c>
      <c r="D3744" t="s">
        <v>19</v>
      </c>
      <c r="E3744">
        <v>81</v>
      </c>
      <c r="F3744">
        <v>62</v>
      </c>
      <c r="G3744">
        <v>3</v>
      </c>
      <c r="H3744" s="1">
        <v>4.2939814814814811E-3</v>
      </c>
      <c r="I3744" t="s">
        <v>23</v>
      </c>
      <c r="J3744" s="2" t="str">
        <f>HYPERLINK("https://www.nba.com/stats/events?CFID=&amp;CFPARAMS=&amp;GameEventID=350&amp;GameID=0022400596&amp;Season=2024-25&amp;flag=1&amp;title=Leonard%208'%20driving%20floating%20Jump%20Shot%20(17%20PTS)%20(J.%20Harden%209%20AST)", "8' driving floating Jump Shot (17 PTS) (J. Harden 9 AST)")</f>
        <v>8' driving floating Jump Shot (17 PTS) (J. Harden 9 AST)</v>
      </c>
      <c r="K3744" s="2" t="str">
        <f>HYPERLINK("https://www.nba.com/game/...-vs-...-0022400596/play-by-play?watchFullGame=true", "LAC vs LAL - Q3 06:11.00")</f>
        <v>LAC vs LAL - Q3 06:11.00</v>
      </c>
      <c r="L3744">
        <v>8.7799999999999994</v>
      </c>
      <c r="M3744">
        <v>8.15</v>
      </c>
      <c r="N3744">
        <v>33.11</v>
      </c>
      <c r="O3744">
        <v>84</v>
      </c>
      <c r="P3744">
        <v>24</v>
      </c>
    </row>
    <row r="3745" spans="1:16" x14ac:dyDescent="0.25">
      <c r="A3745">
        <v>21400595</v>
      </c>
      <c r="B3745">
        <v>2014</v>
      </c>
      <c r="C3745" t="s">
        <v>32</v>
      </c>
      <c r="D3745" t="s">
        <v>38</v>
      </c>
      <c r="E3745">
        <v>99</v>
      </c>
      <c r="F3745">
        <v>81</v>
      </c>
      <c r="G3745">
        <v>4</v>
      </c>
      <c r="H3745" s="1">
        <v>6.122685185185185E-3</v>
      </c>
      <c r="I3745" t="s">
        <v>18</v>
      </c>
      <c r="J3745" s="2" t="str">
        <f>HYPERLINK("https://www.nba.com/stats/events?CFID=&amp;CFPARAMS=&amp;GameEventID=411&amp;GameID=0021400595&amp;Season=2014-15&amp;flag=1&amp;title=Leonard%209'%20Jump%20Bank%20Shot%20(13%20PTS)%20(Diaw%203%20AST)", "Leonard 9' Jump Bank Shot (13 PTS) (Diaw 3 AST)")</f>
        <v>Leonard 9' Jump Bank Shot (13 PTS) (Diaw 3 AST)</v>
      </c>
      <c r="K3745" s="2" t="str">
        <f>HYPERLINK("https://www.nba.com/game/...-vs-...-0021400595/play-by-play?watchFullGame=true", "SAS vs POR - Q4 08:49.00")</f>
        <v>SAS vs POR - Q4 08:49.00</v>
      </c>
      <c r="L3745">
        <v>9</v>
      </c>
      <c r="M3745">
        <v>84</v>
      </c>
      <c r="N3745">
        <v>30</v>
      </c>
      <c r="O3745">
        <v>84</v>
      </c>
      <c r="P3745">
        <v>30</v>
      </c>
    </row>
    <row r="3746" spans="1:16" x14ac:dyDescent="0.25">
      <c r="A3746">
        <v>21501215</v>
      </c>
      <c r="B3746">
        <v>2015</v>
      </c>
      <c r="C3746" t="s">
        <v>32</v>
      </c>
      <c r="D3746" t="s">
        <v>29</v>
      </c>
      <c r="E3746">
        <v>95</v>
      </c>
      <c r="F3746">
        <v>93</v>
      </c>
      <c r="G3746">
        <v>5</v>
      </c>
      <c r="H3746" s="1">
        <v>2.9745370370370373E-3</v>
      </c>
      <c r="I3746" t="s">
        <v>18</v>
      </c>
      <c r="J3746" s="2" t="str">
        <f>HYPERLINK("https://www.nba.com/stats/events?CFID=&amp;CFPARAMS=&amp;GameEventID=524&amp;GameID=0021501215&amp;Season=2015-16&amp;flag=1&amp;title=Leonard%209'%20Pullup%20Jump%20Shot%20(22%20PTS)", "Leonard 9' Pullup Jump Shot (22 PTS)")</f>
        <v>Leonard 9' Pullup Jump Shot (22 PTS)</v>
      </c>
      <c r="K3746" s="2" t="str">
        <f>HYPERLINK("https://www.nba.com/game/...-vs-...-0021501215/play-by-play?watchFullGame=true", "SAS vs OKC - Q5 04:17.00")</f>
        <v>SAS vs OKC - Q5 04:17.00</v>
      </c>
      <c r="L3746">
        <v>9</v>
      </c>
      <c r="M3746">
        <v>84</v>
      </c>
      <c r="N3746">
        <v>31</v>
      </c>
      <c r="O3746">
        <v>84</v>
      </c>
      <c r="P3746">
        <v>31</v>
      </c>
    </row>
    <row r="3747" spans="1:16" x14ac:dyDescent="0.25">
      <c r="A3747">
        <v>21600213</v>
      </c>
      <c r="B3747">
        <v>2016</v>
      </c>
      <c r="C3747" t="s">
        <v>32</v>
      </c>
      <c r="D3747" t="s">
        <v>19</v>
      </c>
      <c r="E3747">
        <v>46</v>
      </c>
      <c r="F3747">
        <v>44</v>
      </c>
      <c r="G3747">
        <v>2</v>
      </c>
      <c r="H3747" s="1">
        <v>3.9351851851851848E-3</v>
      </c>
      <c r="I3747" t="s">
        <v>18</v>
      </c>
      <c r="J3747" s="2" t="str">
        <f>HYPERLINK("https://www.nba.com/stats/events?CFID=&amp;CFPARAMS=&amp;GameEventID=173&amp;GameID=0021600213&amp;Season=2016-17&amp;flag=1&amp;title=Leonard%209'%20Jump%20Shot%20(12%20PTS)", "Leonard 9' Jump Shot (12 PTS)")</f>
        <v>Leonard 9' Jump Shot (12 PTS)</v>
      </c>
      <c r="K3747" s="2" t="str">
        <f>HYPERLINK("https://www.nba.com/game/...-vs-...-0021600213/play-by-play?watchFullGame=true", "SAS vs CHA - Q2 05:40.00")</f>
        <v>SAS vs CHA - Q2 05:40.00</v>
      </c>
      <c r="L3747">
        <v>9</v>
      </c>
      <c r="M3747">
        <v>84</v>
      </c>
      <c r="N3747">
        <v>41</v>
      </c>
      <c r="O3747">
        <v>84</v>
      </c>
      <c r="P3747">
        <v>41</v>
      </c>
    </row>
    <row r="3748" spans="1:16" x14ac:dyDescent="0.25">
      <c r="A3748">
        <v>21600077</v>
      </c>
      <c r="B3748">
        <v>2016</v>
      </c>
      <c r="C3748" t="s">
        <v>32</v>
      </c>
      <c r="D3748" t="s">
        <v>46</v>
      </c>
      <c r="E3748">
        <v>13</v>
      </c>
      <c r="F3748">
        <v>12</v>
      </c>
      <c r="G3748">
        <v>1</v>
      </c>
      <c r="H3748" s="1">
        <v>4.1550925925925922E-3</v>
      </c>
      <c r="I3748" t="s">
        <v>18</v>
      </c>
      <c r="J3748" s="2" t="str">
        <f>HYPERLINK("https://www.nba.com/stats/events?CFID=&amp;CFPARAMS=&amp;GameEventID=52&amp;GameID=0021600077&amp;Season=2016-17&amp;flag=1&amp;title=Leonard%209'%20Driving%20Floating%20Bank%20Jump%20Shot%20(4%20PTS)", "Leonard 9' Driving Floating Bank Jump Shot (4 PTS)")</f>
        <v>Leonard 9' Driving Floating Bank Jump Shot (4 PTS)</v>
      </c>
      <c r="K3748" s="2" t="str">
        <f>HYPERLINK("https://www.nba.com/game/...-vs-...-0021600077/play-by-play?watchFullGame=true", "SAS vs UTA - Q1 05:59.00")</f>
        <v>SAS vs UTA - Q1 05:59.00</v>
      </c>
      <c r="L3748">
        <v>9</v>
      </c>
      <c r="M3748">
        <v>84</v>
      </c>
      <c r="N3748">
        <v>41</v>
      </c>
      <c r="O3748">
        <v>84</v>
      </c>
      <c r="P3748">
        <v>41</v>
      </c>
    </row>
    <row r="3749" spans="1:16" x14ac:dyDescent="0.25">
      <c r="A3749">
        <v>42200171</v>
      </c>
      <c r="B3749" t="s">
        <v>86</v>
      </c>
      <c r="C3749" t="s">
        <v>32</v>
      </c>
      <c r="D3749" t="s">
        <v>19</v>
      </c>
      <c r="E3749">
        <v>10</v>
      </c>
      <c r="F3749">
        <v>10</v>
      </c>
      <c r="G3749">
        <v>1</v>
      </c>
      <c r="H3749" s="1">
        <v>4.6412037037037038E-3</v>
      </c>
      <c r="I3749" t="s">
        <v>23</v>
      </c>
      <c r="J3749" s="2" t="str">
        <f>HYPERLINK("https://www.nba.com/stats/events?CFID=&amp;CFPARAMS=&amp;GameEventID=54&amp;GameID=0042200171&amp;Season=2022-23&amp;flag=1&amp;title=Leonard%209'%20fadeaway%20Jump%20Shot%20(3%20PTS)", "9' fadeaway Jump Shot (3 PTS)")</f>
        <v>9' fadeaway Jump Shot (3 PTS)</v>
      </c>
      <c r="K3749" s="2" t="str">
        <f>HYPERLINK("https://www.nba.com/game/...-vs-...-0042200171/play-by-play?watchFullGame=true", "LAC vs PHX - Q1 06:41.00")</f>
        <v>LAC vs PHX - Q1 06:41.00</v>
      </c>
      <c r="L3749">
        <v>9.33</v>
      </c>
      <c r="M3749">
        <v>84.71</v>
      </c>
      <c r="N3749">
        <v>46.08</v>
      </c>
      <c r="O3749">
        <v>84</v>
      </c>
      <c r="P3749">
        <v>46</v>
      </c>
    </row>
    <row r="3750" spans="1:16" x14ac:dyDescent="0.25">
      <c r="A3750">
        <v>22300151</v>
      </c>
      <c r="B3750">
        <v>2023</v>
      </c>
      <c r="C3750" t="s">
        <v>32</v>
      </c>
      <c r="D3750" t="s">
        <v>19</v>
      </c>
      <c r="E3750">
        <v>8</v>
      </c>
      <c r="F3750">
        <v>10</v>
      </c>
      <c r="G3750">
        <v>1</v>
      </c>
      <c r="H3750" s="1">
        <v>4.3750000000000004E-3</v>
      </c>
      <c r="I3750" t="s">
        <v>23</v>
      </c>
      <c r="J3750" s="2" t="str">
        <f>HYPERLINK("https://www.nba.com/stats/events?CFID=&amp;CFPARAMS=&amp;GameEventID=53&amp;GameID=0022300151&amp;Season=2023-24&amp;flag=1&amp;title=Leonard%209'%20pullup%20Jump%20Shot%20(2%20PTS)%20(R.%20Westbrook%201%20AST)", "9' pullup Jump Shot (2 PTS) (R. Westbrook 1 AST)")</f>
        <v>9' pullup Jump Shot (2 PTS) (R. Westbrook 1 AST)</v>
      </c>
      <c r="K3750" s="2" t="str">
        <f>HYPERLINK("https://www.nba.com/game/...-vs-...-0022300151/play-by-play?watchFullGame=true", "LAC vs NYK - Q1 06:18.00")</f>
        <v>LAC vs NYK - Q1 06:18.00</v>
      </c>
      <c r="L3750">
        <v>9.25</v>
      </c>
      <c r="M3750">
        <v>84.58</v>
      </c>
      <c r="N3750">
        <v>50</v>
      </c>
      <c r="O3750">
        <v>84</v>
      </c>
      <c r="P3750">
        <v>92</v>
      </c>
    </row>
    <row r="3751" spans="1:16" x14ac:dyDescent="0.25">
      <c r="A3751">
        <v>41600233</v>
      </c>
      <c r="B3751" t="s">
        <v>30</v>
      </c>
      <c r="C3751" t="s">
        <v>32</v>
      </c>
      <c r="D3751" t="s">
        <v>29</v>
      </c>
      <c r="E3751">
        <v>55</v>
      </c>
      <c r="F3751">
        <v>58</v>
      </c>
      <c r="G3751">
        <v>3</v>
      </c>
      <c r="H3751" s="1">
        <v>3.6458333333333334E-3</v>
      </c>
      <c r="I3751" t="s">
        <v>18</v>
      </c>
      <c r="J3751" s="2" t="str">
        <f>HYPERLINK("https://www.nba.com/stats/events?CFID=&amp;CFPARAMS=&amp;GameEventID=324&amp;GameID=0041600233&amp;Season=2016-17&amp;flag=1&amp;title=Leonard%2015'%20Pullup%20Jump%20Shot%20(19%20PTS)", "Leonard 15' Pullup Jump Shot (19 PTS)")</f>
        <v>Leonard 15' Pullup Jump Shot (19 PTS)</v>
      </c>
      <c r="K3751" s="2" t="str">
        <f>HYPERLINK("https://www.nba.com/game/...-vs-...-0041600233/play-by-play?watchFullGame=true", "SAS vs HOU - Q3 05:15.00")</f>
        <v>SAS vs HOU - Q3 05:15.00</v>
      </c>
      <c r="L3751">
        <v>15</v>
      </c>
      <c r="M3751">
        <v>84</v>
      </c>
      <c r="N3751">
        <v>121</v>
      </c>
      <c r="O3751">
        <v>84</v>
      </c>
      <c r="P3751">
        <v>121</v>
      </c>
    </row>
    <row r="3752" spans="1:16" x14ac:dyDescent="0.25">
      <c r="A3752">
        <v>22000736</v>
      </c>
      <c r="B3752">
        <v>2020</v>
      </c>
      <c r="C3752" t="s">
        <v>32</v>
      </c>
      <c r="D3752" t="s">
        <v>19</v>
      </c>
      <c r="E3752">
        <v>63</v>
      </c>
      <c r="F3752">
        <v>73</v>
      </c>
      <c r="G3752">
        <v>3</v>
      </c>
      <c r="H3752" s="1">
        <v>3.5648148148148149E-3</v>
      </c>
      <c r="I3752" t="s">
        <v>23</v>
      </c>
      <c r="J3752" s="2" t="str">
        <f>HYPERLINK("https://www.nba.com/stats/events?CFID=&amp;CFPARAMS=&amp;GameEventID=382&amp;GameID=0022000736&amp;Season=2020-21&amp;flag=1&amp;title=Leonard%2016'%20pullup%20Jump%20Shot%20(17%20PTS)", "16' pullup Jump Shot (17 PTS)")</f>
        <v>16' pullup Jump Shot (17 PTS)</v>
      </c>
      <c r="K3752" s="2" t="str">
        <f>HYPERLINK("https://www.nba.com/game/...-vs-...-0022000736/play-by-play?watchFullGame=true", "LAC vs DEN - Q3 05:08.00")</f>
        <v>LAC vs DEN - Q3 05:08.00</v>
      </c>
      <c r="L3752">
        <v>16.53</v>
      </c>
      <c r="M3752">
        <v>20.71</v>
      </c>
      <c r="N3752">
        <v>33.159999999999997</v>
      </c>
      <c r="O3752">
        <v>84</v>
      </c>
      <c r="P3752">
        <v>142</v>
      </c>
    </row>
    <row r="3753" spans="1:16" x14ac:dyDescent="0.25">
      <c r="A3753">
        <v>41600153</v>
      </c>
      <c r="B3753" t="s">
        <v>30</v>
      </c>
      <c r="C3753" t="s">
        <v>32</v>
      </c>
      <c r="D3753" t="s">
        <v>19</v>
      </c>
      <c r="E3753">
        <v>36</v>
      </c>
      <c r="F3753">
        <v>39</v>
      </c>
      <c r="G3753">
        <v>2</v>
      </c>
      <c r="H3753" s="1">
        <v>2.5810185185185185E-3</v>
      </c>
      <c r="I3753" t="s">
        <v>18</v>
      </c>
      <c r="J3753" s="2" t="str">
        <f>HYPERLINK("https://www.nba.com/stats/events?CFID=&amp;CFPARAMS=&amp;GameEventID=187&amp;GameID=0041600153&amp;Season=2016-17&amp;flag=1&amp;title=Leonard%2017'%20Jump%20Shot%20(16%20PTS)", "Leonard 17' Jump Shot (16 PTS)")</f>
        <v>Leonard 17' Jump Shot (16 PTS)</v>
      </c>
      <c r="K3753" s="2" t="str">
        <f>HYPERLINK("https://www.nba.com/game/...-vs-...-0041600153/play-by-play?watchFullGame=true", "SAS vs MEM - Q2 03:43.00")</f>
        <v>SAS vs MEM - Q2 03:43.00</v>
      </c>
      <c r="L3753">
        <v>17</v>
      </c>
      <c r="M3753">
        <v>84</v>
      </c>
      <c r="N3753">
        <v>151</v>
      </c>
      <c r="O3753">
        <v>84</v>
      </c>
      <c r="P3753">
        <v>151</v>
      </c>
    </row>
    <row r="3754" spans="1:16" x14ac:dyDescent="0.25">
      <c r="A3754">
        <v>21600902</v>
      </c>
      <c r="B3754">
        <v>2016</v>
      </c>
      <c r="C3754" t="s">
        <v>32</v>
      </c>
      <c r="D3754" t="s">
        <v>29</v>
      </c>
      <c r="E3754">
        <v>95</v>
      </c>
      <c r="F3754">
        <v>91</v>
      </c>
      <c r="G3754">
        <v>4</v>
      </c>
      <c r="H3754" s="1">
        <v>2.8587962962962963E-3</v>
      </c>
      <c r="I3754" t="s">
        <v>18</v>
      </c>
      <c r="J3754" s="2" t="str">
        <f>HYPERLINK("https://www.nba.com/stats/events?CFID=&amp;CFPARAMS=&amp;GameEventID=476&amp;GameID=0021600902&amp;Season=2016-17&amp;flag=1&amp;title=Leonard%2018'%20Pullup%20Jump%20Shot%20(26%20PTS)", "Leonard 18' Pullup Jump Shot (26 PTS)")</f>
        <v>Leonard 18' Pullup Jump Shot (26 PTS)</v>
      </c>
      <c r="K3754" s="2" t="str">
        <f>HYPERLINK("https://www.nba.com/game/...-vs-...-0021600902/play-by-play?watchFullGame=true", "SAS vs IND - Q4 04:07.00")</f>
        <v>SAS vs IND - Q4 04:07.00</v>
      </c>
      <c r="L3754">
        <v>18</v>
      </c>
      <c r="M3754">
        <v>84</v>
      </c>
      <c r="N3754">
        <v>154</v>
      </c>
      <c r="O3754">
        <v>84</v>
      </c>
      <c r="P3754">
        <v>154</v>
      </c>
    </row>
    <row r="3755" spans="1:16" x14ac:dyDescent="0.25">
      <c r="A3755">
        <v>21600272</v>
      </c>
      <c r="B3755">
        <v>2016</v>
      </c>
      <c r="C3755" t="s">
        <v>16</v>
      </c>
      <c r="D3755" t="s">
        <v>19</v>
      </c>
      <c r="E3755">
        <v>62</v>
      </c>
      <c r="F3755">
        <v>54</v>
      </c>
      <c r="G3755">
        <v>3</v>
      </c>
      <c r="H3755" s="1">
        <v>1.238425925925926E-3</v>
      </c>
      <c r="I3755" t="s">
        <v>18</v>
      </c>
      <c r="J3755" s="2" t="str">
        <f>HYPERLINK("https://www.nba.com/stats/events?CFID=&amp;CFPARAMS=&amp;GameEventID=339&amp;GameID=0021600272&amp;Season=2016-17&amp;flag=1&amp;title=Leonard%2024'%203PT%20Jump%20Shot%20(8%20PTS)%20(Mills%203%20AST)", "Leonard 24' 3PT Jump Shot (8 PTS) (Mills 3 AST)")</f>
        <v>Leonard 24' 3PT Jump Shot (8 PTS) (Mills 3 AST)</v>
      </c>
      <c r="K3755" s="2" t="str">
        <f>HYPERLINK("https://www.nba.com/game/...-vs-...-0021600272/play-by-play?watchFullGame=true", "SAS vs DAL - Q3 01:47.00")</f>
        <v>SAS vs DAL - Q3 01:47.00</v>
      </c>
      <c r="L3755">
        <v>24</v>
      </c>
      <c r="M3755">
        <v>84</v>
      </c>
      <c r="N3755">
        <v>229</v>
      </c>
      <c r="O3755">
        <v>84</v>
      </c>
      <c r="P3755">
        <v>229</v>
      </c>
    </row>
    <row r="3756" spans="1:16" x14ac:dyDescent="0.25">
      <c r="A3756">
        <v>21500909</v>
      </c>
      <c r="B3756">
        <v>2015</v>
      </c>
      <c r="C3756" t="s">
        <v>16</v>
      </c>
      <c r="D3756" t="s">
        <v>19</v>
      </c>
      <c r="E3756">
        <v>36</v>
      </c>
      <c r="F3756">
        <v>41</v>
      </c>
      <c r="G3756">
        <v>2</v>
      </c>
      <c r="H3756" s="1">
        <v>2.638888888888889E-3</v>
      </c>
      <c r="I3756" t="s">
        <v>18</v>
      </c>
      <c r="J3756" s="2" t="str">
        <f>HYPERLINK("https://www.nba.com/stats/events?CFID=&amp;CFPARAMS=&amp;GameEventID=203&amp;GameID=0021500909&amp;Season=2015-16&amp;flag=1&amp;title=Leonard%2025'%203PT%20Jump%20Shot%20(15%20PTS)%20(Butler%201%20AST)", "Leonard 25' 3PT Jump Shot (15 PTS) (Butler 1 AST)")</f>
        <v>Leonard 25' 3PT Jump Shot (15 PTS) (Butler 1 AST)</v>
      </c>
      <c r="K3756" s="2" t="str">
        <f>HYPERLINK("https://www.nba.com/game/...-vs-...-0021500909/play-by-play?watchFullGame=true", "SAS vs NOP - Q2 03:48.00")</f>
        <v>SAS vs NOP - Q2 03:48.00</v>
      </c>
      <c r="L3756">
        <v>25</v>
      </c>
      <c r="M3756">
        <v>84</v>
      </c>
      <c r="N3756">
        <v>232</v>
      </c>
      <c r="O3756">
        <v>84</v>
      </c>
      <c r="P3756">
        <v>232</v>
      </c>
    </row>
    <row r="3757" spans="1:16" x14ac:dyDescent="0.25">
      <c r="A3757">
        <v>21900499</v>
      </c>
      <c r="B3757">
        <v>2019</v>
      </c>
      <c r="C3757" t="s">
        <v>32</v>
      </c>
      <c r="D3757" t="s">
        <v>22</v>
      </c>
      <c r="E3757">
        <v>13</v>
      </c>
      <c r="F3757">
        <v>16</v>
      </c>
      <c r="G3757">
        <v>1</v>
      </c>
      <c r="H3757" s="1">
        <v>2.8703703703703703E-3</v>
      </c>
      <c r="I3757" t="s">
        <v>23</v>
      </c>
      <c r="J3757" s="2" t="str">
        <f>HYPERLINK("https://www.nba.com/stats/events?CFID=&amp;CFPARAMS=&amp;GameEventID=108&amp;GameID=0021900499&amp;Season=2019-20&amp;flag=1&amp;title=Leonard%209'%20jumpshot%20(4%20PTS)", "9' jumpshot (4 PTS)")</f>
        <v>9' jumpshot (4 PTS)</v>
      </c>
      <c r="K3757" s="2" t="str">
        <f>HYPERLINK("https://www.nba.com/game/...-vs-...-0021900499/play-by-play?watchFullGame=true", "LAC vs SAC - Q1 04:08.00")</f>
        <v>LAC vs SAC - Q1 04:08.00</v>
      </c>
      <c r="L3757">
        <v>9.49</v>
      </c>
      <c r="M3757">
        <v>90.49</v>
      </c>
      <c r="N3757">
        <v>66.98</v>
      </c>
      <c r="O3757">
        <v>85</v>
      </c>
      <c r="P3757">
        <v>37</v>
      </c>
    </row>
    <row r="3758" spans="1:16" x14ac:dyDescent="0.25">
      <c r="A3758">
        <v>42300172</v>
      </c>
      <c r="B3758" t="s">
        <v>84</v>
      </c>
      <c r="C3758" t="s">
        <v>32</v>
      </c>
      <c r="D3758" t="s">
        <v>19</v>
      </c>
      <c r="E3758">
        <v>23</v>
      </c>
      <c r="F3758">
        <v>25</v>
      </c>
      <c r="G3758">
        <v>2</v>
      </c>
      <c r="H3758" s="1">
        <v>7.1527777777777779E-3</v>
      </c>
      <c r="I3758" t="s">
        <v>23</v>
      </c>
      <c r="J3758" s="2" t="str">
        <f>HYPERLINK("https://www.nba.com/stats/events?CFID=&amp;CFPARAMS=&amp;GameEventID=202&amp;GameID=0042300172&amp;Season=2023-24&amp;flag=1&amp;title=Leonard%2010'%20pullup%20Jump%20Shot%20(2%20PTS)", "10' pullup Jump Shot (2 PTS)")</f>
        <v>10' pullup Jump Shot (2 PTS)</v>
      </c>
      <c r="K3758" s="2" t="str">
        <f>HYPERLINK("https://www.nba.com/game/...-vs-...-0042300172/play-by-play?watchFullGame=true", "LAC vs DAL - Q2 10:18.00")</f>
        <v>LAC vs DAL - Q2 10:18.00</v>
      </c>
      <c r="L3758">
        <v>10.41</v>
      </c>
      <c r="M3758">
        <v>85.46</v>
      </c>
      <c r="N3758">
        <v>37.75</v>
      </c>
      <c r="O3758">
        <v>85</v>
      </c>
      <c r="P3758">
        <v>37</v>
      </c>
    </row>
    <row r="3759" spans="1:16" x14ac:dyDescent="0.25">
      <c r="A3759">
        <v>42000172</v>
      </c>
      <c r="B3759" t="s">
        <v>83</v>
      </c>
      <c r="C3759" t="s">
        <v>32</v>
      </c>
      <c r="D3759" t="s">
        <v>19</v>
      </c>
      <c r="E3759">
        <v>20</v>
      </c>
      <c r="F3759">
        <v>26</v>
      </c>
      <c r="G3759">
        <v>1</v>
      </c>
      <c r="H3759" s="1">
        <v>3.0092592592592593E-3</v>
      </c>
      <c r="I3759" t="s">
        <v>23</v>
      </c>
      <c r="J3759" s="2" t="str">
        <f>HYPERLINK("https://www.nba.com/stats/events?CFID=&amp;CFPARAMS=&amp;GameEventID=79&amp;GameID=0042000172&amp;Season=2020-21&amp;flag=1&amp;title=Leonard%209'%20floating%20Jump%20Shot%20(10%20PTS)", "9' floating Jump Shot (10 PTS)")</f>
        <v>9' floating Jump Shot (10 PTS)</v>
      </c>
      <c r="K3759" s="2" t="str">
        <f>HYPERLINK("https://www.nba.com/game/...-vs-...-0042000172/play-by-play?watchFullGame=true", "LAC vs DAL - Q1 04:20.00")</f>
        <v>LAC vs DAL - Q1 04:20.00</v>
      </c>
      <c r="L3759">
        <v>9.17</v>
      </c>
      <c r="M3759">
        <v>85.1</v>
      </c>
      <c r="N3759">
        <v>55.46</v>
      </c>
      <c r="O3759">
        <v>85</v>
      </c>
      <c r="P3759">
        <v>55</v>
      </c>
    </row>
    <row r="3760" spans="1:16" x14ac:dyDescent="0.25">
      <c r="A3760">
        <v>22300037</v>
      </c>
      <c r="B3760">
        <v>2023</v>
      </c>
      <c r="C3760" t="s">
        <v>32</v>
      </c>
      <c r="D3760" t="s">
        <v>19</v>
      </c>
      <c r="E3760">
        <v>55</v>
      </c>
      <c r="F3760">
        <v>51</v>
      </c>
      <c r="G3760">
        <v>3</v>
      </c>
      <c r="H3760" s="1">
        <v>7.1412037037037034E-3</v>
      </c>
      <c r="I3760" t="s">
        <v>23</v>
      </c>
      <c r="J3760" s="2" t="str">
        <f>HYPERLINK("https://www.nba.com/stats/events?CFID=&amp;CFPARAMS=&amp;GameEventID=377&amp;GameID=0022300037&amp;Season=2023-24&amp;flag=1&amp;title=Leonard%2011'%20turnaround%20Jump%20Shot%20(16%20PTS)%20(J.%20Harden%203%20AST)", "11' turnaround Jump Shot (16 PTS) (J. Harden 3 AST)")</f>
        <v>11' turnaround Jump Shot (16 PTS) (J. Harden 3 AST)</v>
      </c>
      <c r="K3760" s="2" t="str">
        <f>HYPERLINK("https://www.nba.com/game/...-vs-...-0022300037/play-by-play?watchFullGame=true", "LAC vs HOU - Q3 10:17.00")</f>
        <v>LAC vs HOU - Q3 10:17.00</v>
      </c>
      <c r="L3760">
        <v>11.51</v>
      </c>
      <c r="M3760">
        <v>86.12</v>
      </c>
      <c r="N3760">
        <v>66.91</v>
      </c>
      <c r="O3760">
        <v>85</v>
      </c>
      <c r="P3760">
        <v>78</v>
      </c>
    </row>
    <row r="3761" spans="1:16" x14ac:dyDescent="0.25">
      <c r="A3761">
        <v>41800405</v>
      </c>
      <c r="B3761" t="s">
        <v>20</v>
      </c>
      <c r="C3761" t="s">
        <v>32</v>
      </c>
      <c r="D3761" t="s">
        <v>29</v>
      </c>
      <c r="E3761">
        <v>103</v>
      </c>
      <c r="F3761">
        <v>97</v>
      </c>
      <c r="G3761">
        <v>4</v>
      </c>
      <c r="H3761" s="1">
        <v>2.4074074074074076E-3</v>
      </c>
      <c r="I3761" t="s">
        <v>21</v>
      </c>
      <c r="J3761" s="2" t="str">
        <f>HYPERLINK("https://www.nba.com/stats/events?CFID=&amp;CFPARAMS=&amp;GameEventID=602&amp;GameID=0041800405&amp;Season=2018-19&amp;flag=1&amp;title=Leonard%2016'%20Pullup%20Jump%20Shot%20(26%20PTS)", "Leonard 16' Pullup Jump Shot (26 PTS)")</f>
        <v>Leonard 16' Pullup Jump Shot (26 PTS)</v>
      </c>
      <c r="K3761" s="2" t="str">
        <f>HYPERLINK("https://www.nba.com/game/...-vs-...-0041800405/play-by-play?watchFullGame=true", "TOR vs GSW - Q4 03:28.00")</f>
        <v>TOR vs GSW - Q4 03:28.00</v>
      </c>
      <c r="L3761">
        <v>16</v>
      </c>
      <c r="M3761">
        <v>85</v>
      </c>
      <c r="N3761">
        <v>135</v>
      </c>
      <c r="O3761">
        <v>85</v>
      </c>
      <c r="P3761">
        <v>135</v>
      </c>
    </row>
    <row r="3762" spans="1:16" x14ac:dyDescent="0.25">
      <c r="A3762">
        <v>41800216</v>
      </c>
      <c r="B3762" t="s">
        <v>20</v>
      </c>
      <c r="C3762" t="s">
        <v>32</v>
      </c>
      <c r="D3762" t="s">
        <v>33</v>
      </c>
      <c r="E3762">
        <v>25</v>
      </c>
      <c r="F3762">
        <v>19</v>
      </c>
      <c r="G3762">
        <v>1</v>
      </c>
      <c r="H3762" s="1">
        <v>1.0416666666666667E-3</v>
      </c>
      <c r="I3762" t="s">
        <v>21</v>
      </c>
      <c r="J3762" s="2" t="str">
        <f>HYPERLINK("https://www.nba.com/stats/events?CFID=&amp;CFPARAMS=&amp;GameEventID=136&amp;GameID=0041800216&amp;Season=2018-19&amp;flag=1&amp;title=Leonard%2017'%20Fadeaway%20Jumper%20(8%20PTS)", "Leonard 17' Fadeaway Jumper (8 PTS)")</f>
        <v>Leonard 17' Fadeaway Jumper (8 PTS)</v>
      </c>
      <c r="K3762" s="2" t="str">
        <f>HYPERLINK("https://www.nba.com/game/...-vs-...-0041800216/play-by-play?watchFullGame=true", "TOR vs PHI - Q1 01:30.00")</f>
        <v>TOR vs PHI - Q1 01:30.00</v>
      </c>
      <c r="L3762">
        <v>17</v>
      </c>
      <c r="M3762">
        <v>85</v>
      </c>
      <c r="N3762">
        <v>152</v>
      </c>
      <c r="O3762">
        <v>85</v>
      </c>
      <c r="P3762">
        <v>152</v>
      </c>
    </row>
    <row r="3763" spans="1:16" x14ac:dyDescent="0.25">
      <c r="A3763">
        <v>22200604</v>
      </c>
      <c r="B3763">
        <v>2022</v>
      </c>
      <c r="C3763" t="s">
        <v>32</v>
      </c>
      <c r="D3763" t="s">
        <v>19</v>
      </c>
      <c r="E3763">
        <v>11</v>
      </c>
      <c r="F3763">
        <v>6</v>
      </c>
      <c r="G3763">
        <v>1</v>
      </c>
      <c r="H3763" s="1">
        <v>5.8449074074074072E-3</v>
      </c>
      <c r="I3763" t="s">
        <v>23</v>
      </c>
      <c r="J3763" s="2" t="str">
        <f>HYPERLINK("https://www.nba.com/stats/events?CFID=&amp;CFPARAMS=&amp;GameEventID=38&amp;GameID=0022200604&amp;Season=2022-23&amp;flag=1&amp;title=Leonard%2020'%20Jump%20Shot%20(2%20PTS)%20(N.%20Batum%201%20AST)", "20' Jump Shot (2 PTS) (N. Batum 1 AST)")</f>
        <v>20' Jump Shot (2 PTS) (N. Batum 1 AST)</v>
      </c>
      <c r="K3763" s="2" t="str">
        <f>HYPERLINK("https://www.nba.com/game/...-vs-...-0022200604/play-by-play?watchFullGame=true", "LAC vs ATL - Q1 08:25.00")</f>
        <v>LAC vs ATL - Q1 08:25.00</v>
      </c>
      <c r="L3763">
        <v>20.61</v>
      </c>
      <c r="M3763">
        <v>74.430000000000007</v>
      </c>
      <c r="N3763">
        <v>66.91</v>
      </c>
      <c r="O3763">
        <v>85</v>
      </c>
      <c r="P3763">
        <v>188</v>
      </c>
    </row>
    <row r="3764" spans="1:16" x14ac:dyDescent="0.25">
      <c r="A3764">
        <v>22200902</v>
      </c>
      <c r="B3764">
        <v>2022</v>
      </c>
      <c r="C3764" t="s">
        <v>16</v>
      </c>
      <c r="D3764" t="s">
        <v>19</v>
      </c>
      <c r="E3764">
        <v>92</v>
      </c>
      <c r="F3764">
        <v>83</v>
      </c>
      <c r="G3764">
        <v>3</v>
      </c>
      <c r="H3764" s="1">
        <v>5.8101851851851856E-3</v>
      </c>
      <c r="I3764" t="s">
        <v>23</v>
      </c>
      <c r="J3764" s="2" t="str">
        <f>HYPERLINK("https://www.nba.com/stats/events?CFID=&amp;CFPARAMS=&amp;GameEventID=388&amp;GameID=0022200902&amp;Season=2022-23&amp;flag=1&amp;title=Leonard%2025'%203PT%20%20(26%20PTS)%20(R.%20Westbrook%2010%20AST)", "25' 3PT  (26 PTS) (R. Westbrook 10 AST)")</f>
        <v>25' 3PT  (26 PTS) (R. Westbrook 10 AST)</v>
      </c>
      <c r="K3764" s="2" t="str">
        <f>HYPERLINK("https://www.nba.com/game/...-vs-...-0022200902/play-by-play?watchFullGame=true", "LAC vs SAC - Q3 08:22.00")</f>
        <v>LAC vs SAC - Q3 08:22.00</v>
      </c>
      <c r="L3764">
        <v>25.86</v>
      </c>
      <c r="M3764">
        <v>31.59</v>
      </c>
      <c r="N3764">
        <v>33.090000000000003</v>
      </c>
      <c r="O3764">
        <v>85</v>
      </c>
      <c r="P3764">
        <v>244</v>
      </c>
    </row>
    <row r="3765" spans="1:16" x14ac:dyDescent="0.25">
      <c r="A3765">
        <v>41800213</v>
      </c>
      <c r="B3765" t="s">
        <v>20</v>
      </c>
      <c r="C3765" t="s">
        <v>32</v>
      </c>
      <c r="D3765" t="s">
        <v>33</v>
      </c>
      <c r="E3765">
        <v>9</v>
      </c>
      <c r="F3765">
        <v>5</v>
      </c>
      <c r="G3765">
        <v>1</v>
      </c>
      <c r="H3765" s="1">
        <v>6.3425925925925924E-3</v>
      </c>
      <c r="I3765" t="s">
        <v>21</v>
      </c>
      <c r="J3765" s="2" t="str">
        <f>HYPERLINK("https://www.nba.com/stats/events?CFID=&amp;CFPARAMS=&amp;GameEventID=30&amp;GameID=0041800213&amp;Season=2018-19&amp;flag=1&amp;title=Leonard%209'%20Fadeaway%20Jumper%20(5%20PTS)", "Leonard 9' Fadeaway Jumper (5 PTS)")</f>
        <v>Leonard 9' Fadeaway Jumper (5 PTS)</v>
      </c>
      <c r="K3765" s="2" t="str">
        <f>HYPERLINK("https://www.nba.com/game/...-vs-...-0041800213/play-by-play?watchFullGame=true", "TOR vs PHI - Q1 09:08.00")</f>
        <v>TOR vs PHI - Q1 09:08.00</v>
      </c>
      <c r="L3765">
        <v>9</v>
      </c>
      <c r="M3765">
        <v>86</v>
      </c>
      <c r="N3765">
        <v>-32</v>
      </c>
      <c r="O3765">
        <v>86</v>
      </c>
      <c r="P3765">
        <v>-32</v>
      </c>
    </row>
    <row r="3766" spans="1:16" x14ac:dyDescent="0.25">
      <c r="A3766">
        <v>21400964</v>
      </c>
      <c r="B3766">
        <v>2014</v>
      </c>
      <c r="C3766" t="s">
        <v>32</v>
      </c>
      <c r="D3766" t="s">
        <v>41</v>
      </c>
      <c r="E3766">
        <v>112</v>
      </c>
      <c r="F3766">
        <v>110</v>
      </c>
      <c r="G3766">
        <v>5</v>
      </c>
      <c r="H3766" s="1">
        <v>3.2638888888888891E-3</v>
      </c>
      <c r="I3766" t="s">
        <v>18</v>
      </c>
      <c r="J3766" s="2" t="str">
        <f>HYPERLINK("https://www.nba.com/stats/events?CFID=&amp;CFPARAMS=&amp;GameEventID=521&amp;GameID=0021400964&amp;Season=2014-15&amp;flag=1&amp;title=Leonard%209'%20Turnaround%20Bank%20Shot%20(24%20PTS)", "Leonard 9' Turnaround Bank Shot (24 PTS)")</f>
        <v>Leonard 9' Turnaround Bank Shot (24 PTS)</v>
      </c>
      <c r="K3766" s="2" t="str">
        <f>HYPERLINK("https://www.nba.com/game/...-vs-...-0021400964/play-by-play?watchFullGame=true", "SAS vs CLE - Q5 04:42.00")</f>
        <v>SAS vs CLE - Q5 04:42.00</v>
      </c>
      <c r="L3766">
        <v>9</v>
      </c>
      <c r="M3766">
        <v>86</v>
      </c>
      <c r="N3766">
        <v>-3</v>
      </c>
      <c r="O3766">
        <v>86</v>
      </c>
      <c r="P3766">
        <v>-3</v>
      </c>
    </row>
    <row r="3767" spans="1:16" x14ac:dyDescent="0.25">
      <c r="A3767">
        <v>21400191</v>
      </c>
      <c r="B3767">
        <v>2014</v>
      </c>
      <c r="C3767" t="s">
        <v>32</v>
      </c>
      <c r="D3767" t="s">
        <v>19</v>
      </c>
      <c r="E3767">
        <v>96</v>
      </c>
      <c r="F3767">
        <v>81</v>
      </c>
      <c r="G3767">
        <v>4</v>
      </c>
      <c r="H3767" s="1">
        <v>1.4120370370370369E-3</v>
      </c>
      <c r="I3767" t="s">
        <v>18</v>
      </c>
      <c r="J3767" s="2" t="str">
        <f>HYPERLINK("https://www.nba.com/stats/events?CFID=&amp;CFPARAMS=&amp;GameEventID=438&amp;GameID=0021400191&amp;Season=2014-15&amp;flag=1&amp;title=Leonard%209'%20Jump%20Shot%20(20%20PTS)", "Leonard 9' Jump Shot (20 PTS)")</f>
        <v>Leonard 9' Jump Shot (20 PTS)</v>
      </c>
      <c r="K3767" s="2" t="str">
        <f>HYPERLINK("https://www.nba.com/game/...-vs-...-0021400191/play-by-play?watchFullGame=true", "SAS vs BKN - Q4 02:02.00")</f>
        <v>SAS vs BKN - Q4 02:02.00</v>
      </c>
      <c r="L3767">
        <v>9</v>
      </c>
      <c r="M3767">
        <v>86</v>
      </c>
      <c r="N3767">
        <v>11</v>
      </c>
      <c r="O3767">
        <v>86</v>
      </c>
      <c r="P3767">
        <v>11</v>
      </c>
    </row>
    <row r="3768" spans="1:16" x14ac:dyDescent="0.25">
      <c r="A3768">
        <v>21500123</v>
      </c>
      <c r="B3768">
        <v>2015</v>
      </c>
      <c r="C3768" t="s">
        <v>32</v>
      </c>
      <c r="D3768" t="s">
        <v>34</v>
      </c>
      <c r="E3768">
        <v>37</v>
      </c>
      <c r="F3768">
        <v>47</v>
      </c>
      <c r="G3768">
        <v>2</v>
      </c>
      <c r="H3768" s="1">
        <v>2.627314814814815E-3</v>
      </c>
      <c r="I3768" t="s">
        <v>18</v>
      </c>
      <c r="J3768" s="2" t="str">
        <f>HYPERLINK("https://www.nba.com/stats/events?CFID=&amp;CFPARAMS=&amp;GameEventID=181&amp;GameID=0021500123&amp;Season=2015-16&amp;flag=1&amp;title=Leonard%209'%20Turnaround%20Fadeaway%20(11%20PTS)", "Leonard 9' Turnaround Fadeaway (11 PTS)")</f>
        <v>Leonard 9' Turnaround Fadeaway (11 PTS)</v>
      </c>
      <c r="K3768" s="2" t="str">
        <f>HYPERLINK("https://www.nba.com/game/...-vs-...-0021500123/play-by-play?watchFullGame=true", "SAS vs POR - Q2 03:47.00")</f>
        <v>SAS vs POR - Q2 03:47.00</v>
      </c>
      <c r="L3768">
        <v>9</v>
      </c>
      <c r="M3768">
        <v>86</v>
      </c>
      <c r="N3768">
        <v>16</v>
      </c>
      <c r="O3768">
        <v>86</v>
      </c>
      <c r="P3768">
        <v>16</v>
      </c>
    </row>
    <row r="3769" spans="1:16" x14ac:dyDescent="0.25">
      <c r="A3769">
        <v>21400689</v>
      </c>
      <c r="B3769">
        <v>2014</v>
      </c>
      <c r="C3769" t="s">
        <v>32</v>
      </c>
      <c r="D3769" t="s">
        <v>24</v>
      </c>
      <c r="E3769">
        <v>59</v>
      </c>
      <c r="F3769">
        <v>44</v>
      </c>
      <c r="G3769">
        <v>3</v>
      </c>
      <c r="H3769" s="1">
        <v>6.7592592592592591E-3</v>
      </c>
      <c r="I3769" t="s">
        <v>18</v>
      </c>
      <c r="J3769" s="2" t="str">
        <f>HYPERLINK("https://www.nba.com/stats/events?CFID=&amp;CFPARAMS=&amp;GameEventID=257&amp;GameID=0021400689&amp;Season=2014-15&amp;flag=1&amp;title=Leonard%209'%20Turnaround%20Jump%20Shot%20(9%20PTS)", "Leonard 9' Turnaround Jump Shot (9 PTS)")</f>
        <v>Leonard 9' Turnaround Jump Shot (9 PTS)</v>
      </c>
      <c r="K3769" s="2" t="str">
        <f>HYPERLINK("https://www.nba.com/game/...-vs-...-0021400689/play-by-play?watchFullGame=true", "SAS vs CHA - Q3 09:44.00")</f>
        <v>SAS vs CHA - Q3 09:44.00</v>
      </c>
      <c r="L3769">
        <v>9</v>
      </c>
      <c r="M3769">
        <v>86</v>
      </c>
      <c r="N3769">
        <v>17</v>
      </c>
      <c r="O3769">
        <v>86</v>
      </c>
      <c r="P3769">
        <v>17</v>
      </c>
    </row>
    <row r="3770" spans="1:16" x14ac:dyDescent="0.25">
      <c r="A3770">
        <v>22200389</v>
      </c>
      <c r="B3770">
        <v>2022</v>
      </c>
      <c r="C3770" t="s">
        <v>32</v>
      </c>
      <c r="D3770" t="s">
        <v>19</v>
      </c>
      <c r="E3770">
        <v>56</v>
      </c>
      <c r="F3770">
        <v>54</v>
      </c>
      <c r="G3770">
        <v>2</v>
      </c>
      <c r="H3770" s="1">
        <v>2.2453703703703702E-3</v>
      </c>
      <c r="I3770" t="s">
        <v>23</v>
      </c>
      <c r="J3770" s="2" t="str">
        <f>HYPERLINK("https://www.nba.com/stats/events?CFID=&amp;CFPARAMS=&amp;GameEventID=268&amp;GameID=0022200389&amp;Season=2022-23&amp;flag=1&amp;title=Leonard%209'%20turnaround%20Jump%20Shot%20(9%20PTS)", "9' turnaround Jump Shot (9 PTS)")</f>
        <v>9' turnaround Jump Shot (9 PTS)</v>
      </c>
      <c r="K3770" s="2" t="str">
        <f>HYPERLINK("https://www.nba.com/game/...-vs-...-0022200389/play-by-play?watchFullGame=true", "LAC vs WAS - Q2 03:14.00")</f>
        <v>LAC vs WAS - Q2 03:14.00</v>
      </c>
      <c r="L3770">
        <v>9.16</v>
      </c>
      <c r="M3770">
        <v>91.02</v>
      </c>
      <c r="N3770">
        <v>67.16</v>
      </c>
      <c r="O3770">
        <v>86</v>
      </c>
      <c r="P3770">
        <v>32</v>
      </c>
    </row>
    <row r="3771" spans="1:16" x14ac:dyDescent="0.25">
      <c r="A3771">
        <v>21600942</v>
      </c>
      <c r="B3771">
        <v>2016</v>
      </c>
      <c r="C3771" t="s">
        <v>32</v>
      </c>
      <c r="D3771" t="s">
        <v>46</v>
      </c>
      <c r="E3771">
        <v>105</v>
      </c>
      <c r="F3771">
        <v>104</v>
      </c>
      <c r="G3771">
        <v>4</v>
      </c>
      <c r="H3771" s="1">
        <v>1.8634259259259259E-3</v>
      </c>
      <c r="I3771" t="s">
        <v>18</v>
      </c>
      <c r="J3771" s="2" t="str">
        <f>HYPERLINK("https://www.nba.com/stats/events?CFID=&amp;CFPARAMS=&amp;GameEventID=472&amp;GameID=0021600942&amp;Season=2016-17&amp;flag=1&amp;title=Leonard%209'%20Driving%20Floating%20Bank%20Jump%20Shot%20(34%20PTS)%20(Parker%203%20AST)", "Leonard 9' Driving Floating Bank Jump Shot (34 PTS) (Parker 3 AST)")</f>
        <v>Leonard 9' Driving Floating Bank Jump Shot (34 PTS) (Parker 3 AST)</v>
      </c>
      <c r="K3771" s="2" t="str">
        <f>HYPERLINK("https://www.nba.com/game/...-vs-...-0021600942/play-by-play?watchFullGame=true", "SAS vs HOU - Q4 02:41.00")</f>
        <v>SAS vs HOU - Q4 02:41.00</v>
      </c>
      <c r="L3771">
        <v>9</v>
      </c>
      <c r="M3771">
        <v>86</v>
      </c>
      <c r="N3771">
        <v>38</v>
      </c>
      <c r="O3771">
        <v>86</v>
      </c>
      <c r="P3771">
        <v>38</v>
      </c>
    </row>
    <row r="3772" spans="1:16" x14ac:dyDescent="0.25">
      <c r="A3772">
        <v>42000176</v>
      </c>
      <c r="B3772" t="s">
        <v>83</v>
      </c>
      <c r="C3772" t="s">
        <v>32</v>
      </c>
      <c r="D3772" t="s">
        <v>19</v>
      </c>
      <c r="E3772">
        <v>45</v>
      </c>
      <c r="F3772">
        <v>48</v>
      </c>
      <c r="G3772">
        <v>2</v>
      </c>
      <c r="H3772" s="1">
        <v>1.574074074074074E-4</v>
      </c>
      <c r="I3772" t="s">
        <v>23</v>
      </c>
      <c r="J3772" s="2" t="str">
        <f>HYPERLINK("https://www.nba.com/stats/events?CFID=&amp;CFPARAMS=&amp;GameEventID=310&amp;GameID=0042000176&amp;Season=2020-21&amp;flag=1&amp;title=Leonard%207'%20driving%20floating%20Jump%20Shot%20(16%20PTS)", "7' driving floating Jump Shot (16 PTS)")</f>
        <v>7' driving floating Jump Shot (16 PTS)</v>
      </c>
      <c r="K3772" s="2" t="str">
        <f>HYPERLINK("https://www.nba.com/game/...-vs-...-0042000176/play-by-play?watchFullGame=true", "LAC vs DAL - Q2 00:13.60")</f>
        <v>LAC vs DAL - Q2 00:13.60</v>
      </c>
      <c r="L3772">
        <v>7.41</v>
      </c>
      <c r="M3772">
        <v>86.94</v>
      </c>
      <c r="N3772">
        <v>54.73</v>
      </c>
      <c r="O3772">
        <v>86</v>
      </c>
      <c r="P3772">
        <v>54</v>
      </c>
    </row>
    <row r="3773" spans="1:16" x14ac:dyDescent="0.25">
      <c r="A3773">
        <v>42000172</v>
      </c>
      <c r="B3773" t="s">
        <v>83</v>
      </c>
      <c r="C3773" t="s">
        <v>32</v>
      </c>
      <c r="D3773" t="s">
        <v>19</v>
      </c>
      <c r="E3773">
        <v>27</v>
      </c>
      <c r="F3773">
        <v>31</v>
      </c>
      <c r="G3773">
        <v>1</v>
      </c>
      <c r="H3773" s="1">
        <v>1.4699074074074074E-3</v>
      </c>
      <c r="I3773" t="s">
        <v>23</v>
      </c>
      <c r="J3773" s="2" t="str">
        <f>HYPERLINK("https://www.nba.com/stats/events?CFID=&amp;CFPARAMS=&amp;GameEventID=115&amp;GameID=0042000172&amp;Season=2020-21&amp;flag=1&amp;title=Leonard%208'%20driving%20floating%20Jump%20Shot%20(15%20PTS)%20(R.%20Rondo%201%20AST)", "8' driving floating Jump Shot (15 PTS) (R. Rondo 1 AST)")</f>
        <v>8' driving floating Jump Shot (15 PTS) (R. Rondo 1 AST)</v>
      </c>
      <c r="K3773" s="2" t="str">
        <f>HYPERLINK("https://www.nba.com/game/...-vs-...-0042000172/play-by-play?watchFullGame=true", "LAC vs DAL - Q1 02:07.00")</f>
        <v>LAC vs DAL - Q1 02:07.00</v>
      </c>
      <c r="L3773">
        <v>8.57</v>
      </c>
      <c r="M3773">
        <v>86.02</v>
      </c>
      <c r="N3773">
        <v>56.69</v>
      </c>
      <c r="O3773">
        <v>86</v>
      </c>
      <c r="P3773">
        <v>56</v>
      </c>
    </row>
    <row r="3774" spans="1:16" x14ac:dyDescent="0.25">
      <c r="A3774">
        <v>42000172</v>
      </c>
      <c r="B3774" t="s">
        <v>83</v>
      </c>
      <c r="C3774" t="s">
        <v>32</v>
      </c>
      <c r="D3774" t="s">
        <v>19</v>
      </c>
      <c r="E3774">
        <v>23</v>
      </c>
      <c r="F3774">
        <v>29</v>
      </c>
      <c r="G3774">
        <v>1</v>
      </c>
      <c r="H3774" s="1">
        <v>2.673611111111111E-3</v>
      </c>
      <c r="I3774" t="s">
        <v>23</v>
      </c>
      <c r="J3774" s="2" t="str">
        <f>HYPERLINK("https://www.nba.com/stats/events?CFID=&amp;CFPARAMS=&amp;GameEventID=84&amp;GameID=0042000172&amp;Season=2020-21&amp;flag=1&amp;title=Leonard%208'%20driving%20floating%20Jump%20Shot%20(13%20PTS)", "8' driving floating Jump Shot (13 PTS)")</f>
        <v>8' driving floating Jump Shot (13 PTS)</v>
      </c>
      <c r="K3774" s="2" t="str">
        <f>HYPERLINK("https://www.nba.com/game/...-vs-...-0042000172/play-by-play?watchFullGame=true", "LAC vs DAL - Q1 03:51.00")</f>
        <v>LAC vs DAL - Q1 03:51.00</v>
      </c>
      <c r="L3774">
        <v>8.17</v>
      </c>
      <c r="M3774">
        <v>86.81</v>
      </c>
      <c r="N3774">
        <v>57.91</v>
      </c>
      <c r="O3774">
        <v>86</v>
      </c>
      <c r="P3774">
        <v>57</v>
      </c>
    </row>
    <row r="3775" spans="1:16" x14ac:dyDescent="0.25">
      <c r="A3775">
        <v>22301043</v>
      </c>
      <c r="B3775">
        <v>2023</v>
      </c>
      <c r="C3775" t="s">
        <v>32</v>
      </c>
      <c r="D3775" t="s">
        <v>19</v>
      </c>
      <c r="E3775">
        <v>64</v>
      </c>
      <c r="F3775">
        <v>70</v>
      </c>
      <c r="G3775">
        <v>3</v>
      </c>
      <c r="H3775" s="1">
        <v>7.4189814814814813E-3</v>
      </c>
      <c r="I3775" t="s">
        <v>23</v>
      </c>
      <c r="J3775" s="2" t="str">
        <f>HYPERLINK("https://www.nba.com/stats/events?CFID=&amp;CFPARAMS=&amp;GameEventID=314&amp;GameID=0022301043&amp;Season=2023-24&amp;flag=1&amp;title=Leonard%207'%20pullup%20Jump%20Shot%20(15%20PTS)", "7' pullup Jump Shot (15 PTS)")</f>
        <v>7' pullup Jump Shot (15 PTS)</v>
      </c>
      <c r="K3775" s="2" t="str">
        <f>HYPERLINK("https://www.nba.com/game/...-vs-...-0022301043/play-by-play?watchFullGame=true", "LAC vs IND - Q3 10:41.00")</f>
        <v>LAC vs IND - Q3 10:41.00</v>
      </c>
      <c r="L3775">
        <v>7.8</v>
      </c>
      <c r="M3775">
        <v>86.12</v>
      </c>
      <c r="N3775">
        <v>50</v>
      </c>
      <c r="O3775">
        <v>86</v>
      </c>
      <c r="P3775">
        <v>78</v>
      </c>
    </row>
    <row r="3776" spans="1:16" x14ac:dyDescent="0.25">
      <c r="A3776">
        <v>41600235</v>
      </c>
      <c r="B3776" t="s">
        <v>30</v>
      </c>
      <c r="C3776" t="s">
        <v>32</v>
      </c>
      <c r="D3776" t="s">
        <v>29</v>
      </c>
      <c r="E3776">
        <v>45</v>
      </c>
      <c r="F3776">
        <v>44</v>
      </c>
      <c r="G3776">
        <v>2</v>
      </c>
      <c r="H3776" s="1">
        <v>4.0046296296296297E-3</v>
      </c>
      <c r="I3776" t="s">
        <v>18</v>
      </c>
      <c r="J3776" s="2" t="str">
        <f>HYPERLINK("https://www.nba.com/stats/events?CFID=&amp;CFPARAMS=&amp;GameEventID=187&amp;GameID=0041600235&amp;Season=2016-17&amp;flag=1&amp;title=Leonard%2014'%20Pullup%20Jump%20Shot%20(10%20PTS)", "Leonard 14' Pullup Jump Shot (10 PTS)")</f>
        <v>Leonard 14' Pullup Jump Shot (10 PTS)</v>
      </c>
      <c r="K3776" s="2" t="str">
        <f>HYPERLINK("https://www.nba.com/game/...-vs-...-0041600235/play-by-play?watchFullGame=true", "SAS vs HOU - Q2 05:46.00")</f>
        <v>SAS vs HOU - Q2 05:46.00</v>
      </c>
      <c r="L3776">
        <v>14</v>
      </c>
      <c r="M3776">
        <v>86</v>
      </c>
      <c r="N3776">
        <v>105</v>
      </c>
      <c r="O3776">
        <v>86</v>
      </c>
      <c r="P3776">
        <v>105</v>
      </c>
    </row>
    <row r="3777" spans="1:16" x14ac:dyDescent="0.25">
      <c r="A3777">
        <v>21401110</v>
      </c>
      <c r="B3777">
        <v>2014</v>
      </c>
      <c r="C3777" t="s">
        <v>32</v>
      </c>
      <c r="D3777" t="s">
        <v>24</v>
      </c>
      <c r="E3777">
        <v>29</v>
      </c>
      <c r="F3777">
        <v>33</v>
      </c>
      <c r="G3777">
        <v>2</v>
      </c>
      <c r="H3777" s="1">
        <v>4.5601851851851853E-3</v>
      </c>
      <c r="I3777" t="s">
        <v>18</v>
      </c>
      <c r="J3777" s="2" t="str">
        <f>HYPERLINK("https://www.nba.com/stats/events?CFID=&amp;CFPARAMS=&amp;GameEventID=171&amp;GameID=0021401110&amp;Season=2014-15&amp;flag=1&amp;title=Leonard%2014'%20Turnaround%20Jump%20Shot%20(8%20PTS)", "Leonard 14' Turnaround Jump Shot (8 PTS)")</f>
        <v>Leonard 14' Turnaround Jump Shot (8 PTS)</v>
      </c>
      <c r="K3777" s="2" t="str">
        <f>HYPERLINK("https://www.nba.com/game/...-vs-...-0021401110/play-by-play?watchFullGame=true", "SAS vs MIA - Q2 06:34.00")</f>
        <v>SAS vs MIA - Q2 06:34.00</v>
      </c>
      <c r="L3777">
        <v>14</v>
      </c>
      <c r="M3777">
        <v>86</v>
      </c>
      <c r="N3777">
        <v>107</v>
      </c>
      <c r="O3777">
        <v>86</v>
      </c>
      <c r="P3777">
        <v>107</v>
      </c>
    </row>
    <row r="3778" spans="1:16" x14ac:dyDescent="0.25">
      <c r="A3778">
        <v>21301038</v>
      </c>
      <c r="B3778">
        <v>2013</v>
      </c>
      <c r="C3778" t="s">
        <v>32</v>
      </c>
      <c r="D3778" t="s">
        <v>31</v>
      </c>
      <c r="E3778">
        <v>7</v>
      </c>
      <c r="F3778">
        <v>13</v>
      </c>
      <c r="G3778">
        <v>1</v>
      </c>
      <c r="H3778" s="1">
        <v>5.6134259259259262E-3</v>
      </c>
      <c r="I3778" t="s">
        <v>18</v>
      </c>
      <c r="J3778" s="2" t="str">
        <f>HYPERLINK("https://www.nba.com/stats/events?CFID=&amp;CFPARAMS=&amp;GameEventID=28&amp;GameID=0021301038&amp;Season=2013-14&amp;flag=1&amp;title=Leonard%2017'%20Step%20Back%20Jump%20Shot%20(5%20PTS)", "Leonard 17' Step Back Jump Shot (5 PTS)")</f>
        <v>Leonard 17' Step Back Jump Shot (5 PTS)</v>
      </c>
      <c r="K3778" s="2" t="str">
        <f>HYPERLINK("https://www.nba.com/game/...-vs-...-0021301038/play-by-play?watchFullGame=true", "SAS vs GSW - Q1 08:05.00")</f>
        <v>SAS vs GSW - Q1 08:05.00</v>
      </c>
      <c r="L3778">
        <v>17</v>
      </c>
      <c r="M3778">
        <v>86</v>
      </c>
      <c r="N3778">
        <v>151</v>
      </c>
      <c r="O3778">
        <v>86</v>
      </c>
      <c r="P3778">
        <v>151</v>
      </c>
    </row>
    <row r="3779" spans="1:16" x14ac:dyDescent="0.25">
      <c r="A3779">
        <v>22200829</v>
      </c>
      <c r="B3779">
        <v>2022</v>
      </c>
      <c r="C3779" t="s">
        <v>16</v>
      </c>
      <c r="D3779" t="s">
        <v>19</v>
      </c>
      <c r="E3779">
        <v>70</v>
      </c>
      <c r="F3779">
        <v>75</v>
      </c>
      <c r="G3779">
        <v>3</v>
      </c>
      <c r="H3779" s="1">
        <v>3.6805555555555554E-3</v>
      </c>
      <c r="I3779" t="s">
        <v>23</v>
      </c>
      <c r="J3779" s="2" t="str">
        <f>HYPERLINK("https://www.nba.com/stats/events?CFID=&amp;CFPARAMS=&amp;GameEventID=387&amp;GameID=0022200829&amp;Season=2022-23&amp;flag=1&amp;title=Leonard%2026'%203PT%20step%20back%20(9%20PTS)", "26' 3PT step back (9 PTS)")</f>
        <v>26' 3PT step back (9 PTS)</v>
      </c>
      <c r="K3779" s="2" t="str">
        <f>HYPERLINK("https://www.nba.com/game/...-vs-...-0022200829/play-by-play?watchFullGame=true", "LAC vs DAL - Q3 05:18.00")</f>
        <v>LAC vs DAL - Q3 05:18.00</v>
      </c>
      <c r="L3779">
        <v>26.49</v>
      </c>
      <c r="M3779">
        <v>32.24</v>
      </c>
      <c r="N3779">
        <v>32.840000000000003</v>
      </c>
      <c r="O3779">
        <v>86</v>
      </c>
      <c r="P3779">
        <v>251</v>
      </c>
    </row>
    <row r="3780" spans="1:16" x14ac:dyDescent="0.25">
      <c r="A3780">
        <v>21600825</v>
      </c>
      <c r="B3780">
        <v>2016</v>
      </c>
      <c r="C3780" t="s">
        <v>32</v>
      </c>
      <c r="D3780" t="s">
        <v>36</v>
      </c>
      <c r="E3780">
        <v>20</v>
      </c>
      <c r="F3780">
        <v>17</v>
      </c>
      <c r="G3780">
        <v>1</v>
      </c>
      <c r="H3780" s="1">
        <v>2.662037037037037E-3</v>
      </c>
      <c r="I3780" t="s">
        <v>18</v>
      </c>
      <c r="J3780" s="2" t="str">
        <f>HYPERLINK("https://www.nba.com/stats/events?CFID=&amp;CFPARAMS=&amp;GameEventID=67&amp;GameID=0021600825&amp;Season=2016-17&amp;flag=1&amp;title=Leonard%209'%20Pullup%20Bank%20Shot%20(7%20PTS)", "Leonard 9' Pullup Bank Shot (7 PTS)")</f>
        <v>Leonard 9' Pullup Bank Shot (7 PTS)</v>
      </c>
      <c r="K3780" s="2" t="str">
        <f>HYPERLINK("https://www.nba.com/game/...-vs-...-0021600825/play-by-play?watchFullGame=true", "SAS vs IND - Q1 03:50.00")</f>
        <v>SAS vs IND - Q1 03:50.00</v>
      </c>
      <c r="L3780">
        <v>9</v>
      </c>
      <c r="M3780">
        <v>87</v>
      </c>
      <c r="N3780">
        <v>26</v>
      </c>
      <c r="O3780">
        <v>87</v>
      </c>
      <c r="P3780">
        <v>26</v>
      </c>
    </row>
    <row r="3781" spans="1:16" x14ac:dyDescent="0.25">
      <c r="A3781">
        <v>21600558</v>
      </c>
      <c r="B3781">
        <v>2016</v>
      </c>
      <c r="C3781" t="s">
        <v>32</v>
      </c>
      <c r="D3781" t="s">
        <v>54</v>
      </c>
      <c r="E3781">
        <v>47</v>
      </c>
      <c r="F3781">
        <v>47</v>
      </c>
      <c r="G3781">
        <v>2</v>
      </c>
      <c r="H3781" s="1">
        <v>3.9120370370370367E-4</v>
      </c>
      <c r="I3781" t="s">
        <v>18</v>
      </c>
      <c r="J3781" s="2" t="str">
        <f>HYPERLINK("https://www.nba.com/stats/events?CFID=&amp;CFPARAMS=&amp;GameEventID=227&amp;GameID=0021600558&amp;Season=2016-17&amp;flag=1&amp;title=Leonard%209'%20Driving%20Bank%20Shot%20(15%20PTS)", "Leonard 9' Driving Bank Shot (15 PTS)")</f>
        <v>Leonard 9' Driving Bank Shot (15 PTS)</v>
      </c>
      <c r="K3781" s="2" t="str">
        <f>HYPERLINK("https://www.nba.com/game/...-vs-...-0021600558/play-by-play?watchFullGame=true", "SAS vs CHA - Q2 00:33.80")</f>
        <v>SAS vs CHA - Q2 00:33.80</v>
      </c>
      <c r="L3781">
        <v>9</v>
      </c>
      <c r="M3781">
        <v>87</v>
      </c>
      <c r="N3781">
        <v>31</v>
      </c>
      <c r="O3781">
        <v>87</v>
      </c>
      <c r="P3781">
        <v>31</v>
      </c>
    </row>
    <row r="3782" spans="1:16" x14ac:dyDescent="0.25">
      <c r="A3782">
        <v>22200352</v>
      </c>
      <c r="B3782">
        <v>2022</v>
      </c>
      <c r="C3782" t="s">
        <v>32</v>
      </c>
      <c r="D3782" t="s">
        <v>44</v>
      </c>
      <c r="E3782">
        <v>8</v>
      </c>
      <c r="F3782">
        <v>11</v>
      </c>
      <c r="G3782">
        <v>1</v>
      </c>
      <c r="H3782" s="1">
        <v>5.2546296296296299E-3</v>
      </c>
      <c r="I3782" t="s">
        <v>23</v>
      </c>
      <c r="J3782" s="2" t="str">
        <f>HYPERLINK("https://www.nba.com/stats/events?CFID=&amp;CFPARAMS=&amp;GameEventID=50&amp;GameID=0022200352&amp;Season=2022-23&amp;flag=1&amp;title=Leonard%206'%20driving%20Hook%20(2%20PTS)", "6' driving Hook (2 PTS)")</f>
        <v>6' driving Hook (2 PTS)</v>
      </c>
      <c r="K3782" s="2" t="str">
        <f>HYPERLINK("https://www.nba.com/game/...-vs-...-0022200352/play-by-play?watchFullGame=true", "LAC vs CHA - Q1 07:34.00")</f>
        <v>LAC vs CHA - Q1 07:34.00</v>
      </c>
      <c r="L3782">
        <v>6.16</v>
      </c>
      <c r="M3782">
        <v>87.86</v>
      </c>
      <c r="N3782">
        <v>50</v>
      </c>
      <c r="O3782">
        <v>87</v>
      </c>
      <c r="P3782">
        <v>62</v>
      </c>
    </row>
    <row r="3783" spans="1:16" x14ac:dyDescent="0.25">
      <c r="A3783">
        <v>42200171</v>
      </c>
      <c r="B3783" t="s">
        <v>86</v>
      </c>
      <c r="C3783" t="s">
        <v>32</v>
      </c>
      <c r="D3783" t="s">
        <v>19</v>
      </c>
      <c r="E3783">
        <v>12</v>
      </c>
      <c r="F3783">
        <v>18</v>
      </c>
      <c r="G3783">
        <v>1</v>
      </c>
      <c r="H3783" s="1">
        <v>3.7268518518518519E-3</v>
      </c>
      <c r="I3783" t="s">
        <v>23</v>
      </c>
      <c r="J3783" s="2" t="str">
        <f>HYPERLINK("https://www.nba.com/stats/events?CFID=&amp;CFPARAMS=&amp;GameEventID=66&amp;GameID=0042200171&amp;Season=2022-23&amp;flag=1&amp;title=Leonard%2013'%20turnaround%20fadeaway%20Jump%20Shot%20(5%20PTS)", "13' turnaround fadeaway Jump Shot (5 PTS)")</f>
        <v>13' turnaround fadeaway Jump Shot (5 PTS)</v>
      </c>
      <c r="K3783" s="2" t="str">
        <f>HYPERLINK("https://www.nba.com/game/...-vs-...-0042200171/play-by-play?watchFullGame=true", "LAC vs PHX - Q1 05:22.00")</f>
        <v>LAC vs PHX - Q1 05:22.00</v>
      </c>
      <c r="L3783">
        <v>13.17</v>
      </c>
      <c r="M3783">
        <v>87.86</v>
      </c>
      <c r="N3783">
        <v>73.28</v>
      </c>
      <c r="O3783">
        <v>87</v>
      </c>
      <c r="P3783">
        <v>73</v>
      </c>
    </row>
    <row r="3784" spans="1:16" x14ac:dyDescent="0.25">
      <c r="A3784">
        <v>22301079</v>
      </c>
      <c r="B3784">
        <v>2023</v>
      </c>
      <c r="C3784" t="s">
        <v>32</v>
      </c>
      <c r="D3784" t="s">
        <v>19</v>
      </c>
      <c r="E3784">
        <v>43</v>
      </c>
      <c r="F3784">
        <v>57</v>
      </c>
      <c r="G3784">
        <v>2</v>
      </c>
      <c r="H3784" s="1">
        <v>2.5578703703703705E-3</v>
      </c>
      <c r="I3784" t="s">
        <v>23</v>
      </c>
      <c r="J3784" s="2" t="str">
        <f>HYPERLINK("https://www.nba.com/stats/events?CFID=&amp;CFPARAMS=&amp;GameEventID=241&amp;GameID=0022301079&amp;Season=2023-24&amp;flag=1&amp;title=Leonard%2011'%20turnaround%20fadeaway%20Jump%20Shot%20(10%20PTS)", "11' turnaround fadeaway Jump Shot (10 PTS)")</f>
        <v>11' turnaround fadeaway Jump Shot (10 PTS)</v>
      </c>
      <c r="K3784" s="2" t="str">
        <f>HYPERLINK("https://www.nba.com/game/...-vs-...-0022301079/play-by-play?watchFullGame=true", "LAC vs CHA - Q2 03:41.00")</f>
        <v>LAC vs CHA - Q2 03:41.00</v>
      </c>
      <c r="L3784">
        <v>11.34</v>
      </c>
      <c r="M3784">
        <v>86.68</v>
      </c>
      <c r="N3784">
        <v>67.400000000000006</v>
      </c>
      <c r="O3784">
        <v>87</v>
      </c>
      <c r="P3784">
        <v>73</v>
      </c>
    </row>
    <row r="3785" spans="1:16" x14ac:dyDescent="0.25">
      <c r="A3785">
        <v>22400571</v>
      </c>
      <c r="B3785">
        <v>2024</v>
      </c>
      <c r="C3785" t="s">
        <v>32</v>
      </c>
      <c r="D3785" t="s">
        <v>19</v>
      </c>
      <c r="E3785">
        <v>92</v>
      </c>
      <c r="F3785">
        <v>40</v>
      </c>
      <c r="G3785">
        <v>3</v>
      </c>
      <c r="H3785" s="1">
        <v>2.8935185185185184E-3</v>
      </c>
      <c r="I3785" t="s">
        <v>23</v>
      </c>
      <c r="J3785" s="2" t="str">
        <f>HYPERLINK("https://www.nba.com/stats/events?CFID=&amp;CFPARAMS=&amp;GameEventID=451&amp;GameID=0022400571&amp;Season=2024-25&amp;flag=1&amp;title=Leonard%2012'%20turnaround%20fadeaway%20Jump%20Shot%20(19%20PTS)", "12' turnaround fadeaway Jump Shot (19 PTS)")</f>
        <v>12' turnaround fadeaway Jump Shot (19 PTS)</v>
      </c>
      <c r="K3785" s="2" t="str">
        <f>HYPERLINK("https://www.nba.com/game/...-vs-...-0022400571/play-by-play?watchFullGame=true", "LAC vs BKN - Q3 04:10.00")</f>
        <v>LAC vs BKN - Q3 04:10.00</v>
      </c>
      <c r="L3785">
        <v>12.63</v>
      </c>
      <c r="M3785">
        <v>15.33</v>
      </c>
      <c r="N3785">
        <v>32.6</v>
      </c>
      <c r="O3785">
        <v>87</v>
      </c>
      <c r="P3785">
        <v>92</v>
      </c>
    </row>
    <row r="3786" spans="1:16" x14ac:dyDescent="0.25">
      <c r="A3786">
        <v>21900576</v>
      </c>
      <c r="B3786">
        <v>2019</v>
      </c>
      <c r="C3786" t="s">
        <v>32</v>
      </c>
      <c r="D3786" t="s">
        <v>22</v>
      </c>
      <c r="E3786">
        <v>18</v>
      </c>
      <c r="F3786">
        <v>9</v>
      </c>
      <c r="G3786">
        <v>1</v>
      </c>
      <c r="H3786" s="1">
        <v>3.3912037037037036E-3</v>
      </c>
      <c r="I3786" t="s">
        <v>23</v>
      </c>
      <c r="J3786" s="2" t="str">
        <f>HYPERLINK("https://www.nba.com/stats/events?CFID=&amp;CFPARAMS=&amp;GameEventID=86&amp;GameID=0021900576&amp;Season=2019-20&amp;flag=1&amp;title=Leonard%2013'%20jumpshot%20(7%20PTS)", "13' jumpshot (7 PTS)")</f>
        <v>13' jumpshot (7 PTS)</v>
      </c>
      <c r="K3786" s="2" t="str">
        <f>HYPERLINK("https://www.nba.com/game/...-vs-...-0021900576/play-by-play?watchFullGame=true", "LAC vs GSW - Q1 04:53.00")</f>
        <v>LAC vs GSW - Q1 04:53.00</v>
      </c>
      <c r="L3786">
        <v>13.3</v>
      </c>
      <c r="M3786">
        <v>84.28</v>
      </c>
      <c r="N3786">
        <v>67.33</v>
      </c>
      <c r="O3786">
        <v>87</v>
      </c>
      <c r="P3786">
        <v>95</v>
      </c>
    </row>
    <row r="3787" spans="1:16" x14ac:dyDescent="0.25">
      <c r="A3787">
        <v>42000171</v>
      </c>
      <c r="B3787" t="s">
        <v>83</v>
      </c>
      <c r="C3787" t="s">
        <v>16</v>
      </c>
      <c r="D3787" t="s">
        <v>19</v>
      </c>
      <c r="E3787">
        <v>22</v>
      </c>
      <c r="F3787">
        <v>27</v>
      </c>
      <c r="G3787">
        <v>1</v>
      </c>
      <c r="H3787" s="1">
        <v>2.1643518518518518E-3</v>
      </c>
      <c r="I3787" t="s">
        <v>23</v>
      </c>
      <c r="J3787" s="2" t="str">
        <f>HYPERLINK("https://www.nba.com/stats/events?CFID=&amp;CFPARAMS=&amp;GameEventID=116&amp;GameID=0042000171&amp;Season=2020-21&amp;flag=1&amp;title=Leonard%2024'%203PT%20%20(9%20PTS)%20(P.%20George%201%20AST)", "24' 3PT  (9 PTS) (P. George 1 AST)")</f>
        <v>24' 3PT  (9 PTS) (P. George 1 AST)</v>
      </c>
      <c r="K3787" s="2" t="str">
        <f>HYPERLINK("https://www.nba.com/game/...-vs-...-0042000171/play-by-play?watchFullGame=true", "LAC vs DAL - Q1 03:07.00")</f>
        <v>LAC vs DAL - Q1 03:07.00</v>
      </c>
      <c r="L3787">
        <v>24.08</v>
      </c>
      <c r="M3787">
        <v>87.07</v>
      </c>
      <c r="N3787">
        <v>96.15</v>
      </c>
      <c r="O3787">
        <v>87</v>
      </c>
      <c r="P3787">
        <v>96</v>
      </c>
    </row>
    <row r="3788" spans="1:16" x14ac:dyDescent="0.25">
      <c r="A3788">
        <v>22301064</v>
      </c>
      <c r="B3788">
        <v>2023</v>
      </c>
      <c r="C3788" t="s">
        <v>32</v>
      </c>
      <c r="D3788" t="s">
        <v>19</v>
      </c>
      <c r="E3788">
        <v>8</v>
      </c>
      <c r="F3788">
        <v>16</v>
      </c>
      <c r="G3788">
        <v>1</v>
      </c>
      <c r="H3788" s="1">
        <v>3.3333333333333335E-3</v>
      </c>
      <c r="I3788" t="s">
        <v>23</v>
      </c>
      <c r="J3788" s="2" t="str">
        <f>HYPERLINK("https://www.nba.com/stats/events?CFID=&amp;CFPARAMS=&amp;GameEventID=73&amp;GameID=0022301064&amp;Season=2023-24&amp;flag=1&amp;title=Leonard%2014'%20pullup%20Jump%20Shot%20(4%20PTS)", "14' pullup Jump Shot (4 PTS)")</f>
        <v>14' pullup Jump Shot (4 PTS)</v>
      </c>
      <c r="K3788" s="2" t="str">
        <f>HYPERLINK("https://www.nba.com/game/...-vs-...-0022301064/play-by-play?watchFullGame=true", "LAC vs ORL - Q1 04:48.00")</f>
        <v>LAC vs ORL - Q1 04:48.00</v>
      </c>
      <c r="L3788">
        <v>14.52</v>
      </c>
      <c r="M3788">
        <v>17.95</v>
      </c>
      <c r="N3788">
        <v>32.6</v>
      </c>
      <c r="O3788">
        <v>87</v>
      </c>
      <c r="P3788">
        <v>116</v>
      </c>
    </row>
    <row r="3789" spans="1:16" x14ac:dyDescent="0.25">
      <c r="A3789">
        <v>22000520</v>
      </c>
      <c r="B3789">
        <v>2020</v>
      </c>
      <c r="C3789" t="s">
        <v>32</v>
      </c>
      <c r="D3789" t="s">
        <v>19</v>
      </c>
      <c r="E3789">
        <v>43</v>
      </c>
      <c r="F3789">
        <v>36</v>
      </c>
      <c r="G3789">
        <v>2</v>
      </c>
      <c r="H3789" s="1">
        <v>3.7268518518518519E-3</v>
      </c>
      <c r="I3789" t="s">
        <v>23</v>
      </c>
      <c r="J3789" s="2" t="str">
        <f>HYPERLINK("https://www.nba.com/stats/events?CFID=&amp;CFPARAMS=&amp;GameEventID=240&amp;GameID=0022000520&amp;Season=2020-21&amp;flag=1&amp;title=Leonard%2016'%20pullup%20Jump%20Shot%20(11%20PTS)%20(N.%20Batum%201%20AST)", "16' pullup Jump Shot (11 PTS) (N. Batum 1 AST)")</f>
        <v>16' pullup Jump Shot (11 PTS) (N. Batum 1 AST)</v>
      </c>
      <c r="K3789" s="2" t="str">
        <f>HYPERLINK("https://www.nba.com/game/...-vs-...-0022000520/play-by-play?watchFullGame=true", "LAC vs MIL - Q2 05:22.00")</f>
        <v>LAC vs MIL - Q2 05:22.00</v>
      </c>
      <c r="L3789">
        <v>16.14</v>
      </c>
      <c r="M3789">
        <v>79.98</v>
      </c>
      <c r="N3789">
        <v>67.47</v>
      </c>
      <c r="O3789">
        <v>87</v>
      </c>
      <c r="P3789">
        <v>136</v>
      </c>
    </row>
    <row r="3790" spans="1:16" x14ac:dyDescent="0.25">
      <c r="A3790">
        <v>41800405</v>
      </c>
      <c r="B3790" t="s">
        <v>20</v>
      </c>
      <c r="C3790" t="s">
        <v>16</v>
      </c>
      <c r="D3790" t="s">
        <v>87</v>
      </c>
      <c r="E3790">
        <v>96</v>
      </c>
      <c r="F3790">
        <v>95</v>
      </c>
      <c r="G3790">
        <v>4</v>
      </c>
      <c r="H3790" s="1">
        <v>3.6226851851851854E-3</v>
      </c>
      <c r="I3790" t="s">
        <v>21</v>
      </c>
      <c r="J3790" s="2" t="str">
        <f>HYPERLINK("https://www.nba.com/stats/events?CFID=&amp;CFPARAMS=&amp;GameEventID=591&amp;GameID=0041800405&amp;Season=2018-19&amp;flag=1&amp;title=Leonard%2026'%203PT%20Running%20Pull-Up%20Jump%20Shot%20(19%20PTS)", "Leonard 26' 3PT Running Pull-Up Jump Shot (19 PTS)")</f>
        <v>Leonard 26' 3PT Running Pull-Up Jump Shot (19 PTS)</v>
      </c>
      <c r="K3790" s="2" t="str">
        <f>HYPERLINK("https://www.nba.com/game/...-vs-...-0041800405/play-by-play?watchFullGame=true", "TOR vs GSW - Q4 05:13.00")</f>
        <v>TOR vs GSW - Q4 05:13.00</v>
      </c>
      <c r="L3790">
        <v>26</v>
      </c>
      <c r="M3790">
        <v>87</v>
      </c>
      <c r="N3790">
        <v>245</v>
      </c>
      <c r="O3790">
        <v>87</v>
      </c>
      <c r="P3790">
        <v>245</v>
      </c>
    </row>
    <row r="3791" spans="1:16" x14ac:dyDescent="0.25">
      <c r="A3791">
        <v>21400131</v>
      </c>
      <c r="B3791">
        <v>2014</v>
      </c>
      <c r="C3791" t="s">
        <v>32</v>
      </c>
      <c r="D3791" t="s">
        <v>33</v>
      </c>
      <c r="E3791">
        <v>26</v>
      </c>
      <c r="F3791">
        <v>37</v>
      </c>
      <c r="G3791">
        <v>2</v>
      </c>
      <c r="H3791" s="1">
        <v>5.9490740740740745E-3</v>
      </c>
      <c r="I3791" t="s">
        <v>18</v>
      </c>
      <c r="J3791" s="2" t="str">
        <f>HYPERLINK("https://www.nba.com/stats/events?CFID=&amp;CFPARAMS=&amp;GameEventID=139&amp;GameID=0021400131&amp;Season=2014-15&amp;flag=1&amp;title=Leonard%209'%20Fadeaway%20Jumper%20(10%20PTS)%20(Parker%205%20AST)", "Leonard 9' Fadeaway Jumper (10 PTS) (Parker 5 AST)")</f>
        <v>Leonard 9' Fadeaway Jumper (10 PTS) (Parker 5 AST)</v>
      </c>
      <c r="K3791" s="2" t="str">
        <f>HYPERLINK("https://www.nba.com/game/...-vs-...-0021400131/play-by-play?watchFullGame=true", "SAS vs LAL - Q2 08:34.00")</f>
        <v>SAS vs LAL - Q2 08:34.00</v>
      </c>
      <c r="L3791">
        <v>9</v>
      </c>
      <c r="M3791">
        <v>88</v>
      </c>
      <c r="N3791">
        <v>11</v>
      </c>
      <c r="O3791">
        <v>88</v>
      </c>
      <c r="P3791">
        <v>11</v>
      </c>
    </row>
    <row r="3792" spans="1:16" x14ac:dyDescent="0.25">
      <c r="A3792">
        <v>21900603</v>
      </c>
      <c r="B3792">
        <v>2019</v>
      </c>
      <c r="C3792" t="s">
        <v>32</v>
      </c>
      <c r="D3792" t="s">
        <v>22</v>
      </c>
      <c r="E3792">
        <v>78</v>
      </c>
      <c r="F3792">
        <v>59</v>
      </c>
      <c r="G3792">
        <v>3</v>
      </c>
      <c r="H3792" s="1">
        <v>6.0416666666666665E-3</v>
      </c>
      <c r="I3792" t="s">
        <v>23</v>
      </c>
      <c r="J3792" s="2" t="str">
        <f>HYPERLINK("https://www.nba.com/stats/events?CFID=&amp;CFPARAMS=&amp;GameEventID=348&amp;GameID=0021900603&amp;Season=2019-20&amp;flag=1&amp;title=Leonard%209'%20jumpshot%20(34%20PTS)", "9' jumpshot (34 PTS)")</f>
        <v>9' jumpshot (34 PTS)</v>
      </c>
      <c r="K3792" s="2" t="str">
        <f>HYPERLINK("https://www.nba.com/game/...-vs-...-0021900603/play-by-play?watchFullGame=true", "LAC vs CLE - Q3 08:42.00")</f>
        <v>LAC vs CLE - Q3 08:42.00</v>
      </c>
      <c r="L3792">
        <v>9.34</v>
      </c>
      <c r="M3792">
        <v>91.64</v>
      </c>
      <c r="N3792">
        <v>67.58</v>
      </c>
      <c r="O3792">
        <v>88</v>
      </c>
      <c r="P3792">
        <v>26</v>
      </c>
    </row>
    <row r="3793" spans="1:16" x14ac:dyDescent="0.25">
      <c r="A3793">
        <v>21900589</v>
      </c>
      <c r="B3793">
        <v>2019</v>
      </c>
      <c r="C3793" t="s">
        <v>32</v>
      </c>
      <c r="D3793" t="s">
        <v>22</v>
      </c>
      <c r="E3793">
        <v>8</v>
      </c>
      <c r="F3793">
        <v>14</v>
      </c>
      <c r="G3793">
        <v>1</v>
      </c>
      <c r="H3793" s="1">
        <v>5.0810185185185186E-3</v>
      </c>
      <c r="I3793" t="s">
        <v>23</v>
      </c>
      <c r="J3793" s="2" t="str">
        <f>HYPERLINK("https://www.nba.com/stats/events?CFID=&amp;CFPARAMS=&amp;GameEventID=51&amp;GameID=0021900589&amp;Season=2019-20&amp;flag=1&amp;title=Leonard%2011'%20jumpshot%20(4%20PTS)", "11' jumpshot (4 PTS)")</f>
        <v>11' jumpshot (4 PTS)</v>
      </c>
      <c r="K3793" s="2" t="str">
        <f>HYPERLINK("https://www.nba.com/game/...-vs-...-0021900589/play-by-play?watchFullGame=true", "LAC vs DEN - Q1 07:19.00")</f>
        <v>LAC vs DEN - Q1 07:19.00</v>
      </c>
      <c r="L3793">
        <v>10.64</v>
      </c>
      <c r="M3793">
        <v>11.38</v>
      </c>
      <c r="N3793">
        <v>32.42</v>
      </c>
      <c r="O3793">
        <v>88</v>
      </c>
      <c r="P3793">
        <v>55</v>
      </c>
    </row>
    <row r="3794" spans="1:16" x14ac:dyDescent="0.25">
      <c r="A3794">
        <v>42000175</v>
      </c>
      <c r="B3794" t="s">
        <v>83</v>
      </c>
      <c r="C3794" t="s">
        <v>16</v>
      </c>
      <c r="D3794" t="s">
        <v>19</v>
      </c>
      <c r="E3794">
        <v>51</v>
      </c>
      <c r="F3794">
        <v>49</v>
      </c>
      <c r="G3794">
        <v>2</v>
      </c>
      <c r="H3794" s="1">
        <v>1.8518518518518519E-3</v>
      </c>
      <c r="I3794" t="s">
        <v>23</v>
      </c>
      <c r="J3794" s="2" t="str">
        <f>HYPERLINK("https://www.nba.com/stats/events?CFID=&amp;CFPARAMS=&amp;GameEventID=303&amp;GameID=0042000175&amp;Season=2020-21&amp;flag=1&amp;title=Leonard%2025'%203PT%20running%20(11%20PTS)%20(P.%20George%205%20AST)", "25' 3PT running (11 PTS) (P. George 5 AST)")</f>
        <v>25' 3PT running (11 PTS) (P. George 5 AST)</v>
      </c>
      <c r="K3794" s="2" t="str">
        <f>HYPERLINK("https://www.nba.com/game/...-vs-...-0042000175/play-by-play?watchFullGame=true", "LAC vs DAL - Q2 02:40.00")</f>
        <v>LAC vs DAL - Q2 02:40.00</v>
      </c>
      <c r="L3794">
        <v>25.07</v>
      </c>
      <c r="M3794">
        <v>88.39</v>
      </c>
      <c r="N3794">
        <v>98.84</v>
      </c>
      <c r="O3794">
        <v>88</v>
      </c>
      <c r="P3794">
        <v>98</v>
      </c>
    </row>
    <row r="3795" spans="1:16" x14ac:dyDescent="0.25">
      <c r="A3795">
        <v>22200970</v>
      </c>
      <c r="B3795">
        <v>2022</v>
      </c>
      <c r="C3795" t="s">
        <v>32</v>
      </c>
      <c r="D3795" t="s">
        <v>19</v>
      </c>
      <c r="E3795">
        <v>117</v>
      </c>
      <c r="F3795">
        <v>121</v>
      </c>
      <c r="G3795">
        <v>4</v>
      </c>
      <c r="H3795" s="1">
        <v>4.0046296296296297E-3</v>
      </c>
      <c r="I3795" t="s">
        <v>23</v>
      </c>
      <c r="J3795" s="2" t="str">
        <f>HYPERLINK("https://www.nba.com/stats/events?CFID=&amp;CFPARAMS=&amp;GameEventID=572&amp;GameID=0022200970&amp;Season=2022-23&amp;flag=1&amp;title=Leonard%2013'%20pullup%20Jump%20Shot%20(21%20PTS)", "13' pullup Jump Shot (21 PTS)")</f>
        <v>13' pullup Jump Shot (21 PTS)</v>
      </c>
      <c r="K3795" s="2" t="str">
        <f>HYPERLINK("https://www.nba.com/game/...-vs-...-0022200970/play-by-play?watchFullGame=true", "LAC vs MEM - Q4 05:46.00")</f>
        <v>LAC vs MEM - Q4 05:46.00</v>
      </c>
      <c r="L3795">
        <v>13.63</v>
      </c>
      <c r="M3795">
        <v>83.36</v>
      </c>
      <c r="N3795">
        <v>67.650000000000006</v>
      </c>
      <c r="O3795">
        <v>88</v>
      </c>
      <c r="P3795">
        <v>104</v>
      </c>
    </row>
    <row r="3796" spans="1:16" x14ac:dyDescent="0.25">
      <c r="A3796">
        <v>22200604</v>
      </c>
      <c r="B3796">
        <v>2022</v>
      </c>
      <c r="C3796" t="s">
        <v>32</v>
      </c>
      <c r="D3796" t="s">
        <v>19</v>
      </c>
      <c r="E3796">
        <v>22</v>
      </c>
      <c r="F3796">
        <v>17</v>
      </c>
      <c r="G3796">
        <v>1</v>
      </c>
      <c r="H3796" s="1">
        <v>2.9050925925925928E-3</v>
      </c>
      <c r="I3796" t="s">
        <v>23</v>
      </c>
      <c r="J3796" s="2" t="str">
        <f>HYPERLINK("https://www.nba.com/stats/events?CFID=&amp;CFPARAMS=&amp;GameEventID=86&amp;GameID=0022200604&amp;Season=2022-23&amp;flag=1&amp;title=Leonard%2016'%20step%20back%20Jump%20Shot%20(4%20PTS)", "16' step back Jump Shot (4 PTS)")</f>
        <v>16' step back Jump Shot (4 PTS)</v>
      </c>
      <c r="K3796" s="2" t="str">
        <f>HYPERLINK("https://www.nba.com/game/...-vs-...-0022200604/play-by-play?watchFullGame=true", "LAC vs ATL - Q1 04:11.00")</f>
        <v>LAC vs ATL - Q1 04:11.00</v>
      </c>
      <c r="L3796">
        <v>16.11</v>
      </c>
      <c r="M3796">
        <v>80.08</v>
      </c>
      <c r="N3796">
        <v>67.650000000000006</v>
      </c>
      <c r="O3796">
        <v>88</v>
      </c>
      <c r="P3796">
        <v>135</v>
      </c>
    </row>
    <row r="3797" spans="1:16" x14ac:dyDescent="0.25">
      <c r="A3797">
        <v>22000717</v>
      </c>
      <c r="B3797">
        <v>2020</v>
      </c>
      <c r="C3797" t="s">
        <v>32</v>
      </c>
      <c r="D3797" t="s">
        <v>19</v>
      </c>
      <c r="E3797">
        <v>4</v>
      </c>
      <c r="F3797">
        <v>4</v>
      </c>
      <c r="G3797">
        <v>1</v>
      </c>
      <c r="H3797" s="1">
        <v>7.6388888888888886E-3</v>
      </c>
      <c r="I3797" t="s">
        <v>23</v>
      </c>
      <c r="J3797" s="2" t="str">
        <f>HYPERLINK("https://www.nba.com/stats/events?CFID=&amp;CFPARAMS=&amp;GameEventID=11&amp;GameID=0022000717&amp;Season=2020-21&amp;flag=1&amp;title=Leonard%2017'%20pullup%20Jump%20Shot%20(2%20PTS)%20(R.%20Jackson%201%20AST)", "17' pullup Jump Shot (2 PTS) (R. Jackson 1 AST)")</f>
        <v>17' pullup Jump Shot (2 PTS) (R. Jackson 1 AST)</v>
      </c>
      <c r="K3797" s="2" t="str">
        <f>HYPERLINK("https://www.nba.com/game/...-vs-...-0022000717/play-by-play?watchFullGame=true", "LAC vs MIL - Q1 11:00.00")</f>
        <v>LAC vs MIL - Q1 11:00.00</v>
      </c>
      <c r="L3797">
        <v>17.89</v>
      </c>
      <c r="M3797">
        <v>22.16</v>
      </c>
      <c r="N3797">
        <v>32.42</v>
      </c>
      <c r="O3797">
        <v>88</v>
      </c>
      <c r="P3797">
        <v>156</v>
      </c>
    </row>
    <row r="3798" spans="1:16" x14ac:dyDescent="0.25">
      <c r="A3798">
        <v>21401110</v>
      </c>
      <c r="B3798">
        <v>2014</v>
      </c>
      <c r="C3798" t="s">
        <v>32</v>
      </c>
      <c r="D3798" t="s">
        <v>19</v>
      </c>
      <c r="E3798">
        <v>33</v>
      </c>
      <c r="F3798">
        <v>35</v>
      </c>
      <c r="G3798">
        <v>2</v>
      </c>
      <c r="H3798" s="1">
        <v>3.5995370370370369E-3</v>
      </c>
      <c r="I3798" t="s">
        <v>18</v>
      </c>
      <c r="J3798" s="2" t="str">
        <f>HYPERLINK("https://www.nba.com/stats/events?CFID=&amp;CFPARAMS=&amp;GameEventID=185&amp;GameID=0021401110&amp;Season=2014-15&amp;flag=1&amp;title=Leonard%2018'%20Jump%20Shot%20(10%20PTS)", "Leonard 18' Jump Shot (10 PTS)")</f>
        <v>Leonard 18' Jump Shot (10 PTS)</v>
      </c>
      <c r="K3798" s="2" t="str">
        <f>HYPERLINK("https://www.nba.com/game/...-vs-...-0021401110/play-by-play?watchFullGame=true", "SAS vs MIA - Q2 05:11.00")</f>
        <v>SAS vs MIA - Q2 05:11.00</v>
      </c>
      <c r="L3798">
        <v>18</v>
      </c>
      <c r="M3798">
        <v>88</v>
      </c>
      <c r="N3798">
        <v>159</v>
      </c>
      <c r="O3798">
        <v>88</v>
      </c>
      <c r="P3798">
        <v>159</v>
      </c>
    </row>
    <row r="3799" spans="1:16" x14ac:dyDescent="0.25">
      <c r="A3799">
        <v>21400921</v>
      </c>
      <c r="B3799">
        <v>2014</v>
      </c>
      <c r="C3799" t="s">
        <v>32</v>
      </c>
      <c r="D3799" t="s">
        <v>29</v>
      </c>
      <c r="E3799">
        <v>48</v>
      </c>
      <c r="F3799">
        <v>44</v>
      </c>
      <c r="G3799">
        <v>2</v>
      </c>
      <c r="H3799" s="1">
        <v>3.425925925925926E-3</v>
      </c>
      <c r="I3799" t="s">
        <v>18</v>
      </c>
      <c r="J3799" s="2" t="str">
        <f>HYPERLINK("https://www.nba.com/stats/events?CFID=&amp;CFPARAMS=&amp;GameEventID=195&amp;GameID=0021400921&amp;Season=2014-15&amp;flag=1&amp;title=Leonard%2018'%20Pullup%20Jump%20Shot%20(11%20PTS)", "Leonard 18' Pullup Jump Shot (11 PTS)")</f>
        <v>Leonard 18' Pullup Jump Shot (11 PTS)</v>
      </c>
      <c r="K3799" s="2" t="str">
        <f>HYPERLINK("https://www.nba.com/game/...-vs-...-0021400921/play-by-play?watchFullGame=true", "SAS vs DEN - Q2 04:56.00")</f>
        <v>SAS vs DEN - Q2 04:56.00</v>
      </c>
      <c r="L3799">
        <v>18</v>
      </c>
      <c r="M3799">
        <v>88</v>
      </c>
      <c r="N3799">
        <v>162</v>
      </c>
      <c r="O3799">
        <v>88</v>
      </c>
      <c r="P3799">
        <v>162</v>
      </c>
    </row>
    <row r="3800" spans="1:16" x14ac:dyDescent="0.25">
      <c r="A3800">
        <v>22200932</v>
      </c>
      <c r="B3800">
        <v>2022</v>
      </c>
      <c r="C3800" t="s">
        <v>16</v>
      </c>
      <c r="D3800" t="s">
        <v>19</v>
      </c>
      <c r="E3800">
        <v>20</v>
      </c>
      <c r="F3800">
        <v>14</v>
      </c>
      <c r="G3800">
        <v>1</v>
      </c>
      <c r="H3800" s="1">
        <v>4.0509259259259257E-3</v>
      </c>
      <c r="I3800" t="s">
        <v>23</v>
      </c>
      <c r="J3800" s="2" t="str">
        <f>HYPERLINK("https://www.nba.com/stats/events?CFID=&amp;CFPARAMS=&amp;GameEventID=81&amp;GameID=0022200932&amp;Season=2022-23&amp;flag=1&amp;title=Leonard%2029'%203PT%20%20(6%20PTS)%20(R.%20Westbrook%204%20AST)", "29' 3PT  (6 PTS) (R. Westbrook 4 AST)")</f>
        <v>29' 3PT  (6 PTS) (R. Westbrook 4 AST)</v>
      </c>
      <c r="K3800" s="2" t="str">
        <f>HYPERLINK("https://www.nba.com/game/...-vs-...-0022200932/play-by-play?watchFullGame=true", "LAC vs MIN - Q1 05:50.00")</f>
        <v>LAC vs MIN - Q1 05:50.00</v>
      </c>
      <c r="L3800">
        <v>29.64</v>
      </c>
      <c r="M3800">
        <v>64.31</v>
      </c>
      <c r="N3800">
        <v>67.650000000000006</v>
      </c>
      <c r="O3800">
        <v>88</v>
      </c>
      <c r="P3800">
        <v>283</v>
      </c>
    </row>
    <row r="3801" spans="1:16" x14ac:dyDescent="0.25">
      <c r="A3801">
        <v>21500123</v>
      </c>
      <c r="B3801">
        <v>2015</v>
      </c>
      <c r="C3801" t="s">
        <v>32</v>
      </c>
      <c r="D3801" t="s">
        <v>36</v>
      </c>
      <c r="E3801">
        <v>55</v>
      </c>
      <c r="F3801">
        <v>64</v>
      </c>
      <c r="G3801">
        <v>3</v>
      </c>
      <c r="H3801" s="1">
        <v>5.5902777777777773E-3</v>
      </c>
      <c r="I3801" t="s">
        <v>18</v>
      </c>
      <c r="J3801" s="2" t="str">
        <f>HYPERLINK("https://www.nba.com/stats/events?CFID=&amp;CFPARAMS=&amp;GameEventID=263&amp;GameID=0021500123&amp;Season=2015-16&amp;flag=1&amp;title=Leonard%209'%20Pullup%20Bank%20Shot%20(16%20PTS)", "Leonard 9' Pullup Bank Shot (16 PTS)")</f>
        <v>Leonard 9' Pullup Bank Shot (16 PTS)</v>
      </c>
      <c r="K3801" s="2" t="str">
        <f>HYPERLINK("https://www.nba.com/game/...-vs-...-0021500123/play-by-play?watchFullGame=true", "SAS vs POR - Q3 08:03.00")</f>
        <v>SAS vs POR - Q3 08:03.00</v>
      </c>
      <c r="L3801">
        <v>9</v>
      </c>
      <c r="M3801">
        <v>89</v>
      </c>
      <c r="N3801">
        <v>3</v>
      </c>
      <c r="O3801">
        <v>89</v>
      </c>
      <c r="P3801">
        <v>3</v>
      </c>
    </row>
    <row r="3802" spans="1:16" x14ac:dyDescent="0.25">
      <c r="A3802">
        <v>21600454</v>
      </c>
      <c r="B3802">
        <v>2016</v>
      </c>
      <c r="C3802" t="s">
        <v>32</v>
      </c>
      <c r="D3802" t="s">
        <v>33</v>
      </c>
      <c r="E3802">
        <v>87</v>
      </c>
      <c r="F3802">
        <v>105</v>
      </c>
      <c r="G3802">
        <v>4</v>
      </c>
      <c r="H3802" s="1">
        <v>2.5231481481481481E-3</v>
      </c>
      <c r="I3802" t="s">
        <v>18</v>
      </c>
      <c r="J3802" s="2" t="str">
        <f>HYPERLINK("https://www.nba.com/stats/events?CFID=&amp;CFPARAMS=&amp;GameEventID=473&amp;GameID=0021600454&amp;Season=2016-17&amp;flag=1&amp;title=Leonard%209'%20Fadeaway%20Jumper%20(33%20PTS)", "Leonard 9' Fadeaway Jumper (33 PTS)")</f>
        <v>Leonard 9' Fadeaway Jumper (33 PTS)</v>
      </c>
      <c r="K3802" s="2" t="str">
        <f>HYPERLINK("https://www.nba.com/game/...-vs-...-0021600454/play-by-play?watchFullGame=true", "SAS vs POR - Q4 03:38.00")</f>
        <v>SAS vs POR - Q4 03:38.00</v>
      </c>
      <c r="L3802">
        <v>9</v>
      </c>
      <c r="M3802">
        <v>89</v>
      </c>
      <c r="N3802">
        <v>11</v>
      </c>
      <c r="O3802">
        <v>89</v>
      </c>
      <c r="P3802">
        <v>11</v>
      </c>
    </row>
    <row r="3803" spans="1:16" x14ac:dyDescent="0.25">
      <c r="A3803">
        <v>21401181</v>
      </c>
      <c r="B3803">
        <v>2014</v>
      </c>
      <c r="C3803" t="s">
        <v>32</v>
      </c>
      <c r="D3803" t="s">
        <v>34</v>
      </c>
      <c r="E3803">
        <v>64</v>
      </c>
      <c r="F3803">
        <v>62</v>
      </c>
      <c r="G3803">
        <v>3</v>
      </c>
      <c r="H3803" s="1">
        <v>3.3564814814814816E-3</v>
      </c>
      <c r="I3803" t="s">
        <v>18</v>
      </c>
      <c r="J3803" s="2" t="str">
        <f>HYPERLINK("https://www.nba.com/stats/events?CFID=&amp;CFPARAMS=&amp;GameEventID=343&amp;GameID=0021401181&amp;Season=2014-15&amp;flag=1&amp;title=Leonard%209'%20Turnaround%20Fadeaway%20(12%20PTS)", "Leonard 9' Turnaround Fadeaway (12 PTS)")</f>
        <v>Leonard 9' Turnaround Fadeaway (12 PTS)</v>
      </c>
      <c r="K3803" s="2" t="str">
        <f>HYPERLINK("https://www.nba.com/game/...-vs-...-0021401181/play-by-play?watchFullGame=true", "SAS vs HOU - Q3 04:50.00")</f>
        <v>SAS vs HOU - Q3 04:50.00</v>
      </c>
      <c r="L3803">
        <v>9</v>
      </c>
      <c r="M3803">
        <v>89</v>
      </c>
      <c r="N3803">
        <v>22</v>
      </c>
      <c r="O3803">
        <v>89</v>
      </c>
      <c r="P3803">
        <v>22</v>
      </c>
    </row>
    <row r="3804" spans="1:16" x14ac:dyDescent="0.25">
      <c r="A3804">
        <v>42000172</v>
      </c>
      <c r="B3804" t="s">
        <v>83</v>
      </c>
      <c r="C3804" t="s">
        <v>32</v>
      </c>
      <c r="D3804" t="s">
        <v>44</v>
      </c>
      <c r="E3804">
        <v>49</v>
      </c>
      <c r="F3804">
        <v>52</v>
      </c>
      <c r="G3804">
        <v>2</v>
      </c>
      <c r="H3804" s="1">
        <v>4.6990740740740743E-3</v>
      </c>
      <c r="I3804" t="s">
        <v>23</v>
      </c>
      <c r="J3804" s="2" t="str">
        <f>HYPERLINK("https://www.nba.com/stats/events?CFID=&amp;CFPARAMS=&amp;GameEventID=208&amp;GameID=0042000172&amp;Season=2020-21&amp;flag=1&amp;title=Leonard%20Hook%20(22%20PTS)", "Hook (22 PTS)")</f>
        <v>Hook (22 PTS)</v>
      </c>
      <c r="K3804" s="2" t="str">
        <f>HYPERLINK("https://www.nba.com/game/...-vs-...-0042000172/play-by-play?watchFullGame=true", "LAC vs DAL - Q2 06:46.00")</f>
        <v>LAC vs DAL - Q2 06:46.00</v>
      </c>
      <c r="L3804">
        <v>5.33</v>
      </c>
      <c r="M3804">
        <v>89.57</v>
      </c>
      <c r="N3804">
        <v>44.43</v>
      </c>
      <c r="O3804">
        <v>89</v>
      </c>
      <c r="P3804">
        <v>44</v>
      </c>
    </row>
    <row r="3805" spans="1:16" x14ac:dyDescent="0.25">
      <c r="A3805">
        <v>42000223</v>
      </c>
      <c r="B3805" t="s">
        <v>85</v>
      </c>
      <c r="C3805" t="s">
        <v>32</v>
      </c>
      <c r="D3805" t="s">
        <v>19</v>
      </c>
      <c r="E3805">
        <v>108</v>
      </c>
      <c r="F3805">
        <v>95</v>
      </c>
      <c r="G3805">
        <v>4</v>
      </c>
      <c r="H3805" s="1">
        <v>4.8148148148148152E-3</v>
      </c>
      <c r="I3805" t="s">
        <v>23</v>
      </c>
      <c r="J3805" s="2" t="str">
        <f>HYPERLINK("https://www.nba.com/stats/events?CFID=&amp;CFPARAMS=&amp;GameEventID=518&amp;GameID=0042000223&amp;Season=2020-21&amp;flag=1&amp;title=Leonard%20floating%20Jump%20Shot%20(26%20PTS)", "Floating Jump Shot (26 PTS)")</f>
        <v>Floating Jump Shot (26 PTS)</v>
      </c>
      <c r="K3805" s="2" t="str">
        <f>HYPERLINK("https://www.nba.com/game/...-vs-...-0042000223/play-by-play?watchFullGame=true", "LAC vs UTA - Q4 06:56.00")</f>
        <v>LAC vs UTA - Q4 06:56.00</v>
      </c>
      <c r="L3805">
        <v>5.07</v>
      </c>
      <c r="M3805">
        <v>89.09</v>
      </c>
      <c r="N3805">
        <v>48.3</v>
      </c>
      <c r="O3805">
        <v>89</v>
      </c>
      <c r="P3805">
        <v>48</v>
      </c>
    </row>
    <row r="3806" spans="1:16" x14ac:dyDescent="0.25">
      <c r="A3806">
        <v>42300172</v>
      </c>
      <c r="B3806" t="s">
        <v>84</v>
      </c>
      <c r="C3806" t="s">
        <v>32</v>
      </c>
      <c r="D3806" t="s">
        <v>44</v>
      </c>
      <c r="E3806">
        <v>41</v>
      </c>
      <c r="F3806">
        <v>45</v>
      </c>
      <c r="G3806">
        <v>2</v>
      </c>
      <c r="H3806" s="1">
        <v>4.6643518518518513E-4</v>
      </c>
      <c r="I3806" t="s">
        <v>23</v>
      </c>
      <c r="J3806" s="2" t="str">
        <f>HYPERLINK("https://www.nba.com/stats/events?CFID=&amp;CFPARAMS=&amp;GameEventID=333&amp;GameID=0042300172&amp;Season=2023-24&amp;flag=1&amp;title=Leonard%20driving%20Hook%20(4%20PTS)", "Driving Hook (4 PTS)")</f>
        <v>Driving Hook (4 PTS)</v>
      </c>
      <c r="K3806" s="2" t="str">
        <f>HYPERLINK("https://www.nba.com/game/...-vs-...-0042300172/play-by-play?watchFullGame=true", "LAC vs DAL - Q2 00:40.30")</f>
        <v>LAC vs DAL - Q2 00:40.30</v>
      </c>
      <c r="L3806">
        <v>5.08</v>
      </c>
      <c r="M3806">
        <v>89.14</v>
      </c>
      <c r="N3806">
        <v>52.21</v>
      </c>
      <c r="O3806">
        <v>89</v>
      </c>
      <c r="P3806">
        <v>52</v>
      </c>
    </row>
    <row r="3807" spans="1:16" x14ac:dyDescent="0.25">
      <c r="A3807">
        <v>42000172</v>
      </c>
      <c r="B3807" t="s">
        <v>83</v>
      </c>
      <c r="C3807" t="s">
        <v>32</v>
      </c>
      <c r="D3807" t="s">
        <v>19</v>
      </c>
      <c r="E3807">
        <v>65</v>
      </c>
      <c r="F3807">
        <v>68</v>
      </c>
      <c r="G3807">
        <v>2</v>
      </c>
      <c r="H3807" s="1">
        <v>9.0277777777777774E-4</v>
      </c>
      <c r="I3807" t="s">
        <v>23</v>
      </c>
      <c r="J3807" s="2" t="str">
        <f>HYPERLINK("https://www.nba.com/stats/events?CFID=&amp;CFPARAMS=&amp;GameEventID=274&amp;GameID=0042000172&amp;Season=2020-21&amp;flag=1&amp;title=Leonard%20fadeaway%20Jump%20Shot%20(26%20PTS)", "Fadeaway Jump Shot (26 PTS)")</f>
        <v>Fadeaway Jump Shot (26 PTS)</v>
      </c>
      <c r="K3807" s="2" t="str">
        <f>HYPERLINK("https://www.nba.com/game/...-vs-...-0042000172/play-by-play?watchFullGame=true", "LAC vs DAL - Q2 01:18.00")</f>
        <v>LAC vs DAL - Q2 01:18.00</v>
      </c>
      <c r="L3807">
        <v>4.4400000000000004</v>
      </c>
      <c r="M3807">
        <v>89.96</v>
      </c>
      <c r="N3807">
        <v>53.01</v>
      </c>
      <c r="O3807">
        <v>89</v>
      </c>
      <c r="P3807">
        <v>53</v>
      </c>
    </row>
    <row r="3808" spans="1:16" x14ac:dyDescent="0.25">
      <c r="A3808">
        <v>41600156</v>
      </c>
      <c r="B3808" t="s">
        <v>30</v>
      </c>
      <c r="C3808" t="s">
        <v>32</v>
      </c>
      <c r="D3808" t="s">
        <v>35</v>
      </c>
      <c r="E3808">
        <v>37</v>
      </c>
      <c r="F3808">
        <v>37</v>
      </c>
      <c r="G3808">
        <v>2</v>
      </c>
      <c r="H3808" s="1">
        <v>3.2060185185185186E-3</v>
      </c>
      <c r="I3808" t="s">
        <v>18</v>
      </c>
      <c r="J3808" s="2" t="str">
        <f>HYPERLINK("https://www.nba.com/stats/events?CFID=&amp;CFPARAMS=&amp;GameEventID=164&amp;GameID=0041600156&amp;Season=2016-17&amp;flag=1&amp;title=Leonard%2012'%20Driving%20Floating%20Jump%20Shot%20(10%20PTS)", "Leonard 12' Driving Floating Jump Shot (10 PTS)")</f>
        <v>Leonard 12' Driving Floating Jump Shot (10 PTS)</v>
      </c>
      <c r="K3808" s="2" t="str">
        <f>HYPERLINK("https://www.nba.com/game/...-vs-...-0041600156/play-by-play?watchFullGame=true", "SAS vs MEM - Q2 04:37.00")</f>
        <v>SAS vs MEM - Q2 04:37.00</v>
      </c>
      <c r="L3808">
        <v>12</v>
      </c>
      <c r="M3808">
        <v>89</v>
      </c>
      <c r="N3808">
        <v>77</v>
      </c>
      <c r="O3808">
        <v>89</v>
      </c>
      <c r="P3808">
        <v>77</v>
      </c>
    </row>
    <row r="3809" spans="1:16" x14ac:dyDescent="0.25">
      <c r="A3809">
        <v>21500854</v>
      </c>
      <c r="B3809">
        <v>2015</v>
      </c>
      <c r="C3809" t="s">
        <v>32</v>
      </c>
      <c r="D3809" t="s">
        <v>31</v>
      </c>
      <c r="E3809">
        <v>31</v>
      </c>
      <c r="F3809">
        <v>39</v>
      </c>
      <c r="G3809">
        <v>2</v>
      </c>
      <c r="H3809" s="1">
        <v>5.0231481481481481E-3</v>
      </c>
      <c r="I3809" t="s">
        <v>18</v>
      </c>
      <c r="J3809" s="2" t="str">
        <f>HYPERLINK("https://www.nba.com/stats/events?CFID=&amp;CFPARAMS=&amp;GameEventID=177&amp;GameID=0021500854&amp;Season=2015-16&amp;flag=1&amp;title=Leonard%2012'%20Step%20Back%20Jump%20Shot%20(4%20PTS)", "Leonard 12' Step Back Jump Shot (4 PTS)")</f>
        <v>Leonard 12' Step Back Jump Shot (4 PTS)</v>
      </c>
      <c r="K3809" s="2" t="str">
        <f>HYPERLINK("https://www.nba.com/game/...-vs-...-0021500854/play-by-play?watchFullGame=true", "SAS vs SAC - Q2 07:14.00")</f>
        <v>SAS vs SAC - Q2 07:14.00</v>
      </c>
      <c r="L3809">
        <v>12</v>
      </c>
      <c r="M3809">
        <v>89</v>
      </c>
      <c r="N3809">
        <v>87</v>
      </c>
      <c r="O3809">
        <v>89</v>
      </c>
      <c r="P3809">
        <v>87</v>
      </c>
    </row>
    <row r="3810" spans="1:16" x14ac:dyDescent="0.25">
      <c r="A3810">
        <v>42000172</v>
      </c>
      <c r="B3810" t="s">
        <v>83</v>
      </c>
      <c r="C3810" t="s">
        <v>16</v>
      </c>
      <c r="D3810" t="s">
        <v>19</v>
      </c>
      <c r="E3810">
        <v>9</v>
      </c>
      <c r="F3810">
        <v>12</v>
      </c>
      <c r="G3810">
        <v>1</v>
      </c>
      <c r="H3810" s="1">
        <v>5.9606481481481481E-3</v>
      </c>
      <c r="I3810" t="s">
        <v>23</v>
      </c>
      <c r="J3810" s="2" t="str">
        <f>HYPERLINK("https://www.nba.com/stats/events?CFID=&amp;CFPARAMS=&amp;GameEventID=29&amp;GameID=0042000172&amp;Season=2020-21&amp;flag=1&amp;title=Leonard%2024'%203PT%20%20(3%20PTS)%20(P.%20George%201%20AST)", "24' 3PT  (3 PTS) (P. George 1 AST)")</f>
        <v>24' 3PT  (3 PTS) (P. George 1 AST)</v>
      </c>
      <c r="K3810" s="2" t="str">
        <f>HYPERLINK("https://www.nba.com/game/...-vs-...-0042000172/play-by-play?watchFullGame=true", "LAC vs DAL - Q1 08:35.00")</f>
        <v>LAC vs DAL - Q1 08:35.00</v>
      </c>
      <c r="L3810">
        <v>24.57</v>
      </c>
      <c r="M3810">
        <v>89.04</v>
      </c>
      <c r="N3810">
        <v>98.11</v>
      </c>
      <c r="O3810">
        <v>89</v>
      </c>
      <c r="P3810">
        <v>98</v>
      </c>
    </row>
    <row r="3811" spans="1:16" x14ac:dyDescent="0.25">
      <c r="A3811">
        <v>22200668</v>
      </c>
      <c r="B3811">
        <v>2022</v>
      </c>
      <c r="C3811" t="s">
        <v>32</v>
      </c>
      <c r="D3811" t="s">
        <v>19</v>
      </c>
      <c r="E3811">
        <v>60</v>
      </c>
      <c r="F3811">
        <v>67</v>
      </c>
      <c r="G3811">
        <v>3</v>
      </c>
      <c r="H3811" s="1">
        <v>6.9560185185185185E-3</v>
      </c>
      <c r="I3811" t="s">
        <v>23</v>
      </c>
      <c r="J3811" s="2" t="str">
        <f>HYPERLINK("https://www.nba.com/stats/events?CFID=&amp;CFPARAMS=&amp;GameEventID=339&amp;GameID=0022200668&amp;Season=2022-23&amp;flag=1&amp;title=Leonard%2016'%20pullup%20Jump%20Shot%20(16%20PTS)%20(M.%20Morris%20Sr.%201%20AST)", "16' pullup Jump Shot (16 PTS) (M. Morris Sr. 1 AST)")</f>
        <v>16' pullup Jump Shot (16 PTS) (M. Morris Sr. 1 AST)</v>
      </c>
      <c r="K3811" s="2" t="str">
        <f>HYPERLINK("https://www.nba.com/game/...-vs-...-0022200668/play-by-play?watchFullGame=true", "LAC vs PHI - Q3 10:01.00")</f>
        <v>LAC vs PHI - Q3 10:01.00</v>
      </c>
      <c r="L3811">
        <v>16.260000000000002</v>
      </c>
      <c r="M3811">
        <v>20.02</v>
      </c>
      <c r="N3811">
        <v>32.11</v>
      </c>
      <c r="O3811">
        <v>89</v>
      </c>
      <c r="P3811">
        <v>136</v>
      </c>
    </row>
    <row r="3812" spans="1:16" x14ac:dyDescent="0.25">
      <c r="A3812">
        <v>21400906</v>
      </c>
      <c r="B3812">
        <v>2014</v>
      </c>
      <c r="C3812" t="s">
        <v>32</v>
      </c>
      <c r="D3812" t="s">
        <v>19</v>
      </c>
      <c r="E3812">
        <v>20</v>
      </c>
      <c r="F3812">
        <v>18</v>
      </c>
      <c r="G3812">
        <v>1</v>
      </c>
      <c r="H3812" s="1">
        <v>2.488425925925926E-3</v>
      </c>
      <c r="I3812" t="s">
        <v>18</v>
      </c>
      <c r="J3812" s="2" t="str">
        <f>HYPERLINK("https://www.nba.com/stats/events?CFID=&amp;CFPARAMS=&amp;GameEventID=81&amp;GameID=0021400906&amp;Season=2014-15&amp;flag=1&amp;title=Leonard%2017'%20Jump%20Shot%20(11%20PTS)%20(Mills%201%20AST)", "Leonard 17' Jump Shot (11 PTS) (Mills 1 AST)")</f>
        <v>Leonard 17' Jump Shot (11 PTS) (Mills 1 AST)</v>
      </c>
      <c r="K3812" s="2" t="str">
        <f>HYPERLINK("https://www.nba.com/game/...-vs-...-0021400906/play-by-play?watchFullGame=true", "SAS vs SAC - Q1 03:35.00")</f>
        <v>SAS vs SAC - Q1 03:35.00</v>
      </c>
      <c r="L3812">
        <v>17</v>
      </c>
      <c r="M3812">
        <v>89</v>
      </c>
      <c r="N3812">
        <v>142</v>
      </c>
      <c r="O3812">
        <v>89</v>
      </c>
      <c r="P3812">
        <v>142</v>
      </c>
    </row>
    <row r="3813" spans="1:16" x14ac:dyDescent="0.25">
      <c r="A3813">
        <v>21600032</v>
      </c>
      <c r="B3813">
        <v>2016</v>
      </c>
      <c r="C3813" t="s">
        <v>32</v>
      </c>
      <c r="D3813" t="s">
        <v>19</v>
      </c>
      <c r="E3813">
        <v>76</v>
      </c>
      <c r="F3813">
        <v>58</v>
      </c>
      <c r="G3813">
        <v>3</v>
      </c>
      <c r="H3813" s="1">
        <v>3.1944444444444446E-3</v>
      </c>
      <c r="I3813" t="s">
        <v>18</v>
      </c>
      <c r="J3813" s="2" t="str">
        <f>HYPERLINK("https://www.nba.com/stats/events?CFID=&amp;CFPARAMS=&amp;GameEventID=329&amp;GameID=0021600032&amp;Season=2016-17&amp;flag=1&amp;title=Leonard%2018'%20Jump%20Shot%20(18%20PTS)%20(Gasol%205%20AST)", "Leonard 18' Jump Shot (18 PTS) (Gasol 5 AST)")</f>
        <v>Leonard 18' Jump Shot (18 PTS) (Gasol 5 AST)</v>
      </c>
      <c r="K3813" s="2" t="str">
        <f>HYPERLINK("https://www.nba.com/game/...-vs-...-0021600032/play-by-play?watchFullGame=true", "SAS vs NOP - Q3 04:36.00")</f>
        <v>SAS vs NOP - Q3 04:36.00</v>
      </c>
      <c r="L3813">
        <v>18</v>
      </c>
      <c r="M3813">
        <v>89</v>
      </c>
      <c r="N3813">
        <v>151</v>
      </c>
      <c r="O3813">
        <v>89</v>
      </c>
      <c r="P3813">
        <v>151</v>
      </c>
    </row>
    <row r="3814" spans="1:16" x14ac:dyDescent="0.25">
      <c r="A3814">
        <v>21501001</v>
      </c>
      <c r="B3814">
        <v>2015</v>
      </c>
      <c r="C3814" t="s">
        <v>32</v>
      </c>
      <c r="D3814" t="s">
        <v>19</v>
      </c>
      <c r="E3814">
        <v>99</v>
      </c>
      <c r="F3814">
        <v>79</v>
      </c>
      <c r="G3814">
        <v>4</v>
      </c>
      <c r="H3814" s="1">
        <v>2.685185185185185E-3</v>
      </c>
      <c r="I3814" t="s">
        <v>18</v>
      </c>
      <c r="J3814" s="2" t="str">
        <f>HYPERLINK("https://www.nba.com/stats/events?CFID=&amp;CFPARAMS=&amp;GameEventID=438&amp;GameID=0021501001&amp;Season=2015-16&amp;flag=1&amp;title=Leonard%2018'%20Jump%20Shot%20(20%20PTS)%20(Marjanovic%201%20AST)", "Leonard 18' Jump Shot (20 PTS) (Marjanovic 1 AST)")</f>
        <v>Leonard 18' Jump Shot (20 PTS) (Marjanovic 1 AST)</v>
      </c>
      <c r="K3814" s="2" t="str">
        <f>HYPERLINK("https://www.nba.com/game/...-vs-...-0021501001/play-by-play?watchFullGame=true", "SAS vs LAC - Q4 03:52.00")</f>
        <v>SAS vs LAC - Q4 03:52.00</v>
      </c>
      <c r="L3814">
        <v>18</v>
      </c>
      <c r="M3814">
        <v>89</v>
      </c>
      <c r="N3814">
        <v>156</v>
      </c>
      <c r="O3814">
        <v>89</v>
      </c>
      <c r="P3814">
        <v>156</v>
      </c>
    </row>
    <row r="3815" spans="1:16" x14ac:dyDescent="0.25">
      <c r="A3815">
        <v>21500516</v>
      </c>
      <c r="B3815">
        <v>2015</v>
      </c>
      <c r="C3815" t="s">
        <v>32</v>
      </c>
      <c r="D3815" t="s">
        <v>19</v>
      </c>
      <c r="E3815">
        <v>30</v>
      </c>
      <c r="F3815">
        <v>29</v>
      </c>
      <c r="G3815">
        <v>1</v>
      </c>
      <c r="H3815" s="1">
        <v>1.2731481481481482E-5</v>
      </c>
      <c r="I3815" t="s">
        <v>18</v>
      </c>
      <c r="J3815" s="2" t="str">
        <f>HYPERLINK("https://www.nba.com/stats/events?CFID=&amp;CFPARAMS=&amp;GameEventID=103&amp;GameID=0021500516&amp;Season=2015-16&amp;flag=1&amp;title=Leonard%2020'%20Jump%20Shot%20(11%20PTS)", "Leonard 20' Jump Shot (11 PTS)")</f>
        <v>Leonard 20' Jump Shot (11 PTS)</v>
      </c>
      <c r="K3815" s="2" t="str">
        <f>HYPERLINK("https://www.nba.com/game/...-vs-...-0021500516/play-by-play?watchFullGame=true", "SAS vs MIL - Q1 00:01.10")</f>
        <v>SAS vs MIL - Q1 00:01.10</v>
      </c>
      <c r="L3815">
        <v>20</v>
      </c>
      <c r="M3815">
        <v>89</v>
      </c>
      <c r="N3815">
        <v>175</v>
      </c>
      <c r="O3815">
        <v>89</v>
      </c>
      <c r="P3815">
        <v>175</v>
      </c>
    </row>
    <row r="3816" spans="1:16" x14ac:dyDescent="0.25">
      <c r="A3816">
        <v>22200902</v>
      </c>
      <c r="B3816">
        <v>2022</v>
      </c>
      <c r="C3816" t="s">
        <v>32</v>
      </c>
      <c r="D3816" t="s">
        <v>19</v>
      </c>
      <c r="E3816">
        <v>40</v>
      </c>
      <c r="F3816">
        <v>40</v>
      </c>
      <c r="G3816">
        <v>1</v>
      </c>
      <c r="H3816" s="1">
        <v>1.0416666666666666E-5</v>
      </c>
      <c r="I3816" t="s">
        <v>23</v>
      </c>
      <c r="J3816" s="2" t="str">
        <f>HYPERLINK("https://www.nba.com/stats/events?CFID=&amp;CFPARAMS=&amp;GameEventID=167&amp;GameID=0022200902&amp;Season=2022-23&amp;flag=1&amp;title=Leonard%2020'%20pullup%20Jump%20Shot%20(13%20PTS)%20(N.%20Batum%201%20AST)", "20' pullup Jump Shot (13 PTS) (N. Batum 1 AST)")</f>
        <v>20' pullup Jump Shot (13 PTS) (N. Batum 1 AST)</v>
      </c>
      <c r="K3816" s="2" t="str">
        <f>HYPERLINK("https://www.nba.com/game/...-vs-...-0022200902/play-by-play?watchFullGame=true", "LAC vs SAC - Q1 00:00.90")</f>
        <v>LAC vs SAC - Q1 00:00.90</v>
      </c>
      <c r="L3816">
        <v>20.37</v>
      </c>
      <c r="M3816">
        <v>74.95</v>
      </c>
      <c r="N3816">
        <v>67.89</v>
      </c>
      <c r="O3816">
        <v>89</v>
      </c>
      <c r="P3816">
        <v>183</v>
      </c>
    </row>
    <row r="3817" spans="1:16" x14ac:dyDescent="0.25">
      <c r="A3817">
        <v>21300888</v>
      </c>
      <c r="B3817">
        <v>2013</v>
      </c>
      <c r="C3817" t="s">
        <v>16</v>
      </c>
      <c r="D3817" t="s">
        <v>19</v>
      </c>
      <c r="E3817">
        <v>92</v>
      </c>
      <c r="F3817">
        <v>84</v>
      </c>
      <c r="G3817">
        <v>4</v>
      </c>
      <c r="H3817" s="1">
        <v>4.5486111111111109E-3</v>
      </c>
      <c r="I3817" t="s">
        <v>18</v>
      </c>
      <c r="J3817" s="2" t="str">
        <f>HYPERLINK("https://www.nba.com/stats/events?CFID=&amp;CFPARAMS=&amp;GameEventID=435&amp;GameID=0021300888&amp;Season=2013-14&amp;flag=1&amp;title=Leonard%2024'%203PT%20Jump%20Shot%20(16%20PTS)%20(Parker%206%20AST)", "Leonard 24' 3PT Jump Shot (16 PTS) (Parker 6 AST)")</f>
        <v>Leonard 24' 3PT Jump Shot (16 PTS) (Parker 6 AST)</v>
      </c>
      <c r="K3817" s="2" t="str">
        <f>HYPERLINK("https://www.nba.com/game/...-vs-...-0021300888/play-by-play?watchFullGame=true", "SAS vs DAL - Q4 06:33.00")</f>
        <v>SAS vs DAL - Q4 06:33.00</v>
      </c>
      <c r="L3817">
        <v>24</v>
      </c>
      <c r="M3817">
        <v>89</v>
      </c>
      <c r="N3817">
        <v>222</v>
      </c>
      <c r="O3817">
        <v>89</v>
      </c>
      <c r="P3817">
        <v>222</v>
      </c>
    </row>
    <row r="3818" spans="1:16" x14ac:dyDescent="0.25">
      <c r="A3818">
        <v>21300871</v>
      </c>
      <c r="B3818">
        <v>2013</v>
      </c>
      <c r="C3818" t="s">
        <v>16</v>
      </c>
      <c r="D3818" t="s">
        <v>19</v>
      </c>
      <c r="E3818">
        <v>31</v>
      </c>
      <c r="F3818">
        <v>39</v>
      </c>
      <c r="G3818">
        <v>2</v>
      </c>
      <c r="H3818" s="1">
        <v>4.0625000000000001E-3</v>
      </c>
      <c r="I3818" t="s">
        <v>18</v>
      </c>
      <c r="J3818" s="2" t="str">
        <f>HYPERLINK("https://www.nba.com/stats/events?CFID=&amp;CFPARAMS=&amp;GameEventID=167&amp;GameID=0021300871&amp;Season=2013-14&amp;flag=1&amp;title=Leonard%2025'%203PT%20Jump%20Shot%20(7%20PTS)%20(Belinelli%202%20AST)", "Leonard 25' 3PT Jump Shot (7 PTS) (Belinelli 2 AST)")</f>
        <v>Leonard 25' 3PT Jump Shot (7 PTS) (Belinelli 2 AST)</v>
      </c>
      <c r="K3818" s="2" t="str">
        <f>HYPERLINK("https://www.nba.com/game/...-vs-...-0021300871/play-by-play?watchFullGame=true", "SAS vs CHA - Q2 05:51.00")</f>
        <v>SAS vs CHA - Q2 05:51.00</v>
      </c>
      <c r="L3818">
        <v>25</v>
      </c>
      <c r="M3818">
        <v>89</v>
      </c>
      <c r="N3818">
        <v>230</v>
      </c>
      <c r="O3818">
        <v>89</v>
      </c>
      <c r="P3818">
        <v>230</v>
      </c>
    </row>
    <row r="3819" spans="1:16" x14ac:dyDescent="0.25">
      <c r="A3819">
        <v>22300848</v>
      </c>
      <c r="B3819">
        <v>2023</v>
      </c>
      <c r="C3819" t="s">
        <v>16</v>
      </c>
      <c r="D3819" t="s">
        <v>19</v>
      </c>
      <c r="E3819">
        <v>76</v>
      </c>
      <c r="F3819">
        <v>62</v>
      </c>
      <c r="G3819">
        <v>3</v>
      </c>
      <c r="H3819" s="1">
        <v>4.9884259259259257E-3</v>
      </c>
      <c r="I3819" t="s">
        <v>23</v>
      </c>
      <c r="J3819" s="2" t="str">
        <f>HYPERLINK("https://www.nba.com/stats/events?CFID=&amp;CFPARAMS=&amp;GameEventID=392&amp;GameID=0022300848&amp;Season=2023-24&amp;flag=1&amp;title=Leonard%2027'%203PT%20running%20pullup%20(17%20PTS)", "27' 3PT running pullup (17 PTS)")</f>
        <v>27' 3PT running pullup (17 PTS)</v>
      </c>
      <c r="K3819" s="2" t="str">
        <f>HYPERLINK("https://www.nba.com/game/...-vs-...-0022300848/play-by-play?watchFullGame=true", "LAC vs LAL - Q3 07:11.00")</f>
        <v>LAC vs LAL - Q3 07:11.00</v>
      </c>
      <c r="L3819">
        <v>27.31</v>
      </c>
      <c r="M3819">
        <v>33.03</v>
      </c>
      <c r="N3819">
        <v>32.11</v>
      </c>
      <c r="O3819">
        <v>89</v>
      </c>
      <c r="P3819">
        <v>258</v>
      </c>
    </row>
    <row r="3820" spans="1:16" x14ac:dyDescent="0.25">
      <c r="A3820">
        <v>42000223</v>
      </c>
      <c r="B3820" t="s">
        <v>85</v>
      </c>
      <c r="C3820" t="s">
        <v>32</v>
      </c>
      <c r="D3820" t="s">
        <v>47</v>
      </c>
      <c r="E3820">
        <v>106</v>
      </c>
      <c r="F3820">
        <v>92</v>
      </c>
      <c r="G3820">
        <v>4</v>
      </c>
      <c r="H3820" s="1">
        <v>5.6249999999999998E-3</v>
      </c>
      <c r="I3820" t="s">
        <v>23</v>
      </c>
      <c r="J3820" s="2" t="str">
        <f>HYPERLINK("https://www.nba.com/stats/events?CFID=&amp;CFPARAMS=&amp;GameEventID=497&amp;GameID=0042000223&amp;Season=2020-21&amp;flag=1&amp;title=Leonard%20running%20Layup%20(24%20PTS)%20(P.%20George%205%20AST)", "Running Layup (24 PTS) (P. George 5 AST)")</f>
        <v>Running Layup (24 PTS) (P. George 5 AST)</v>
      </c>
      <c r="K3820" s="2" t="str">
        <f>HYPERLINK("https://www.nba.com/game/...-vs-...-0042000223/play-by-play?watchFullGame=true", "LAC vs UTA - Q4 08:06.00")</f>
        <v>LAC vs UTA - Q4 08:06.00</v>
      </c>
      <c r="L3820">
        <v>3.35</v>
      </c>
      <c r="M3820">
        <v>90.85</v>
      </c>
      <c r="N3820">
        <v>50.18</v>
      </c>
      <c r="O3820">
        <v>90</v>
      </c>
      <c r="P3820">
        <v>50</v>
      </c>
    </row>
    <row r="3821" spans="1:16" x14ac:dyDescent="0.25">
      <c r="A3821">
        <v>21900516</v>
      </c>
      <c r="B3821">
        <v>2019</v>
      </c>
      <c r="C3821" t="s">
        <v>32</v>
      </c>
      <c r="D3821" t="s">
        <v>22</v>
      </c>
      <c r="E3821">
        <v>71</v>
      </c>
      <c r="F3821">
        <v>63</v>
      </c>
      <c r="G3821">
        <v>3</v>
      </c>
      <c r="H3821" s="1">
        <v>8.1365740740740738E-3</v>
      </c>
      <c r="I3821" t="s">
        <v>23</v>
      </c>
      <c r="J3821" s="2" t="str">
        <f>HYPERLINK("https://www.nba.com/stats/events?CFID=&amp;CFPARAMS=&amp;GameEventID=380&amp;GameID=0021900516&amp;Season=2019-20&amp;flag=1&amp;title=Leonard%2013'%20jumpshot%20(14%20PTS)", "13' jumpshot (14 PTS)")</f>
        <v>13' jumpshot (14 PTS)</v>
      </c>
      <c r="K3821" s="2" t="str">
        <f>HYPERLINK("https://www.nba.com/game/...-vs-...-0021900516/play-by-play?watchFullGame=true", "LAC vs DET - Q3 11:43.00")</f>
        <v>LAC vs DET - Q3 11:43.00</v>
      </c>
      <c r="L3821">
        <v>13.45</v>
      </c>
      <c r="M3821">
        <v>15.64</v>
      </c>
      <c r="N3821">
        <v>32.020000000000003</v>
      </c>
      <c r="O3821">
        <v>90</v>
      </c>
      <c r="P3821">
        <v>94</v>
      </c>
    </row>
    <row r="3822" spans="1:16" x14ac:dyDescent="0.25">
      <c r="A3822">
        <v>22000061</v>
      </c>
      <c r="B3822">
        <v>2020</v>
      </c>
      <c r="C3822" t="s">
        <v>16</v>
      </c>
      <c r="D3822" t="s">
        <v>19</v>
      </c>
      <c r="E3822">
        <v>57</v>
      </c>
      <c r="F3822">
        <v>44</v>
      </c>
      <c r="G3822">
        <v>2</v>
      </c>
      <c r="H3822" s="1">
        <v>3.7731481481481483E-3</v>
      </c>
      <c r="I3822" t="s">
        <v>23</v>
      </c>
      <c r="J3822" s="2" t="str">
        <f>HYPERLINK("https://www.nba.com/stats/events?CFID=&amp;CFPARAMS=&amp;GameEventID=225&amp;GameID=0022000061&amp;Season=2020-21&amp;flag=1&amp;title=Leonard%2024'%203PT%20pullup%20(9%20PTS)%20(P.%20George%206%20AST)", "24' 3PT pullup (9 PTS) (P. George 6 AST)")</f>
        <v>24' 3PT pullup (9 PTS) (P. George 6 AST)</v>
      </c>
      <c r="K3822" s="2" t="str">
        <f>HYPERLINK("https://www.nba.com/game/...-vs-...-0022000061/play-by-play?watchFullGame=true", "LAC vs POR - Q2 05:26.00")</f>
        <v>LAC vs POR - Q2 05:26.00</v>
      </c>
      <c r="L3822">
        <v>24.47</v>
      </c>
      <c r="M3822">
        <v>29.78</v>
      </c>
      <c r="N3822">
        <v>31.93</v>
      </c>
      <c r="O3822">
        <v>90</v>
      </c>
      <c r="P3822">
        <v>227</v>
      </c>
    </row>
    <row r="3823" spans="1:16" x14ac:dyDescent="0.25">
      <c r="A3823">
        <v>41800211</v>
      </c>
      <c r="B3823" t="s">
        <v>20</v>
      </c>
      <c r="C3823" t="s">
        <v>32</v>
      </c>
      <c r="D3823" t="s">
        <v>35</v>
      </c>
      <c r="E3823">
        <v>107</v>
      </c>
      <c r="F3823">
        <v>87</v>
      </c>
      <c r="G3823">
        <v>4</v>
      </c>
      <c r="H3823" s="1">
        <v>2.9745370370370373E-3</v>
      </c>
      <c r="I3823" t="s">
        <v>21</v>
      </c>
      <c r="J3823" s="2" t="str">
        <f>HYPERLINK("https://www.nba.com/stats/events?CFID=&amp;CFPARAMS=&amp;GameEventID=581&amp;GameID=0041800211&amp;Season=2018-19&amp;flag=1&amp;title=Leonard%209'%20Driving%20Floating%20Jump%20Shot%20(45%20PTS)", "Leonard 9' Driving Floating Jump Shot (45 PTS)")</f>
        <v>Leonard 9' Driving Floating Jump Shot (45 PTS)</v>
      </c>
      <c r="K3823" s="2" t="str">
        <f>HYPERLINK("https://www.nba.com/game/...-vs-...-0041800211/play-by-play?watchFullGame=true", "TOR vs PHI - Q4 04:17.00")</f>
        <v>TOR vs PHI - Q4 04:17.00</v>
      </c>
      <c r="L3823">
        <v>9</v>
      </c>
      <c r="M3823">
        <v>91</v>
      </c>
      <c r="N3823">
        <v>12</v>
      </c>
      <c r="O3823">
        <v>91</v>
      </c>
      <c r="P3823">
        <v>12</v>
      </c>
    </row>
    <row r="3824" spans="1:16" x14ac:dyDescent="0.25">
      <c r="A3824">
        <v>21400964</v>
      </c>
      <c r="B3824">
        <v>2014</v>
      </c>
      <c r="C3824" t="s">
        <v>32</v>
      </c>
      <c r="D3824" t="s">
        <v>19</v>
      </c>
      <c r="E3824">
        <v>58</v>
      </c>
      <c r="F3824">
        <v>58</v>
      </c>
      <c r="G3824">
        <v>2</v>
      </c>
      <c r="H3824" s="1">
        <v>8.9120370370370373E-4</v>
      </c>
      <c r="I3824" t="s">
        <v>18</v>
      </c>
      <c r="J3824" s="2" t="str">
        <f>HYPERLINK("https://www.nba.com/stats/events?CFID=&amp;CFPARAMS=&amp;GameEventID=232&amp;GameID=0021400964&amp;Season=2014-15&amp;flag=1&amp;title=Leonard%2010'%20Jump%20Shot%20(14%20PTS)%20(Parker%204%20AST)", "Leonard 10' Jump Shot (14 PTS) (Parker 4 AST)")</f>
        <v>Leonard 10' Jump Shot (14 PTS) (Parker 4 AST)</v>
      </c>
      <c r="K3824" s="2" t="str">
        <f>HYPERLINK("https://www.nba.com/game/...-vs-...-0021400964/play-by-play?watchFullGame=true", "SAS vs CLE - Q2 01:17.00")</f>
        <v>SAS vs CLE - Q2 01:17.00</v>
      </c>
      <c r="L3824">
        <v>10</v>
      </c>
      <c r="M3824">
        <v>91</v>
      </c>
      <c r="N3824">
        <v>30</v>
      </c>
      <c r="O3824">
        <v>91</v>
      </c>
      <c r="P3824">
        <v>30</v>
      </c>
    </row>
    <row r="3825" spans="1:16" x14ac:dyDescent="0.25">
      <c r="A3825">
        <v>42000221</v>
      </c>
      <c r="B3825" t="s">
        <v>85</v>
      </c>
      <c r="C3825" t="s">
        <v>32</v>
      </c>
      <c r="D3825" t="s">
        <v>19</v>
      </c>
      <c r="E3825">
        <v>59</v>
      </c>
      <c r="F3825">
        <v>64</v>
      </c>
      <c r="G3825">
        <v>3</v>
      </c>
      <c r="H3825" s="1">
        <v>5.7175925925925927E-3</v>
      </c>
      <c r="I3825" t="s">
        <v>23</v>
      </c>
      <c r="J3825" s="2" t="str">
        <f>HYPERLINK("https://www.nba.com/stats/events?CFID=&amp;CFPARAMS=&amp;GameEventID=400&amp;GameID=0042000221&amp;Season=2020-21&amp;flag=1&amp;title=Leonard%209'%20turnaround%20fadeaway%20Jump%20Shot%20(9%20PTS)", "9' turnaround fadeaway Jump Shot (9 PTS)")</f>
        <v>9' turnaround fadeaway Jump Shot (9 PTS)</v>
      </c>
      <c r="K3825" s="2" t="str">
        <f>HYPERLINK("https://www.nba.com/game/...-vs-...-0042000221/play-by-play?watchFullGame=true", "LAC vs UTA - Q3 08:14.00")</f>
        <v>LAC vs UTA - Q3 08:14.00</v>
      </c>
      <c r="L3825">
        <v>9.33</v>
      </c>
      <c r="M3825">
        <v>91.93</v>
      </c>
      <c r="N3825">
        <v>31.93</v>
      </c>
      <c r="O3825">
        <v>91</v>
      </c>
      <c r="P3825">
        <v>31</v>
      </c>
    </row>
    <row r="3826" spans="1:16" x14ac:dyDescent="0.25">
      <c r="A3826">
        <v>42000176</v>
      </c>
      <c r="B3826" t="s">
        <v>83</v>
      </c>
      <c r="C3826" t="s">
        <v>32</v>
      </c>
      <c r="D3826" t="s">
        <v>44</v>
      </c>
      <c r="E3826">
        <v>17</v>
      </c>
      <c r="F3826">
        <v>14</v>
      </c>
      <c r="G3826">
        <v>1</v>
      </c>
      <c r="H3826" s="1">
        <v>4.43287037037037E-3</v>
      </c>
      <c r="I3826" t="s">
        <v>23</v>
      </c>
      <c r="J3826" s="2" t="str">
        <f>HYPERLINK("https://www.nba.com/stats/events?CFID=&amp;CFPARAMS=&amp;GameEventID=61&amp;GameID=0042000176&amp;Season=2020-21&amp;flag=1&amp;title=Leonard%20driving%20bank%20Hook%20(2%20PTS)", "Driving bank Hook (2 PTS)")</f>
        <v>Driving bank Hook (2 PTS)</v>
      </c>
      <c r="K3826" s="2" t="str">
        <f>HYPERLINK("https://www.nba.com/game/...-vs-...-0042000176/play-by-play?watchFullGame=true", "LAC vs DAL - Q1 06:23.00")</f>
        <v>LAC vs DAL - Q1 06:23.00</v>
      </c>
      <c r="L3826">
        <v>3.27</v>
      </c>
      <c r="M3826">
        <v>91.8</v>
      </c>
      <c r="N3826">
        <v>45.66</v>
      </c>
      <c r="O3826">
        <v>91</v>
      </c>
      <c r="P3826">
        <v>45</v>
      </c>
    </row>
    <row r="3827" spans="1:16" x14ac:dyDescent="0.25">
      <c r="A3827">
        <v>22300511</v>
      </c>
      <c r="B3827">
        <v>2023</v>
      </c>
      <c r="C3827" t="s">
        <v>32</v>
      </c>
      <c r="D3827" t="s">
        <v>19</v>
      </c>
      <c r="E3827">
        <v>13</v>
      </c>
      <c r="F3827">
        <v>8</v>
      </c>
      <c r="G3827">
        <v>1</v>
      </c>
      <c r="H3827" s="1">
        <v>5.6481481481481478E-3</v>
      </c>
      <c r="I3827" t="s">
        <v>23</v>
      </c>
      <c r="J3827" s="2" t="str">
        <f>HYPERLINK("https://www.nba.com/stats/events?CFID=&amp;CFPARAMS=&amp;GameEventID=48&amp;GameID=0022300511&amp;Season=2023-24&amp;flag=1&amp;title=Leonard%2010'%20fadeaway%20Jump%20Shot%20(4%20PTS)%20(T.%20Mann%201%20AST)", "10' fadeaway Jump Shot (4 PTS) (T. Mann 1 AST)")</f>
        <v>10' fadeaway Jump Shot (4 PTS) (T. Mann 1 AST)</v>
      </c>
      <c r="K3827" s="2" t="str">
        <f>HYPERLINK("https://www.nba.com/game/...-vs-...-0022300511/play-by-play?watchFullGame=true", "LAC vs PHX - Q1 08:08.00")</f>
        <v>LAC vs PHX - Q1 08:08.00</v>
      </c>
      <c r="L3827">
        <v>10.17</v>
      </c>
      <c r="M3827">
        <v>89.54</v>
      </c>
      <c r="N3827">
        <v>68.14</v>
      </c>
      <c r="O3827">
        <v>91</v>
      </c>
      <c r="P3827">
        <v>46</v>
      </c>
    </row>
    <row r="3828" spans="1:16" x14ac:dyDescent="0.25">
      <c r="A3828">
        <v>42000221</v>
      </c>
      <c r="B3828" t="s">
        <v>85</v>
      </c>
      <c r="C3828" t="s">
        <v>32</v>
      </c>
      <c r="D3828" t="s">
        <v>47</v>
      </c>
      <c r="E3828">
        <v>112</v>
      </c>
      <c r="F3828">
        <v>106</v>
      </c>
      <c r="G3828">
        <v>4</v>
      </c>
      <c r="H3828" s="1">
        <v>7.8703703703703705E-4</v>
      </c>
      <c r="I3828" t="s">
        <v>23</v>
      </c>
      <c r="J3828" s="2" t="str">
        <f>HYPERLINK("https://www.nba.com/stats/events?CFID=&amp;CFPARAMS=&amp;GameEventID=670&amp;GameID=0042000221&amp;Season=2020-21&amp;flag=1&amp;title=Leonard%20cutting%20Layup%20(23%20PTS)%20(P.%20George%202%20AST)", "Cutting Layup (23 PTS) (P. George 2 AST)")</f>
        <v>Cutting Layup (23 PTS) (P. George 2 AST)</v>
      </c>
      <c r="K3828" s="2" t="str">
        <f>HYPERLINK("https://www.nba.com/game/...-vs-...-0042000221/play-by-play?watchFullGame=true", "LAC vs UTA - Q4 01:08.00")</f>
        <v>LAC vs UTA - Q4 01:08.00</v>
      </c>
      <c r="L3828">
        <v>3.18</v>
      </c>
      <c r="M3828">
        <v>91.28</v>
      </c>
      <c r="N3828">
        <v>47.62</v>
      </c>
      <c r="O3828">
        <v>91</v>
      </c>
      <c r="P3828">
        <v>47</v>
      </c>
    </row>
    <row r="3829" spans="1:16" x14ac:dyDescent="0.25">
      <c r="A3829">
        <v>42000223</v>
      </c>
      <c r="B3829" t="s">
        <v>85</v>
      </c>
      <c r="C3829" t="s">
        <v>32</v>
      </c>
      <c r="D3829" t="s">
        <v>47</v>
      </c>
      <c r="E3829">
        <v>118</v>
      </c>
      <c r="F3829">
        <v>98</v>
      </c>
      <c r="G3829">
        <v>4</v>
      </c>
      <c r="H3829" s="1">
        <v>3.1944444444444446E-3</v>
      </c>
      <c r="I3829" t="s">
        <v>23</v>
      </c>
      <c r="J3829" s="2" t="str">
        <f>HYPERLINK("https://www.nba.com/stats/events?CFID=&amp;CFPARAMS=&amp;GameEventID=544&amp;GameID=0042000223&amp;Season=2020-21&amp;flag=1&amp;title=Leonard%20driving%20Layup%20(32%20PTS)", "Driving Layup (32 PTS)")</f>
        <v>Driving Layup (32 PTS)</v>
      </c>
      <c r="K3829" s="2" t="str">
        <f>HYPERLINK("https://www.nba.com/game/...-vs-...-0042000223/play-by-play?watchFullGame=true", "LAC vs UTA - Q4 04:36.00")</f>
        <v>LAC vs UTA - Q4 04:36.00</v>
      </c>
      <c r="L3829">
        <v>2.57</v>
      </c>
      <c r="M3829">
        <v>91.77</v>
      </c>
      <c r="N3829">
        <v>48.71</v>
      </c>
      <c r="O3829">
        <v>91</v>
      </c>
      <c r="P3829">
        <v>48</v>
      </c>
    </row>
    <row r="3830" spans="1:16" x14ac:dyDescent="0.25">
      <c r="A3830">
        <v>42000221</v>
      </c>
      <c r="B3830" t="s">
        <v>85</v>
      </c>
      <c r="C3830" t="s">
        <v>32</v>
      </c>
      <c r="D3830" t="s">
        <v>47</v>
      </c>
      <c r="E3830">
        <v>96</v>
      </c>
      <c r="F3830">
        <v>93</v>
      </c>
      <c r="G3830">
        <v>4</v>
      </c>
      <c r="H3830" s="1">
        <v>4.9305555555555552E-3</v>
      </c>
      <c r="I3830" t="s">
        <v>23</v>
      </c>
      <c r="J3830" s="2" t="str">
        <f>HYPERLINK("https://www.nba.com/stats/events?CFID=&amp;CFPARAMS=&amp;GameEventID=602&amp;GameID=0042000221&amp;Season=2020-21&amp;flag=1&amp;title=Leonard%20driving%20finger%20roll%20Layup%20(19%20PTS)", "Driving finger roll Layup (19 PTS)")</f>
        <v>Driving finger roll Layup (19 PTS)</v>
      </c>
      <c r="K3830" s="2" t="str">
        <f>HYPERLINK("https://www.nba.com/game/...-vs-...-0042000221/play-by-play?watchFullGame=true", "LAC vs UTA - Q4 07:06.00")</f>
        <v>LAC vs UTA - Q4 07:06.00</v>
      </c>
      <c r="L3830">
        <v>2.52</v>
      </c>
      <c r="M3830">
        <v>91.8</v>
      </c>
      <c r="N3830">
        <v>48.84</v>
      </c>
      <c r="O3830">
        <v>91</v>
      </c>
      <c r="P3830">
        <v>48</v>
      </c>
    </row>
    <row r="3831" spans="1:16" x14ac:dyDescent="0.25">
      <c r="A3831">
        <v>42000172</v>
      </c>
      <c r="B3831" t="s">
        <v>83</v>
      </c>
      <c r="C3831" t="s">
        <v>32</v>
      </c>
      <c r="D3831" t="s">
        <v>47</v>
      </c>
      <c r="E3831">
        <v>58</v>
      </c>
      <c r="F3831">
        <v>60</v>
      </c>
      <c r="G3831">
        <v>2</v>
      </c>
      <c r="H3831" s="1">
        <v>2.3148148148148147E-3</v>
      </c>
      <c r="I3831" t="s">
        <v>23</v>
      </c>
      <c r="J3831" s="2" t="str">
        <f>HYPERLINK("https://www.nba.com/stats/events?CFID=&amp;CFPARAMS=&amp;GameEventID=258&amp;GameID=0042000172&amp;Season=2020-21&amp;flag=1&amp;title=Leonard%20driving%20Layup%20(24%20PTS)", "Driving Layup (24 PTS)")</f>
        <v>Driving Layup (24 PTS)</v>
      </c>
      <c r="K3831" s="2" t="str">
        <f>HYPERLINK("https://www.nba.com/game/...-vs-...-0042000172/play-by-play?watchFullGame=true", "LAC vs DAL - Q2 03:20.00")</f>
        <v>LAC vs DAL - Q2 03:20.00</v>
      </c>
      <c r="L3831">
        <v>2.4900000000000002</v>
      </c>
      <c r="M3831">
        <v>91.8</v>
      </c>
      <c r="N3831">
        <v>49.09</v>
      </c>
      <c r="O3831">
        <v>91</v>
      </c>
      <c r="P3831">
        <v>49</v>
      </c>
    </row>
    <row r="3832" spans="1:16" x14ac:dyDescent="0.25">
      <c r="A3832">
        <v>42000222</v>
      </c>
      <c r="B3832" t="s">
        <v>85</v>
      </c>
      <c r="C3832" t="s">
        <v>32</v>
      </c>
      <c r="D3832" t="s">
        <v>48</v>
      </c>
      <c r="E3832">
        <v>97</v>
      </c>
      <c r="F3832">
        <v>95</v>
      </c>
      <c r="G3832">
        <v>4</v>
      </c>
      <c r="H3832" s="1">
        <v>5.2893518518518515E-3</v>
      </c>
      <c r="I3832" t="s">
        <v>23</v>
      </c>
      <c r="J3832" s="2" t="str">
        <f>HYPERLINK("https://www.nba.com/stats/events?CFID=&amp;CFPARAMS=&amp;GameEventID=508&amp;GameID=0042000222&amp;Season=2020-21&amp;flag=1&amp;title=Leonard%20running%20DUNK%20(21%20PTS)", "Running DUNK (21 PTS)")</f>
        <v>Running DUNK (21 PTS)</v>
      </c>
      <c r="K3832" s="2" t="str">
        <f>HYPERLINK("https://www.nba.com/game/...-vs-...-0042000222/play-by-play?watchFullGame=true", "LAC vs UTA - Q4 07:37.00")</f>
        <v>LAC vs UTA - Q4 07:37.00</v>
      </c>
      <c r="L3832">
        <v>3.17</v>
      </c>
      <c r="M3832">
        <v>91.15</v>
      </c>
      <c r="N3832">
        <v>51.54</v>
      </c>
      <c r="O3832">
        <v>91</v>
      </c>
      <c r="P3832">
        <v>51</v>
      </c>
    </row>
    <row r="3833" spans="1:16" x14ac:dyDescent="0.25">
      <c r="A3833">
        <v>42000174</v>
      </c>
      <c r="B3833" t="s">
        <v>83</v>
      </c>
      <c r="C3833" t="s">
        <v>32</v>
      </c>
      <c r="D3833" t="s">
        <v>19</v>
      </c>
      <c r="E3833">
        <v>17</v>
      </c>
      <c r="F3833">
        <v>23</v>
      </c>
      <c r="G3833">
        <v>1</v>
      </c>
      <c r="H3833" s="1">
        <v>1.9907407407407408E-3</v>
      </c>
      <c r="I3833" t="s">
        <v>23</v>
      </c>
      <c r="J3833" s="2" t="str">
        <f>HYPERLINK("https://www.nba.com/stats/events?CFID=&amp;CFPARAMS=&amp;GameEventID=137&amp;GameID=0042000174&amp;Season=2020-21&amp;flag=1&amp;title=Leonard%208'%20driving%20floating%20Jump%20Shot%20(10%20PTS)", "8' driving floating Jump Shot (10 PTS)")</f>
        <v>8' driving floating Jump Shot (10 PTS)</v>
      </c>
      <c r="K3833" s="2" t="str">
        <f>HYPERLINK("https://www.nba.com/game/...-vs-...-0042000174/play-by-play?watchFullGame=true", "LAC vs DAL - Q1 02:52.00")</f>
        <v>LAC vs DAL - Q1 02:52.00</v>
      </c>
      <c r="L3833">
        <v>8.0500000000000007</v>
      </c>
      <c r="M3833">
        <v>91.67</v>
      </c>
      <c r="N3833">
        <v>65.27</v>
      </c>
      <c r="O3833">
        <v>91</v>
      </c>
      <c r="P3833">
        <v>65</v>
      </c>
    </row>
    <row r="3834" spans="1:16" x14ac:dyDescent="0.25">
      <c r="A3834">
        <v>42000173</v>
      </c>
      <c r="B3834" t="s">
        <v>83</v>
      </c>
      <c r="C3834" t="s">
        <v>32</v>
      </c>
      <c r="D3834" t="s">
        <v>19</v>
      </c>
      <c r="E3834">
        <v>30</v>
      </c>
      <c r="F3834">
        <v>13</v>
      </c>
      <c r="G3834">
        <v>1</v>
      </c>
      <c r="H3834" s="1">
        <v>3.0671296296296297E-3</v>
      </c>
      <c r="I3834" t="s">
        <v>23</v>
      </c>
      <c r="J3834" s="2" t="str">
        <f>HYPERLINK("https://www.nba.com/stats/events?CFID=&amp;CFPARAMS=&amp;GameEventID=89&amp;GameID=0042000173&amp;Season=2020-21&amp;flag=1&amp;title=Leonard%2010'%20Jump%20Shot%20(2%20PTS)", "10' Jump Shot (2 PTS)")</f>
        <v>10' Jump Shot (2 PTS)</v>
      </c>
      <c r="K3834" s="2" t="str">
        <f>HYPERLINK("https://www.nba.com/game/...-vs-...-0042000173/play-by-play?watchFullGame=true", "LAC vs DAL - Q1 04:25.00")</f>
        <v>LAC vs DAL - Q1 04:25.00</v>
      </c>
      <c r="L3834">
        <v>10.29</v>
      </c>
      <c r="M3834">
        <v>91.67</v>
      </c>
      <c r="N3834">
        <v>69.92</v>
      </c>
      <c r="O3834">
        <v>91</v>
      </c>
      <c r="P3834">
        <v>69</v>
      </c>
    </row>
    <row r="3835" spans="1:16" x14ac:dyDescent="0.25">
      <c r="A3835">
        <v>22201229</v>
      </c>
      <c r="B3835">
        <v>2022</v>
      </c>
      <c r="C3835" t="s">
        <v>32</v>
      </c>
      <c r="D3835" t="s">
        <v>19</v>
      </c>
      <c r="E3835">
        <v>53</v>
      </c>
      <c r="F3835">
        <v>50</v>
      </c>
      <c r="G3835">
        <v>3</v>
      </c>
      <c r="H3835" s="1">
        <v>8.1944444444444452E-3</v>
      </c>
      <c r="I3835" t="s">
        <v>23</v>
      </c>
      <c r="J3835" s="2" t="str">
        <f>HYPERLINK("https://www.nba.com/stats/events?CFID=&amp;CFPARAMS=&amp;GameEventID=348&amp;GameID=0022201229&amp;Season=2022-23&amp;flag=1&amp;title=Leonard%2014'%20Jump%20Shot%20(6%20PTS)", "14' Jump Shot (6 PTS)")</f>
        <v>14' Jump Shot (6 PTS)</v>
      </c>
      <c r="K3835" s="2" t="str">
        <f>HYPERLINK("https://www.nba.com/game/...-vs-...-0022201229/play-by-play?watchFullGame=true", "LAC vs PHX - Q3 11:48.00")</f>
        <v>LAC vs PHX - Q3 11:48.00</v>
      </c>
      <c r="L3835">
        <v>14.17</v>
      </c>
      <c r="M3835">
        <v>17.16</v>
      </c>
      <c r="N3835">
        <v>31.86</v>
      </c>
      <c r="O3835">
        <v>91</v>
      </c>
      <c r="P3835">
        <v>109</v>
      </c>
    </row>
    <row r="3836" spans="1:16" x14ac:dyDescent="0.25">
      <c r="A3836">
        <v>21600744</v>
      </c>
      <c r="B3836">
        <v>2016</v>
      </c>
      <c r="C3836" t="s">
        <v>32</v>
      </c>
      <c r="D3836" t="s">
        <v>29</v>
      </c>
      <c r="E3836">
        <v>36</v>
      </c>
      <c r="F3836">
        <v>30</v>
      </c>
      <c r="G3836">
        <v>2</v>
      </c>
      <c r="H3836" s="1">
        <v>4.6874999999999998E-3</v>
      </c>
      <c r="I3836" t="s">
        <v>18</v>
      </c>
      <c r="J3836" s="2" t="str">
        <f>HYPERLINK("https://www.nba.com/stats/events?CFID=&amp;CFPARAMS=&amp;GameEventID=211&amp;GameID=0021600744&amp;Season=2016-17&amp;flag=1&amp;title=Leonard%2015'%20Pullup%20Jump%20Shot%20(8%20PTS)", "Leonard 15' Pullup Jump Shot (8 PTS)")</f>
        <v>Leonard 15' Pullup Jump Shot (8 PTS)</v>
      </c>
      <c r="K3836" s="2" t="str">
        <f>HYPERLINK("https://www.nba.com/game/...-vs-...-0021600744/play-by-play?watchFullGame=true", "SAS vs PHI - Q2 06:45.00")</f>
        <v>SAS vs PHI - Q2 06:45.00</v>
      </c>
      <c r="L3836">
        <v>15</v>
      </c>
      <c r="M3836">
        <v>91</v>
      </c>
      <c r="N3836">
        <v>121</v>
      </c>
      <c r="O3836">
        <v>91</v>
      </c>
      <c r="P3836">
        <v>121</v>
      </c>
    </row>
    <row r="3837" spans="1:16" x14ac:dyDescent="0.25">
      <c r="A3837">
        <v>21501215</v>
      </c>
      <c r="B3837">
        <v>2015</v>
      </c>
      <c r="C3837" t="s">
        <v>32</v>
      </c>
      <c r="D3837" t="s">
        <v>29</v>
      </c>
      <c r="E3837">
        <v>100</v>
      </c>
      <c r="F3837">
        <v>98</v>
      </c>
      <c r="G3837">
        <v>5</v>
      </c>
      <c r="H3837" s="1">
        <v>5.6712962962962967E-4</v>
      </c>
      <c r="I3837" t="s">
        <v>18</v>
      </c>
      <c r="J3837" s="2" t="str">
        <f>HYPERLINK("https://www.nba.com/stats/events?CFID=&amp;CFPARAMS=&amp;GameEventID=558&amp;GameID=0021501215&amp;Season=2015-16&amp;flag=1&amp;title=Leonard%2015'%20Pullup%20Jump%20Shot%20(26%20PTS)", "Leonard 15' Pullup Jump Shot (26 PTS)")</f>
        <v>Leonard 15' Pullup Jump Shot (26 PTS)</v>
      </c>
      <c r="K3837" s="2" t="str">
        <f>HYPERLINK("https://www.nba.com/game/...-vs-...-0021501215/play-by-play?watchFullGame=true", "SAS vs OKC - Q5 00:49.00")</f>
        <v>SAS vs OKC - Q5 00:49.00</v>
      </c>
      <c r="L3837">
        <v>15</v>
      </c>
      <c r="M3837">
        <v>91</v>
      </c>
      <c r="N3837">
        <v>124</v>
      </c>
      <c r="O3837">
        <v>91</v>
      </c>
      <c r="P3837">
        <v>124</v>
      </c>
    </row>
    <row r="3838" spans="1:16" x14ac:dyDescent="0.25">
      <c r="A3838">
        <v>21500013</v>
      </c>
      <c r="B3838">
        <v>2015</v>
      </c>
      <c r="C3838" t="s">
        <v>32</v>
      </c>
      <c r="D3838" t="s">
        <v>19</v>
      </c>
      <c r="E3838">
        <v>90</v>
      </c>
      <c r="F3838">
        <v>93</v>
      </c>
      <c r="G3838">
        <v>4</v>
      </c>
      <c r="H3838" s="1">
        <v>5.9027777777777776E-3</v>
      </c>
      <c r="I3838" t="s">
        <v>18</v>
      </c>
      <c r="J3838" s="2" t="str">
        <f>HYPERLINK("https://www.nba.com/stats/events?CFID=&amp;CFPARAMS=&amp;GameEventID=436&amp;GameID=0021500013&amp;Season=2015-16&amp;flag=1&amp;title=Leonard%2016'%20Jump%20Shot%20(23%20PTS)%20(Mills%202%20AST)", "Leonard 16' Jump Shot (23 PTS) (Mills 2 AST)")</f>
        <v>Leonard 16' Jump Shot (23 PTS) (Mills 2 AST)</v>
      </c>
      <c r="K3838" s="2" t="str">
        <f>HYPERLINK("https://www.nba.com/game/...-vs-...-0021500013/play-by-play?watchFullGame=true", "SAS vs OKC - Q4 08:30.00")</f>
        <v>SAS vs OKC - Q4 08:30.00</v>
      </c>
      <c r="L3838">
        <v>16</v>
      </c>
      <c r="M3838">
        <v>91</v>
      </c>
      <c r="N3838">
        <v>134</v>
      </c>
      <c r="O3838">
        <v>91</v>
      </c>
      <c r="P3838">
        <v>134</v>
      </c>
    </row>
    <row r="3839" spans="1:16" x14ac:dyDescent="0.25">
      <c r="A3839">
        <v>21900224</v>
      </c>
      <c r="B3839">
        <v>2019</v>
      </c>
      <c r="C3839" t="s">
        <v>32</v>
      </c>
      <c r="D3839" t="s">
        <v>22</v>
      </c>
      <c r="E3839">
        <v>120</v>
      </c>
      <c r="F3839">
        <v>119</v>
      </c>
      <c r="G3839">
        <v>4</v>
      </c>
      <c r="H3839" s="1">
        <v>1.7824074074074075E-4</v>
      </c>
      <c r="I3839" t="s">
        <v>23</v>
      </c>
      <c r="J3839" s="2" t="str">
        <f>HYPERLINK("https://www.nba.com/stats/events?CFID=&amp;CFPARAMS=&amp;GameEventID=707&amp;GameID=0021900224&amp;Season=2019-20&amp;flag=1&amp;title=Leonard%2018'%20jumpshot%20(24%20PTS)", "18' jumpshot (24 PTS)")</f>
        <v>18' jumpshot (24 PTS)</v>
      </c>
      <c r="K3839" s="2" t="str">
        <f>HYPERLINK("https://www.nba.com/game/...-vs-...-0021900224/play-by-play?watchFullGame=true", "LAC vs HOU - Q4 00:15.40")</f>
        <v>LAC vs HOU - Q4 00:15.40</v>
      </c>
      <c r="L3839">
        <v>17.96</v>
      </c>
      <c r="M3839">
        <v>21.47</v>
      </c>
      <c r="N3839">
        <v>31.79</v>
      </c>
      <c r="O3839">
        <v>91</v>
      </c>
      <c r="P3839">
        <v>149</v>
      </c>
    </row>
    <row r="3840" spans="1:16" x14ac:dyDescent="0.25">
      <c r="A3840">
        <v>41300405</v>
      </c>
      <c r="B3840" t="s">
        <v>26</v>
      </c>
      <c r="C3840" t="s">
        <v>32</v>
      </c>
      <c r="D3840" t="s">
        <v>29</v>
      </c>
      <c r="E3840">
        <v>70</v>
      </c>
      <c r="F3840">
        <v>49</v>
      </c>
      <c r="G3840">
        <v>3</v>
      </c>
      <c r="H3840" s="1">
        <v>2.2106481481481482E-3</v>
      </c>
      <c r="I3840" t="s">
        <v>18</v>
      </c>
      <c r="J3840" s="2" t="str">
        <f>HYPERLINK("https://www.nba.com/stats/events?CFID=&amp;CFPARAMS=&amp;GameEventID=340&amp;GameID=0041300405&amp;Season=2013-14&amp;flag=1&amp;title=Leonard%2020'%20Pullup%20Jump%20Shot%20(20%20PTS)%20(Mills%201%20AST)", "Leonard 20' Pullup Jump Shot (20 PTS) (Mills 1 AST)")</f>
        <v>Leonard 20' Pullup Jump Shot (20 PTS) (Mills 1 AST)</v>
      </c>
      <c r="K3840" s="2" t="str">
        <f>HYPERLINK("https://www.nba.com/game/...-vs-...-0041300405/play-by-play?watchFullGame=true", "SAS vs MIA - Q3 03:11.00")</f>
        <v>SAS vs MIA - Q3 03:11.00</v>
      </c>
      <c r="L3840">
        <v>20</v>
      </c>
      <c r="M3840">
        <v>91</v>
      </c>
      <c r="N3840">
        <v>176</v>
      </c>
      <c r="O3840">
        <v>91</v>
      </c>
      <c r="P3840">
        <v>176</v>
      </c>
    </row>
    <row r="3841" spans="1:16" x14ac:dyDescent="0.25">
      <c r="A3841">
        <v>21500909</v>
      </c>
      <c r="B3841">
        <v>2015</v>
      </c>
      <c r="C3841" t="s">
        <v>16</v>
      </c>
      <c r="D3841" t="s">
        <v>19</v>
      </c>
      <c r="E3841">
        <v>4</v>
      </c>
      <c r="F3841">
        <v>5</v>
      </c>
      <c r="G3841">
        <v>1</v>
      </c>
      <c r="H3841" s="1">
        <v>6.9791666666666665E-3</v>
      </c>
      <c r="I3841" t="s">
        <v>18</v>
      </c>
      <c r="J3841" s="2" t="str">
        <f>HYPERLINK("https://www.nba.com/stats/events?CFID=&amp;CFPARAMS=&amp;GameEventID=16&amp;GameID=0021500909&amp;Season=2015-16&amp;flag=1&amp;title=Leonard%2025'%203PT%20Jump%20Shot%20(5%20PTS)%20(Duncan%201%20AST)", "Leonard 25' 3PT Jump Shot (5 PTS) (Duncan 1 AST)")</f>
        <v>Leonard 25' 3PT Jump Shot (5 PTS) (Duncan 1 AST)</v>
      </c>
      <c r="K3841" s="2" t="str">
        <f>HYPERLINK("https://www.nba.com/game/...-vs-...-0021500909/play-by-play?watchFullGame=true", "SAS vs NOP - Q1 10:03.00")</f>
        <v>SAS vs NOP - Q1 10:03.00</v>
      </c>
      <c r="L3841">
        <v>25</v>
      </c>
      <c r="M3841">
        <v>91</v>
      </c>
      <c r="N3841">
        <v>232</v>
      </c>
      <c r="O3841">
        <v>91</v>
      </c>
      <c r="P3841">
        <v>232</v>
      </c>
    </row>
    <row r="3842" spans="1:16" x14ac:dyDescent="0.25">
      <c r="A3842">
        <v>22200871</v>
      </c>
      <c r="B3842">
        <v>2022</v>
      </c>
      <c r="C3842" t="s">
        <v>16</v>
      </c>
      <c r="D3842" t="s">
        <v>19</v>
      </c>
      <c r="E3842">
        <v>66</v>
      </c>
      <c r="F3842">
        <v>67</v>
      </c>
      <c r="G3842">
        <v>3</v>
      </c>
      <c r="H3842" s="1">
        <v>7.6620370370370366E-3</v>
      </c>
      <c r="I3842" t="s">
        <v>23</v>
      </c>
      <c r="J3842" s="2" t="str">
        <f>HYPERLINK("https://www.nba.com/stats/events?CFID=&amp;CFPARAMS=&amp;GameEventID=346&amp;GameID=0022200871&amp;Season=2022-23&amp;flag=1&amp;title=Leonard%2025'%203PT%20running%20pullup%20(16%20PTS)%20(P.%20George%204%20AST)", "25' 3PT running pullup (16 PTS) (P. George 4 AST)")</f>
        <v>25' 3PT running pullup (16 PTS) (P. George 4 AST)</v>
      </c>
      <c r="K3842" s="2" t="str">
        <f>HYPERLINK("https://www.nba.com/game/...-vs-...-0022200871/play-by-play?watchFullGame=true", "LAC vs GSW - Q3 11:02.00")</f>
        <v>LAC vs GSW - Q3 11:02.00</v>
      </c>
      <c r="L3842">
        <v>25.49</v>
      </c>
      <c r="M3842">
        <v>30.93</v>
      </c>
      <c r="N3842">
        <v>31.86</v>
      </c>
      <c r="O3842">
        <v>91</v>
      </c>
      <c r="P3842">
        <v>238</v>
      </c>
    </row>
    <row r="3843" spans="1:16" x14ac:dyDescent="0.25">
      <c r="A3843">
        <v>22300074</v>
      </c>
      <c r="B3843">
        <v>2023</v>
      </c>
      <c r="C3843" t="s">
        <v>16</v>
      </c>
      <c r="D3843" t="s">
        <v>19</v>
      </c>
      <c r="E3843">
        <v>96</v>
      </c>
      <c r="F3843">
        <v>66</v>
      </c>
      <c r="G3843">
        <v>3</v>
      </c>
      <c r="H3843" s="1">
        <v>2.7314814814814814E-3</v>
      </c>
      <c r="I3843" t="s">
        <v>23</v>
      </c>
      <c r="J3843" s="2" t="str">
        <f>HYPERLINK("https://www.nba.com/stats/events?CFID=&amp;CFPARAMS=&amp;GameEventID=459&amp;GameID=0022300074&amp;Season=2023-24&amp;flag=1&amp;title=Leonard%2025'%203PT%20pullup%20(21%20PTS)", "25' 3PT pullup (21 PTS)")</f>
        <v>25' 3PT pullup (21 PTS)</v>
      </c>
      <c r="K3843" s="2" t="str">
        <f>HYPERLINK("https://www.nba.com/game/...-vs-...-0022300074/play-by-play?watchFullGame=true", "LAC vs POR - Q3 03:56.00")</f>
        <v>LAC vs POR - Q3 03:56.00</v>
      </c>
      <c r="L3843">
        <v>25.96</v>
      </c>
      <c r="M3843">
        <v>31.46</v>
      </c>
      <c r="N3843">
        <v>31.86</v>
      </c>
      <c r="O3843">
        <v>91</v>
      </c>
      <c r="P3843">
        <v>243</v>
      </c>
    </row>
    <row r="3844" spans="1:16" x14ac:dyDescent="0.25">
      <c r="A3844">
        <v>22300880</v>
      </c>
      <c r="B3844">
        <v>2023</v>
      </c>
      <c r="C3844" t="s">
        <v>16</v>
      </c>
      <c r="D3844" t="s">
        <v>19</v>
      </c>
      <c r="E3844">
        <v>50</v>
      </c>
      <c r="F3844">
        <v>62</v>
      </c>
      <c r="G3844">
        <v>3</v>
      </c>
      <c r="H3844" s="1">
        <v>6.6435185185185182E-3</v>
      </c>
      <c r="I3844" t="s">
        <v>23</v>
      </c>
      <c r="J3844" s="2" t="str">
        <f>HYPERLINK("https://www.nba.com/stats/events?CFID=&amp;CFPARAMS=&amp;GameEventID=311&amp;GameID=0022300880&amp;Season=2023-24&amp;flag=1&amp;title=Leonard%2026'%203PT%20%20(10%20PTS)%20(P.%20George%201%20AST)", "26' 3PT  (10 PTS) (P. George 1 AST)")</f>
        <v>26' 3PT  (10 PTS) (P. George 1 AST)</v>
      </c>
      <c r="K3844" s="2" t="str">
        <f>HYPERLINK("https://www.nba.com/game/...-vs-...-0022300880/play-by-play?watchFullGame=true", "LAC vs MIL - Q3 09:34.00")</f>
        <v>LAC vs MIL - Q3 09:34.00</v>
      </c>
      <c r="L3844">
        <v>26.3</v>
      </c>
      <c r="M3844">
        <v>68.150000000000006</v>
      </c>
      <c r="N3844">
        <v>68.14</v>
      </c>
      <c r="O3844">
        <v>91</v>
      </c>
      <c r="P3844">
        <v>247</v>
      </c>
    </row>
    <row r="3845" spans="1:16" x14ac:dyDescent="0.25">
      <c r="A3845">
        <v>21301174</v>
      </c>
      <c r="B3845">
        <v>2013</v>
      </c>
      <c r="C3845" t="s">
        <v>32</v>
      </c>
      <c r="D3845" t="s">
        <v>19</v>
      </c>
      <c r="E3845">
        <v>7</v>
      </c>
      <c r="F3845">
        <v>17</v>
      </c>
      <c r="G3845">
        <v>1</v>
      </c>
      <c r="H3845" s="1">
        <v>4.6643518518518518E-3</v>
      </c>
      <c r="I3845" t="s">
        <v>18</v>
      </c>
      <c r="J3845" s="2" t="str">
        <f>HYPERLINK("https://www.nba.com/stats/events?CFID=&amp;CFPARAMS=&amp;GameEventID=43&amp;GameID=0021301174&amp;Season=2013-14&amp;flag=1&amp;title=Leonard%209'%20Jump%20Shot%20(2%20PTS)", "Leonard 9' Jump Shot (2 PTS)")</f>
        <v>Leonard 9' Jump Shot (2 PTS)</v>
      </c>
      <c r="K3845" s="2" t="str">
        <f>HYPERLINK("https://www.nba.com/game/...-vs-...-0021301174/play-by-play?watchFullGame=true", "SAS vs DAL - Q1 06:43.00")</f>
        <v>SAS vs DAL - Q1 06:43.00</v>
      </c>
      <c r="L3845">
        <v>9</v>
      </c>
      <c r="M3845">
        <v>92</v>
      </c>
      <c r="N3845">
        <v>6</v>
      </c>
      <c r="O3845">
        <v>92</v>
      </c>
      <c r="P3845">
        <v>6</v>
      </c>
    </row>
    <row r="3846" spans="1:16" x14ac:dyDescent="0.25">
      <c r="A3846">
        <v>21600168</v>
      </c>
      <c r="B3846">
        <v>2016</v>
      </c>
      <c r="C3846" t="s">
        <v>32</v>
      </c>
      <c r="D3846" t="s">
        <v>33</v>
      </c>
      <c r="E3846">
        <v>38</v>
      </c>
      <c r="F3846">
        <v>46</v>
      </c>
      <c r="G3846">
        <v>2</v>
      </c>
      <c r="H3846" s="1">
        <v>2.9166666666666668E-3</v>
      </c>
      <c r="I3846" t="s">
        <v>18</v>
      </c>
      <c r="J3846" s="2" t="str">
        <f>HYPERLINK("https://www.nba.com/stats/events?CFID=&amp;CFPARAMS=&amp;GameEventID=181&amp;GameID=0021600168&amp;Season=2016-17&amp;flag=1&amp;title=Leonard%209'%20Fadeaway%20Jumper%20(8%20PTS)", "Leonard 9' Fadeaway Jumper (8 PTS)")</f>
        <v>Leonard 9' Fadeaway Jumper (8 PTS)</v>
      </c>
      <c r="K3846" s="2" t="str">
        <f>HYPERLINK("https://www.nba.com/game/...-vs-...-0021600168/play-by-play?watchFullGame=true", "SAS vs SAC - Q2 04:12.00")</f>
        <v>SAS vs SAC - Q2 04:12.00</v>
      </c>
      <c r="L3846">
        <v>9</v>
      </c>
      <c r="M3846">
        <v>92</v>
      </c>
      <c r="N3846">
        <v>8</v>
      </c>
      <c r="O3846">
        <v>92</v>
      </c>
      <c r="P3846">
        <v>8</v>
      </c>
    </row>
    <row r="3847" spans="1:16" x14ac:dyDescent="0.25">
      <c r="A3847">
        <v>22400983</v>
      </c>
      <c r="B3847">
        <v>2024</v>
      </c>
      <c r="C3847" t="s">
        <v>32</v>
      </c>
      <c r="D3847" t="s">
        <v>48</v>
      </c>
      <c r="E3847">
        <v>23</v>
      </c>
      <c r="F3847">
        <v>12</v>
      </c>
      <c r="G3847">
        <v>1</v>
      </c>
      <c r="H3847" s="1">
        <v>2.8587962962962963E-3</v>
      </c>
      <c r="I3847" t="s">
        <v>23</v>
      </c>
      <c r="J3847" s="2" t="str">
        <f>HYPERLINK("https://www.nba.com/stats/events?CFID=&amp;CFPARAMS=&amp;GameEventID=86&amp;GameID=0022400983&amp;Season=2024-25&amp;flag=1&amp;title=Leonard%20driving%20DUNK%20(2%20PTS)", "Driving DUNK (2 PTS)")</f>
        <v>Driving DUNK (2 PTS)</v>
      </c>
      <c r="K3847" s="2" t="str">
        <f>HYPERLINK("https://www.nba.com/game/...-vs-...-0022400983/play-by-play?watchFullGame=true", "LAC vs WAS - Q1 04:07.00")</f>
        <v>LAC vs WAS - Q1 04:07.00</v>
      </c>
      <c r="L3847">
        <v>1.34</v>
      </c>
      <c r="M3847">
        <v>92.99</v>
      </c>
      <c r="N3847">
        <v>50</v>
      </c>
      <c r="O3847">
        <v>92</v>
      </c>
      <c r="P3847">
        <v>13</v>
      </c>
    </row>
    <row r="3848" spans="1:16" x14ac:dyDescent="0.25">
      <c r="A3848">
        <v>22000289</v>
      </c>
      <c r="B3848">
        <v>2020</v>
      </c>
      <c r="C3848" t="s">
        <v>32</v>
      </c>
      <c r="D3848" t="s">
        <v>19</v>
      </c>
      <c r="E3848">
        <v>45</v>
      </c>
      <c r="F3848">
        <v>52</v>
      </c>
      <c r="G3848">
        <v>2</v>
      </c>
      <c r="H3848" s="1">
        <v>2.0370370370370369E-3</v>
      </c>
      <c r="I3848" t="s">
        <v>23</v>
      </c>
      <c r="J3848" s="2" t="str">
        <f>HYPERLINK("https://www.nba.com/stats/events?CFID=&amp;CFPARAMS=&amp;GameEventID=275&amp;GameID=0022000289&amp;Season=2020-21&amp;flag=1&amp;title=Leonard%209'%20turnaround%20fadeaway%20Jump%20Shot%20(13%20PTS)", "9' turnaround fadeaway Jump Shot (13 PTS)")</f>
        <v>9' turnaround fadeaway Jump Shot (13 PTS)</v>
      </c>
      <c r="K3848" s="2" t="str">
        <f>HYPERLINK("https://www.nba.com/game/...-vs-...-0022000289/play-by-play?watchFullGame=true", "LAC vs ORL - Q2 02:56.00")</f>
        <v>LAC vs ORL - Q2 02:56.00</v>
      </c>
      <c r="L3848">
        <v>9.33</v>
      </c>
      <c r="M3848">
        <v>92.99</v>
      </c>
      <c r="N3848">
        <v>68.45</v>
      </c>
      <c r="O3848">
        <v>92</v>
      </c>
      <c r="P3848">
        <v>13</v>
      </c>
    </row>
    <row r="3849" spans="1:16" x14ac:dyDescent="0.25">
      <c r="A3849">
        <v>22000966</v>
      </c>
      <c r="B3849">
        <v>2020</v>
      </c>
      <c r="C3849" t="s">
        <v>32</v>
      </c>
      <c r="D3849" t="s">
        <v>47</v>
      </c>
      <c r="E3849">
        <v>2</v>
      </c>
      <c r="F3849">
        <v>0</v>
      </c>
      <c r="G3849">
        <v>1</v>
      </c>
      <c r="H3849" s="1">
        <v>8.1944444444444452E-3</v>
      </c>
      <c r="I3849" t="s">
        <v>23</v>
      </c>
      <c r="J3849" s="2" t="str">
        <f>HYPERLINK("https://www.nba.com/stats/events?CFID=&amp;CFPARAMS=&amp;GameEventID=7&amp;GameID=0022000966&amp;Season=2020-21&amp;flag=1&amp;title=Leonard%20alley-oop%20Layup%20(2%20PTS)%20(M.%20Morris%20Sr.%201%20AST)", "Alley-oop Layup (2 PTS) (M. Morris Sr. 1 AST)")</f>
        <v>Alley-oop Layup (2 PTS) (M. Morris Sr. 1 AST)</v>
      </c>
      <c r="K3849" s="2" t="str">
        <f>HYPERLINK("https://www.nba.com/game/...-vs-...-0022000966/play-by-play?watchFullGame=true", "LAC vs DEN - Q1 11:48.00")</f>
        <v>LAC vs DEN - Q1 11:48.00</v>
      </c>
      <c r="L3849">
        <v>1.47</v>
      </c>
      <c r="M3849">
        <v>92.85</v>
      </c>
      <c r="N3849">
        <v>50.07</v>
      </c>
      <c r="O3849">
        <v>92</v>
      </c>
      <c r="P3849">
        <v>15</v>
      </c>
    </row>
    <row r="3850" spans="1:16" x14ac:dyDescent="0.25">
      <c r="A3850">
        <v>21900090</v>
      </c>
      <c r="B3850">
        <v>2019</v>
      </c>
      <c r="C3850" t="s">
        <v>32</v>
      </c>
      <c r="D3850" t="s">
        <v>65</v>
      </c>
      <c r="E3850">
        <v>44</v>
      </c>
      <c r="F3850">
        <v>46</v>
      </c>
      <c r="G3850">
        <v>3</v>
      </c>
      <c r="H3850" s="1">
        <v>6.9212962962962961E-3</v>
      </c>
      <c r="I3850" t="s">
        <v>23</v>
      </c>
      <c r="J3850" s="2" t="str">
        <f>HYPERLINK("https://www.nba.com/stats/events?CFID=&amp;CFPARAMS=&amp;GameEventID=370&amp;GameID=0021900090&amp;Season=2019-20&amp;flag=1&amp;title=[LAC]%20Leonard%20dunk:%20Made%20(10%20PTS)", "[LAC] Leonard dunk: Made (10 PTS)")</f>
        <v>[LAC] Leonard dunk: Made (10 PTS)</v>
      </c>
      <c r="K3850" s="2" t="str">
        <f>HYPERLINK("https://www.nba.com/game/...-vs-...-0021900090/play-by-play?watchFullGame=true", "LAC vs UTA - Q3 09:58.00")</f>
        <v>LAC vs UTA - Q3 09:58.00</v>
      </c>
      <c r="L3850">
        <v>2.0499999999999998</v>
      </c>
      <c r="M3850">
        <v>92.82</v>
      </c>
      <c r="N3850">
        <v>49.93</v>
      </c>
      <c r="O3850">
        <v>92</v>
      </c>
      <c r="P3850">
        <v>15</v>
      </c>
    </row>
    <row r="3851" spans="1:16" x14ac:dyDescent="0.25">
      <c r="A3851">
        <v>22301043</v>
      </c>
      <c r="B3851">
        <v>2023</v>
      </c>
      <c r="C3851" t="s">
        <v>32</v>
      </c>
      <c r="D3851" t="s">
        <v>47</v>
      </c>
      <c r="E3851">
        <v>70</v>
      </c>
      <c r="F3851">
        <v>78</v>
      </c>
      <c r="G3851">
        <v>3</v>
      </c>
      <c r="H3851" s="1">
        <v>5.8449074074074072E-3</v>
      </c>
      <c r="I3851" t="s">
        <v>23</v>
      </c>
      <c r="J3851" s="2" t="str">
        <f>HYPERLINK("https://www.nba.com/stats/events?CFID=&amp;CFPARAMS=&amp;GameEventID=335&amp;GameID=0022301043&amp;Season=2023-24&amp;flag=1&amp;title=Leonard%20driving%20Layup%20(19%20PTS)%20(I.%20Zubac%202%20AST)", "Driving Layup (19 PTS) (I. Zubac 2 AST)")</f>
        <v>Driving Layup (19 PTS) (I. Zubac 2 AST)</v>
      </c>
      <c r="K3851" s="2" t="str">
        <f>HYPERLINK("https://www.nba.com/game/...-vs-...-0022301043/play-by-play?watchFullGame=true", "LAC vs IND - Q3 08:25.00")</f>
        <v>LAC vs IND - Q3 08:25.00</v>
      </c>
      <c r="L3851">
        <v>1.5</v>
      </c>
      <c r="M3851">
        <v>92.82</v>
      </c>
      <c r="N3851">
        <v>50</v>
      </c>
      <c r="O3851">
        <v>92</v>
      </c>
      <c r="P3851">
        <v>15</v>
      </c>
    </row>
    <row r="3852" spans="1:16" x14ac:dyDescent="0.25">
      <c r="A3852">
        <v>21901307</v>
      </c>
      <c r="B3852">
        <v>2019</v>
      </c>
      <c r="C3852" t="s">
        <v>32</v>
      </c>
      <c r="D3852" t="s">
        <v>50</v>
      </c>
      <c r="E3852">
        <v>70</v>
      </c>
      <c r="F3852">
        <v>77</v>
      </c>
      <c r="G3852">
        <v>3</v>
      </c>
      <c r="H3852" s="1">
        <v>3.3101851851851851E-3</v>
      </c>
      <c r="I3852" t="s">
        <v>23</v>
      </c>
      <c r="J3852" s="2" t="str">
        <f>HYPERLINK("https://www.nba.com/stats/events?CFID=&amp;CFPARAMS=&amp;GameEventID=407&amp;GameID=0021901307&amp;Season=2019-20&amp;flag=1&amp;title=Leonard%20layup%20(22%20PTS)", "Layup (22 PTS)")</f>
        <v>Layup (22 PTS)</v>
      </c>
      <c r="K3852" s="2" t="str">
        <f>HYPERLINK("https://www.nba.com/game/...-vs-...-0021901307/play-by-play?watchFullGame=true", "LAC vs DEN - Q3 04:46.00")</f>
        <v>LAC vs DEN - Q3 04:46.00</v>
      </c>
      <c r="L3852">
        <v>2.39</v>
      </c>
      <c r="M3852">
        <v>92.46</v>
      </c>
      <c r="N3852">
        <v>50.07</v>
      </c>
      <c r="O3852">
        <v>92</v>
      </c>
      <c r="P3852">
        <v>18</v>
      </c>
    </row>
    <row r="3853" spans="1:16" x14ac:dyDescent="0.25">
      <c r="A3853">
        <v>22200649</v>
      </c>
      <c r="B3853">
        <v>2022</v>
      </c>
      <c r="C3853" t="s">
        <v>32</v>
      </c>
      <c r="D3853" t="s">
        <v>47</v>
      </c>
      <c r="E3853">
        <v>7</v>
      </c>
      <c r="F3853">
        <v>6</v>
      </c>
      <c r="G3853">
        <v>1</v>
      </c>
      <c r="H3853" s="1">
        <v>6.3194444444444444E-3</v>
      </c>
      <c r="I3853" t="s">
        <v>23</v>
      </c>
      <c r="J3853" s="2" t="str">
        <f>HYPERLINK("https://www.nba.com/stats/events?CFID=&amp;CFPARAMS=&amp;GameEventID=30&amp;GameID=0022200649&amp;Season=2022-23&amp;flag=1&amp;title=Leonard%20driving%20Layup%20(2%20PTS)", "Driving Layup (2 PTS)")</f>
        <v>Driving Layup (2 PTS)</v>
      </c>
      <c r="K3853" s="2" t="str">
        <f>HYPERLINK("https://www.nba.com/game/...-vs-...-0022200649/play-by-play?watchFullGame=true", "LAC vs HOU - Q1 09:06.00")</f>
        <v>LAC vs HOU - Q1 09:06.00</v>
      </c>
      <c r="L3853">
        <v>1.87</v>
      </c>
      <c r="M3853">
        <v>92.43</v>
      </c>
      <c r="N3853">
        <v>50</v>
      </c>
      <c r="O3853">
        <v>92</v>
      </c>
      <c r="P3853">
        <v>19</v>
      </c>
    </row>
    <row r="3854" spans="1:16" x14ac:dyDescent="0.25">
      <c r="A3854">
        <v>22000239</v>
      </c>
      <c r="B3854">
        <v>2020</v>
      </c>
      <c r="C3854" t="s">
        <v>32</v>
      </c>
      <c r="D3854" t="s">
        <v>47</v>
      </c>
      <c r="E3854">
        <v>6</v>
      </c>
      <c r="F3854">
        <v>6</v>
      </c>
      <c r="G3854">
        <v>1</v>
      </c>
      <c r="H3854" s="1">
        <v>6.3310185185185188E-3</v>
      </c>
      <c r="I3854" t="s">
        <v>23</v>
      </c>
      <c r="J3854" s="2" t="str">
        <f>HYPERLINK("https://www.nba.com/stats/events?CFID=&amp;CFPARAMS=&amp;GameEventID=38&amp;GameID=0022000239&amp;Season=2020-21&amp;flag=1&amp;title=Leonard%20driving%20finger%20roll%20Layup%20(2%20PTS)", "Driving finger roll Layup (2 PTS)")</f>
        <v>Driving finger roll Layup (2 PTS)</v>
      </c>
      <c r="K3854" s="2" t="str">
        <f>HYPERLINK("https://www.nba.com/game/...-vs-...-0022000239/play-by-play?watchFullGame=true", "LAC vs OKC - Q1 09:07.00")</f>
        <v>LAC vs OKC - Q1 09:07.00</v>
      </c>
      <c r="L3854">
        <v>2.08</v>
      </c>
      <c r="M3854">
        <v>92.2</v>
      </c>
      <c r="N3854">
        <v>50.07</v>
      </c>
      <c r="O3854">
        <v>92</v>
      </c>
      <c r="P3854">
        <v>21</v>
      </c>
    </row>
    <row r="3855" spans="1:16" x14ac:dyDescent="0.25">
      <c r="A3855">
        <v>22000799</v>
      </c>
      <c r="B3855">
        <v>2020</v>
      </c>
      <c r="C3855" t="s">
        <v>32</v>
      </c>
      <c r="D3855" t="s">
        <v>47</v>
      </c>
      <c r="E3855">
        <v>57</v>
      </c>
      <c r="F3855">
        <v>44</v>
      </c>
      <c r="G3855">
        <v>2</v>
      </c>
      <c r="H3855" s="1">
        <v>2.0486111111111113E-3</v>
      </c>
      <c r="I3855" t="s">
        <v>23</v>
      </c>
      <c r="J3855" s="2" t="str">
        <f>HYPERLINK("https://www.nba.com/stats/events?CFID=&amp;CFPARAMS=&amp;GameEventID=303&amp;GameID=0022000799&amp;Season=2020-21&amp;flag=1&amp;title=Leonard%20Layup%20(11%20PTS)", "Layup (11 PTS)")</f>
        <v>Layup (11 PTS)</v>
      </c>
      <c r="K3855" s="2" t="str">
        <f>HYPERLINK("https://www.nba.com/game/...-vs-...-0022000799/play-by-play?watchFullGame=true", "LAC vs HOU - Q2 02:57.00")</f>
        <v>LAC vs HOU - Q2 02:57.00</v>
      </c>
      <c r="L3855">
        <v>2.21</v>
      </c>
      <c r="M3855">
        <v>92.07</v>
      </c>
      <c r="N3855">
        <v>50.07</v>
      </c>
      <c r="O3855">
        <v>92</v>
      </c>
      <c r="P3855">
        <v>22</v>
      </c>
    </row>
    <row r="3856" spans="1:16" x14ac:dyDescent="0.25">
      <c r="A3856">
        <v>21900499</v>
      </c>
      <c r="B3856">
        <v>2019</v>
      </c>
      <c r="C3856" t="s">
        <v>32</v>
      </c>
      <c r="D3856" t="s">
        <v>22</v>
      </c>
      <c r="E3856">
        <v>43</v>
      </c>
      <c r="F3856">
        <v>59</v>
      </c>
      <c r="G3856">
        <v>3</v>
      </c>
      <c r="H3856" s="1">
        <v>7.4884259259259262E-3</v>
      </c>
      <c r="I3856" t="s">
        <v>23</v>
      </c>
      <c r="J3856" s="2" t="str">
        <f>HYPERLINK("https://www.nba.com/stats/events?CFID=&amp;CFPARAMS=&amp;GameEventID=362&amp;GameID=0021900499&amp;Season=2019-20&amp;flag=1&amp;title=Leonard%2010'%20jumpshot%20(12%20PTS)", "10' jumpshot (12 PTS)")</f>
        <v>10' jumpshot (12 PTS)</v>
      </c>
      <c r="K3856" s="2" t="str">
        <f>HYPERLINK("https://www.nba.com/game/...-vs-...-0021900499/play-by-play?watchFullGame=true", "LAC vs SAC - Q3 10:47.00")</f>
        <v>LAC vs SAC - Q3 10:47.00</v>
      </c>
      <c r="L3856">
        <v>10.27</v>
      </c>
      <c r="M3856">
        <v>9.94</v>
      </c>
      <c r="N3856">
        <v>31.69</v>
      </c>
      <c r="O3856">
        <v>92</v>
      </c>
      <c r="P3856">
        <v>41</v>
      </c>
    </row>
    <row r="3857" spans="1:16" x14ac:dyDescent="0.25">
      <c r="A3857">
        <v>42000223</v>
      </c>
      <c r="B3857" t="s">
        <v>85</v>
      </c>
      <c r="C3857" t="s">
        <v>32</v>
      </c>
      <c r="D3857" t="s">
        <v>47</v>
      </c>
      <c r="E3857">
        <v>77</v>
      </c>
      <c r="F3857">
        <v>61</v>
      </c>
      <c r="G3857">
        <v>3</v>
      </c>
      <c r="H3857" s="1">
        <v>5.0231481481481481E-3</v>
      </c>
      <c r="I3857" t="s">
        <v>23</v>
      </c>
      <c r="J3857" s="2" t="str">
        <f>HYPERLINK("https://www.nba.com/stats/events?CFID=&amp;CFPARAMS=&amp;GameEventID=345&amp;GameID=0042000223&amp;Season=2020-21&amp;flag=1&amp;title=Leonard%20driving%20reverse%20Layup%20(18%20PTS)", "Driving reverse Layup (18 PTS)")</f>
        <v>Driving reverse Layup (18 PTS)</v>
      </c>
      <c r="K3857" s="2" t="str">
        <f>HYPERLINK("https://www.nba.com/game/...-vs-...-0042000223/play-by-play?watchFullGame=true", "LAC vs UTA - Q3 07:14.00")</f>
        <v>LAC vs UTA - Q3 07:14.00</v>
      </c>
      <c r="L3857">
        <v>4.53</v>
      </c>
      <c r="M3857">
        <v>92.95</v>
      </c>
      <c r="N3857">
        <v>41.35</v>
      </c>
      <c r="O3857">
        <v>92</v>
      </c>
      <c r="P3857">
        <v>41</v>
      </c>
    </row>
    <row r="3858" spans="1:16" x14ac:dyDescent="0.25">
      <c r="A3858">
        <v>42000223</v>
      </c>
      <c r="B3858" t="s">
        <v>85</v>
      </c>
      <c r="C3858" t="s">
        <v>32</v>
      </c>
      <c r="D3858" t="s">
        <v>19</v>
      </c>
      <c r="E3858">
        <v>66</v>
      </c>
      <c r="F3858">
        <v>49</v>
      </c>
      <c r="G3858">
        <v>3</v>
      </c>
      <c r="H3858" s="1">
        <v>7.6157407407407406E-3</v>
      </c>
      <c r="I3858" t="s">
        <v>23</v>
      </c>
      <c r="J3858" s="2" t="str">
        <f>HYPERLINK("https://www.nba.com/stats/events?CFID=&amp;CFPARAMS=&amp;GameEventID=296&amp;GameID=0042000223&amp;Season=2020-21&amp;flag=1&amp;title=Leonard%20turnaround%20Jump%20Shot%20(12%20PTS)", "Turnaround Jump Shot (12 PTS)")</f>
        <v>Turnaround Jump Shot (12 PTS)</v>
      </c>
      <c r="K3858" s="2" t="str">
        <f>HYPERLINK("https://www.nba.com/game/...-vs-...-0042000223/play-by-play?watchFullGame=true", "LAC vs UTA - Q3 10:58.00")</f>
        <v>LAC vs UTA - Q3 10:58.00</v>
      </c>
      <c r="L3858">
        <v>4.0999999999999996</v>
      </c>
      <c r="M3858">
        <v>92.56</v>
      </c>
      <c r="N3858">
        <v>42.58</v>
      </c>
      <c r="O3858">
        <v>92</v>
      </c>
      <c r="P3858">
        <v>42</v>
      </c>
    </row>
    <row r="3859" spans="1:16" x14ac:dyDescent="0.25">
      <c r="A3859">
        <v>42000221</v>
      </c>
      <c r="B3859" t="s">
        <v>85</v>
      </c>
      <c r="C3859" t="s">
        <v>32</v>
      </c>
      <c r="D3859" t="s">
        <v>47</v>
      </c>
      <c r="E3859">
        <v>105</v>
      </c>
      <c r="F3859">
        <v>100</v>
      </c>
      <c r="G3859">
        <v>4</v>
      </c>
      <c r="H3859" s="1">
        <v>2.7777777777777779E-3</v>
      </c>
      <c r="I3859" t="s">
        <v>23</v>
      </c>
      <c r="J3859" s="2" t="str">
        <f>HYPERLINK("https://www.nba.com/stats/events?CFID=&amp;CFPARAMS=&amp;GameEventID=644&amp;GameID=0042000221&amp;Season=2020-21&amp;flag=1&amp;title=Leonard%20Layup%20(21%20PTS)", "Layup (21 PTS)")</f>
        <v>Layup (21 PTS)</v>
      </c>
      <c r="K3859" s="2" t="str">
        <f>HYPERLINK("https://www.nba.com/game/...-vs-...-0042000221/play-by-play?watchFullGame=true", "LAC vs UTA - Q4 04:00.00")</f>
        <v>LAC vs UTA - Q4 04:00.00</v>
      </c>
      <c r="L3859">
        <v>3.33</v>
      </c>
      <c r="M3859">
        <v>92.46</v>
      </c>
      <c r="N3859">
        <v>44.43</v>
      </c>
      <c r="O3859">
        <v>92</v>
      </c>
      <c r="P3859">
        <v>44</v>
      </c>
    </row>
    <row r="3860" spans="1:16" x14ac:dyDescent="0.25">
      <c r="A3860">
        <v>42000221</v>
      </c>
      <c r="B3860" t="s">
        <v>85</v>
      </c>
      <c r="C3860" t="s">
        <v>32</v>
      </c>
      <c r="D3860" t="s">
        <v>47</v>
      </c>
      <c r="E3860">
        <v>59</v>
      </c>
      <c r="F3860">
        <v>66</v>
      </c>
      <c r="G3860">
        <v>3</v>
      </c>
      <c r="H3860" s="1">
        <v>5.2777777777777779E-3</v>
      </c>
      <c r="I3860" t="s">
        <v>23</v>
      </c>
      <c r="J3860" s="2" t="str">
        <f>HYPERLINK("https://www.nba.com/stats/events?CFID=&amp;CFPARAMS=&amp;GameEventID=405&amp;GameID=0042000221&amp;Season=2020-21&amp;flag=1&amp;title=Leonard%20driving%20Layup%20(11%20PTS)%20(I.%20Zubac%202%20AST)", "Driving Layup (11 PTS) (I. Zubac 2 AST)")</f>
        <v>Driving Layup (11 PTS) (I. Zubac 2 AST)</v>
      </c>
      <c r="K3860" s="2" t="str">
        <f>HYPERLINK("https://www.nba.com/game/...-vs-...-0042000221/play-by-play?watchFullGame=true", "LAC vs UTA - Q3 07:36.00")</f>
        <v>LAC vs UTA - Q3 07:36.00</v>
      </c>
      <c r="L3860">
        <v>2.76</v>
      </c>
      <c r="M3860">
        <v>92.59</v>
      </c>
      <c r="N3860">
        <v>45.66</v>
      </c>
      <c r="O3860">
        <v>92</v>
      </c>
      <c r="P3860">
        <v>45</v>
      </c>
    </row>
    <row r="3861" spans="1:16" x14ac:dyDescent="0.25">
      <c r="A3861">
        <v>42000175</v>
      </c>
      <c r="B3861" t="s">
        <v>83</v>
      </c>
      <c r="C3861" t="s">
        <v>32</v>
      </c>
      <c r="D3861" t="s">
        <v>47</v>
      </c>
      <c r="E3861">
        <v>40</v>
      </c>
      <c r="F3861">
        <v>42</v>
      </c>
      <c r="G3861">
        <v>2</v>
      </c>
      <c r="H3861" s="1">
        <v>5.2314814814814811E-3</v>
      </c>
      <c r="I3861" t="s">
        <v>23</v>
      </c>
      <c r="J3861" s="2" t="str">
        <f>HYPERLINK("https://www.nba.com/stats/events?CFID=&amp;CFPARAMS=&amp;GameEventID=241&amp;GameID=0042000175&amp;Season=2020-21&amp;flag=1&amp;title=Leonard%20driving%20Layup%20(6%20PTS)", "Driving Layup (6 PTS)")</f>
        <v>Driving Layup (6 PTS)</v>
      </c>
      <c r="K3861" s="2" t="str">
        <f>HYPERLINK("https://www.nba.com/game/...-vs-...-0042000175/play-by-play?watchFullGame=true", "LAC vs DAL - Q2 07:32.00")</f>
        <v>LAC vs DAL - Q2 07:32.00</v>
      </c>
      <c r="L3861">
        <v>2.85</v>
      </c>
      <c r="M3861">
        <v>92.07</v>
      </c>
      <c r="N3861">
        <v>46.39</v>
      </c>
      <c r="O3861">
        <v>92</v>
      </c>
      <c r="P3861">
        <v>46</v>
      </c>
    </row>
    <row r="3862" spans="1:16" x14ac:dyDescent="0.25">
      <c r="A3862">
        <v>42000175</v>
      </c>
      <c r="B3862" t="s">
        <v>83</v>
      </c>
      <c r="C3862" t="s">
        <v>32</v>
      </c>
      <c r="D3862" t="s">
        <v>47</v>
      </c>
      <c r="E3862">
        <v>27</v>
      </c>
      <c r="F3862">
        <v>33</v>
      </c>
      <c r="G3862">
        <v>1</v>
      </c>
      <c r="H3862" s="1">
        <v>4.6990740740740744E-4</v>
      </c>
      <c r="I3862" t="s">
        <v>23</v>
      </c>
      <c r="J3862" s="2" t="str">
        <f>HYPERLINK("https://www.nba.com/stats/events?CFID=&amp;CFPARAMS=&amp;GameEventID=139&amp;GameID=0042000175&amp;Season=2020-21&amp;flag=1&amp;title=Leonard%20driving%20Layup%20(4%20PTS)%20(P.%20George%203%20AST)", "Driving Layup (4 PTS) (P. George 3 AST)")</f>
        <v>Driving Layup (4 PTS) (P. George 3 AST)</v>
      </c>
      <c r="K3862" s="2" t="str">
        <f>HYPERLINK("https://www.nba.com/game/...-vs-...-0042000175/play-by-play?watchFullGame=true", "LAC vs DAL - Q1 00:40.60")</f>
        <v>LAC vs DAL - Q1 00:40.60</v>
      </c>
      <c r="L3862">
        <v>2.2400000000000002</v>
      </c>
      <c r="M3862">
        <v>92.2</v>
      </c>
      <c r="N3862">
        <v>48.35</v>
      </c>
      <c r="O3862">
        <v>92</v>
      </c>
      <c r="P3862">
        <v>48</v>
      </c>
    </row>
    <row r="3863" spans="1:16" x14ac:dyDescent="0.25">
      <c r="A3863">
        <v>42000171</v>
      </c>
      <c r="B3863" t="s">
        <v>83</v>
      </c>
      <c r="C3863" t="s">
        <v>32</v>
      </c>
      <c r="D3863" t="s">
        <v>47</v>
      </c>
      <c r="E3863">
        <v>10</v>
      </c>
      <c r="F3863">
        <v>19</v>
      </c>
      <c r="G3863">
        <v>1</v>
      </c>
      <c r="H3863" s="1">
        <v>3.8773148148148148E-3</v>
      </c>
      <c r="I3863" t="s">
        <v>23</v>
      </c>
      <c r="J3863" s="2" t="str">
        <f>HYPERLINK("https://www.nba.com/stats/events?CFID=&amp;CFPARAMS=&amp;GameEventID=84&amp;GameID=0042000171&amp;Season=2020-21&amp;flag=1&amp;title=Leonard%20driving%20reverse%20Layup%20(4%20PTS)", "Driving reverse Layup (4 PTS)")</f>
        <v>Driving reverse Layup (4 PTS)</v>
      </c>
      <c r="K3863" s="2" t="str">
        <f>HYPERLINK("https://www.nba.com/game/...-vs-...-0042000171/play-by-play?watchFullGame=true", "LAC vs DAL - Q1 05:35.00")</f>
        <v>LAC vs DAL - Q1 05:35.00</v>
      </c>
      <c r="L3863">
        <v>2.23</v>
      </c>
      <c r="M3863">
        <v>92.07</v>
      </c>
      <c r="N3863">
        <v>49.33</v>
      </c>
      <c r="O3863">
        <v>92</v>
      </c>
      <c r="P3863">
        <v>49</v>
      </c>
    </row>
    <row r="3864" spans="1:16" x14ac:dyDescent="0.25">
      <c r="A3864">
        <v>42000176</v>
      </c>
      <c r="B3864" t="s">
        <v>83</v>
      </c>
      <c r="C3864" t="s">
        <v>32</v>
      </c>
      <c r="D3864" t="s">
        <v>47</v>
      </c>
      <c r="E3864">
        <v>45</v>
      </c>
      <c r="F3864">
        <v>46</v>
      </c>
      <c r="G3864">
        <v>2</v>
      </c>
      <c r="H3864" s="1">
        <v>4.6180555555555553E-4</v>
      </c>
      <c r="I3864" t="s">
        <v>23</v>
      </c>
      <c r="J3864" s="2" t="str">
        <f>HYPERLINK("https://www.nba.com/stats/events?CFID=&amp;CFPARAMS=&amp;GameEventID=306&amp;GameID=0042000176&amp;Season=2020-21&amp;flag=1&amp;title=Leonard%20Layup%20(14%20PTS)%20(P.%20George%201%20AST)", "Layup (14 PTS) (P. George 1 AST)")</f>
        <v>Layup (14 PTS) (P. George 1 AST)</v>
      </c>
      <c r="K3864" s="2" t="str">
        <f>HYPERLINK("https://www.nba.com/game/...-vs-...-0042000176/play-by-play?watchFullGame=true", "LAC vs DAL - Q2 00:39.90")</f>
        <v>LAC vs DAL - Q2 00:39.90</v>
      </c>
      <c r="L3864">
        <v>1.61</v>
      </c>
      <c r="M3864">
        <v>92.99</v>
      </c>
      <c r="N3864">
        <v>51.78</v>
      </c>
      <c r="O3864">
        <v>92</v>
      </c>
      <c r="P3864">
        <v>51</v>
      </c>
    </row>
    <row r="3865" spans="1:16" x14ac:dyDescent="0.25">
      <c r="A3865">
        <v>42200172</v>
      </c>
      <c r="B3865" t="s">
        <v>86</v>
      </c>
      <c r="C3865" t="s">
        <v>32</v>
      </c>
      <c r="D3865" t="s">
        <v>48</v>
      </c>
      <c r="E3865">
        <v>39</v>
      </c>
      <c r="F3865">
        <v>51</v>
      </c>
      <c r="G3865">
        <v>2</v>
      </c>
      <c r="H3865" s="1">
        <v>3.4837962962962965E-3</v>
      </c>
      <c r="I3865" t="s">
        <v>23</v>
      </c>
      <c r="J3865" s="2" t="str">
        <f>HYPERLINK("https://www.nba.com/stats/events?CFID=&amp;CFPARAMS=&amp;GameEventID=256&amp;GameID=0042200172&amp;Season=2022-23&amp;flag=1&amp;title=Leonard%20driving%20DUNK%20(14%20PTS)", "Driving DUNK (14 PTS)")</f>
        <v>Driving DUNK (14 PTS)</v>
      </c>
      <c r="K3865" s="2" t="str">
        <f>HYPERLINK("https://www.nba.com/game/...-vs-...-0042200172/play-by-play?watchFullGame=true", "LAC vs PHX - Q2 05:01.00")</f>
        <v>LAC vs PHX - Q2 05:01.00</v>
      </c>
      <c r="L3865">
        <v>1.91</v>
      </c>
      <c r="M3865">
        <v>92.59</v>
      </c>
      <c r="N3865">
        <v>51.72</v>
      </c>
      <c r="O3865">
        <v>92</v>
      </c>
      <c r="P3865">
        <v>51</v>
      </c>
    </row>
    <row r="3866" spans="1:16" x14ac:dyDescent="0.25">
      <c r="A3866">
        <v>42000177</v>
      </c>
      <c r="B3866" t="s">
        <v>83</v>
      </c>
      <c r="C3866" t="s">
        <v>32</v>
      </c>
      <c r="D3866" t="s">
        <v>48</v>
      </c>
      <c r="E3866">
        <v>31</v>
      </c>
      <c r="F3866">
        <v>26</v>
      </c>
      <c r="G3866">
        <v>1</v>
      </c>
      <c r="H3866" s="1">
        <v>2.2106481481481482E-3</v>
      </c>
      <c r="I3866" t="s">
        <v>23</v>
      </c>
      <c r="J3866" s="2" t="str">
        <f>HYPERLINK("https://www.nba.com/stats/events?CFID=&amp;CFPARAMS=&amp;GameEventID=99&amp;GameID=0042000177&amp;Season=2020-21&amp;flag=1&amp;title=Leonard%20running%20DUNK%20(9%20PTS)%20(T.%20Mann%201%20AST)", "Running DUNK (9 PTS) (T. Mann 1 AST)")</f>
        <v>Running DUNK (9 PTS) (T. Mann 1 AST)</v>
      </c>
      <c r="K3866" s="2" t="str">
        <f>HYPERLINK("https://www.nba.com/game/...-vs-...-0042000177/play-by-play?watchFullGame=true", "LAC vs DAL - Q1 03:11.00")</f>
        <v>LAC vs DAL - Q1 03:11.00</v>
      </c>
      <c r="L3866">
        <v>1.91</v>
      </c>
      <c r="M3866">
        <v>92.46</v>
      </c>
      <c r="N3866">
        <v>51.05</v>
      </c>
      <c r="O3866">
        <v>92</v>
      </c>
      <c r="P3866">
        <v>51</v>
      </c>
    </row>
    <row r="3867" spans="1:16" x14ac:dyDescent="0.25">
      <c r="A3867">
        <v>42000223</v>
      </c>
      <c r="B3867" t="s">
        <v>85</v>
      </c>
      <c r="C3867" t="s">
        <v>32</v>
      </c>
      <c r="D3867" t="s">
        <v>48</v>
      </c>
      <c r="E3867">
        <v>75</v>
      </c>
      <c r="F3867">
        <v>58</v>
      </c>
      <c r="G3867">
        <v>3</v>
      </c>
      <c r="H3867" s="1">
        <v>5.2893518518518515E-3</v>
      </c>
      <c r="I3867" t="s">
        <v>23</v>
      </c>
      <c r="J3867" s="2" t="str">
        <f>HYPERLINK("https://www.nba.com/stats/events?CFID=&amp;CFPARAMS=&amp;GameEventID=342&amp;GameID=0042000223&amp;Season=2020-21&amp;flag=1&amp;title=Leonard%20driving%20DUNK%20(16%20PTS)", "Driving DUNK (16 PTS)")</f>
        <v>Driving DUNK (16 PTS)</v>
      </c>
      <c r="K3867" s="2" t="str">
        <f>HYPERLINK("https://www.nba.com/game/...-vs-...-0042000223/play-by-play?watchFullGame=true", "LAC vs UTA - Q3 07:37.00")</f>
        <v>LAC vs UTA - Q3 07:37.00</v>
      </c>
      <c r="L3867">
        <v>2.4300000000000002</v>
      </c>
      <c r="M3867">
        <v>92.03</v>
      </c>
      <c r="N3867">
        <v>51.89</v>
      </c>
      <c r="O3867">
        <v>92</v>
      </c>
      <c r="P3867">
        <v>51</v>
      </c>
    </row>
    <row r="3868" spans="1:16" x14ac:dyDescent="0.25">
      <c r="A3868">
        <v>42200172</v>
      </c>
      <c r="B3868" t="s">
        <v>86</v>
      </c>
      <c r="C3868" t="s">
        <v>32</v>
      </c>
      <c r="D3868" t="s">
        <v>48</v>
      </c>
      <c r="E3868">
        <v>19</v>
      </c>
      <c r="F3868">
        <v>23</v>
      </c>
      <c r="G3868">
        <v>1</v>
      </c>
      <c r="H3868" s="1">
        <v>1.5046296296296296E-3</v>
      </c>
      <c r="I3868" t="s">
        <v>23</v>
      </c>
      <c r="J3868" s="2" t="str">
        <f>HYPERLINK("https://www.nba.com/stats/events?CFID=&amp;CFPARAMS=&amp;GameEventID=127&amp;GameID=0042200172&amp;Season=2022-23&amp;flag=1&amp;title=Leonard%20running%20DUNK%20(5%20PTS)", "Running DUNK (5 PTS)")</f>
        <v>Running DUNK (5 PTS)</v>
      </c>
      <c r="K3868" s="2" t="str">
        <f>HYPERLINK("https://www.nba.com/game/...-vs-...-0042200172/play-by-play?watchFullGame=true", "LAC vs PHX - Q1 02:10.00")</f>
        <v>LAC vs PHX - Q1 02:10.00</v>
      </c>
      <c r="L3868">
        <v>2.0299999999999998</v>
      </c>
      <c r="M3868">
        <v>92.59</v>
      </c>
      <c r="N3868">
        <v>52.21</v>
      </c>
      <c r="O3868">
        <v>92</v>
      </c>
      <c r="P3868">
        <v>52</v>
      </c>
    </row>
    <row r="3869" spans="1:16" x14ac:dyDescent="0.25">
      <c r="A3869">
        <v>42000221</v>
      </c>
      <c r="B3869" t="s">
        <v>85</v>
      </c>
      <c r="C3869" t="s">
        <v>32</v>
      </c>
      <c r="D3869" t="s">
        <v>47</v>
      </c>
      <c r="E3869">
        <v>93</v>
      </c>
      <c r="F3869">
        <v>90</v>
      </c>
      <c r="G3869">
        <v>4</v>
      </c>
      <c r="H3869" s="1">
        <v>5.6018518518518518E-3</v>
      </c>
      <c r="I3869" t="s">
        <v>23</v>
      </c>
      <c r="J3869" s="2" t="str">
        <f>HYPERLINK("https://www.nba.com/stats/events?CFID=&amp;CFPARAMS=&amp;GameEventID=584&amp;GameID=0042000221&amp;Season=2020-21&amp;flag=1&amp;title=Leonard%20cutting%20Layup%20(16%20PTS)%20(R.%20Jackson%203%20AST)", "Cutting Layup (16 PTS) (R. Jackson 3 AST)")</f>
        <v>Cutting Layup (16 PTS) (R. Jackson 3 AST)</v>
      </c>
      <c r="K3869" s="2" t="str">
        <f>HYPERLINK("https://www.nba.com/game/...-vs-...-0042000221/play-by-play?watchFullGame=true", "LAC vs UTA - Q4 08:04.00")</f>
        <v>LAC vs UTA - Q4 08:04.00</v>
      </c>
      <c r="L3869">
        <v>2.36</v>
      </c>
      <c r="M3869">
        <v>92.59</v>
      </c>
      <c r="N3869">
        <v>53.26</v>
      </c>
      <c r="O3869">
        <v>92</v>
      </c>
      <c r="P3869">
        <v>53</v>
      </c>
    </row>
    <row r="3870" spans="1:16" x14ac:dyDescent="0.25">
      <c r="A3870">
        <v>21300258</v>
      </c>
      <c r="B3870">
        <v>2013</v>
      </c>
      <c r="C3870" t="s">
        <v>32</v>
      </c>
      <c r="D3870" t="s">
        <v>19</v>
      </c>
      <c r="E3870">
        <v>98</v>
      </c>
      <c r="F3870">
        <v>94</v>
      </c>
      <c r="G3870">
        <v>4</v>
      </c>
      <c r="H3870" s="1">
        <v>7.0601851851851847E-4</v>
      </c>
      <c r="I3870" t="s">
        <v>18</v>
      </c>
      <c r="J3870" s="2" t="str">
        <f>HYPERLINK("https://www.nba.com/stats/events?CFID=&amp;CFPARAMS=&amp;GameEventID=447&amp;GameID=0021300258&amp;Season=2013-14&amp;flag=1&amp;title=Leonard%2011'%20Jump%20Shot%20(4%20PTS)", "Leonard 11' Jump Shot (4 PTS)")</f>
        <v>Leonard 11' Jump Shot (4 PTS)</v>
      </c>
      <c r="K3870" s="2" t="str">
        <f>HYPERLINK("https://www.nba.com/game/...-vs-...-0021300258/play-by-play?watchFullGame=true", "SAS vs ATL - Q4 01:01.00")</f>
        <v>SAS vs ATL - Q4 01:01.00</v>
      </c>
      <c r="L3870">
        <v>11</v>
      </c>
      <c r="M3870">
        <v>92</v>
      </c>
      <c r="N3870">
        <v>53</v>
      </c>
      <c r="O3870">
        <v>92</v>
      </c>
      <c r="P3870">
        <v>53</v>
      </c>
    </row>
    <row r="3871" spans="1:16" x14ac:dyDescent="0.25">
      <c r="A3871">
        <v>21600717</v>
      </c>
      <c r="B3871">
        <v>2016</v>
      </c>
      <c r="C3871" t="s">
        <v>32</v>
      </c>
      <c r="D3871" t="s">
        <v>29</v>
      </c>
      <c r="E3871">
        <v>15</v>
      </c>
      <c r="F3871">
        <v>16</v>
      </c>
      <c r="G3871">
        <v>1</v>
      </c>
      <c r="H3871" s="1">
        <v>2.8819444444444444E-3</v>
      </c>
      <c r="I3871" t="s">
        <v>18</v>
      </c>
      <c r="J3871" s="2" t="str">
        <f>HYPERLINK("https://www.nba.com/stats/events?CFID=&amp;CFPARAMS=&amp;GameEventID=73&amp;GameID=0021600717&amp;Season=2016-17&amp;flag=1&amp;title=Leonard%2013'%20Pullup%20Jump%20Shot%20(4%20PTS)%20(Aldridge%201%20AST)", "Leonard 13' Pullup Jump Shot (4 PTS) (Aldridge 1 AST)")</f>
        <v>Leonard 13' Pullup Jump Shot (4 PTS) (Aldridge 1 AST)</v>
      </c>
      <c r="K3871" s="2" t="str">
        <f>HYPERLINK("https://www.nba.com/game/...-vs-...-0021600717/play-by-play?watchFullGame=true", "SAS vs DAL - Q1 04:09.00")</f>
        <v>SAS vs DAL - Q1 04:09.00</v>
      </c>
      <c r="L3871">
        <v>13</v>
      </c>
      <c r="M3871">
        <v>92</v>
      </c>
      <c r="N3871">
        <v>85</v>
      </c>
      <c r="O3871">
        <v>92</v>
      </c>
      <c r="P3871">
        <v>85</v>
      </c>
    </row>
    <row r="3872" spans="1:16" x14ac:dyDescent="0.25">
      <c r="A3872">
        <v>21500516</v>
      </c>
      <c r="B3872">
        <v>2015</v>
      </c>
      <c r="C3872" t="s">
        <v>32</v>
      </c>
      <c r="D3872" t="s">
        <v>19</v>
      </c>
      <c r="E3872">
        <v>58</v>
      </c>
      <c r="F3872">
        <v>71</v>
      </c>
      <c r="G3872">
        <v>3</v>
      </c>
      <c r="H3872" s="1">
        <v>5.6134259259259262E-3</v>
      </c>
      <c r="I3872" t="s">
        <v>18</v>
      </c>
      <c r="J3872" s="2" t="str">
        <f>HYPERLINK("https://www.nba.com/stats/events?CFID=&amp;CFPARAMS=&amp;GameEventID=319&amp;GameID=0021500516&amp;Season=2015-16&amp;flag=1&amp;title=Leonard%2016'%20Jump%20Shot%20(15%20PTS)", "Leonard 16' Jump Shot (15 PTS)")</f>
        <v>Leonard 16' Jump Shot (15 PTS)</v>
      </c>
      <c r="K3872" s="2" t="str">
        <f>HYPERLINK("https://www.nba.com/game/...-vs-...-0021500516/play-by-play?watchFullGame=true", "SAS vs MIL - Q3 08:05.00")</f>
        <v>SAS vs MIL - Q3 08:05.00</v>
      </c>
      <c r="L3872">
        <v>16</v>
      </c>
      <c r="M3872">
        <v>92</v>
      </c>
      <c r="N3872">
        <v>129</v>
      </c>
      <c r="O3872">
        <v>92</v>
      </c>
      <c r="P3872">
        <v>129</v>
      </c>
    </row>
    <row r="3873" spans="1:16" x14ac:dyDescent="0.25">
      <c r="A3873">
        <v>21300993</v>
      </c>
      <c r="B3873">
        <v>2013</v>
      </c>
      <c r="C3873" t="s">
        <v>32</v>
      </c>
      <c r="D3873" t="s">
        <v>29</v>
      </c>
      <c r="E3873">
        <v>104</v>
      </c>
      <c r="F3873">
        <v>88</v>
      </c>
      <c r="G3873">
        <v>4</v>
      </c>
      <c r="H3873" s="1">
        <v>5.115740740740741E-3</v>
      </c>
      <c r="I3873" t="s">
        <v>18</v>
      </c>
      <c r="J3873" s="2" t="str">
        <f>HYPERLINK("https://www.nba.com/stats/events?CFID=&amp;CFPARAMS=&amp;GameEventID=391&amp;GameID=0021300993&amp;Season=2013-14&amp;flag=1&amp;title=Leonard%2017'%20Pullup%20Jump%20Shot%20(11%20PTS)%20(Parker%207%20AST)", "Leonard 17' Pullup Jump Shot (11 PTS) (Parker 7 AST)")</f>
        <v>Leonard 17' Pullup Jump Shot (11 PTS) (Parker 7 AST)</v>
      </c>
      <c r="K3873" s="2" t="str">
        <f>HYPERLINK("https://www.nba.com/game/...-vs-...-0021300993/play-by-play?watchFullGame=true", "SAS vs UTA - Q4 07:22.00")</f>
        <v>SAS vs UTA - Q4 07:22.00</v>
      </c>
      <c r="L3873">
        <v>17</v>
      </c>
      <c r="M3873">
        <v>92</v>
      </c>
      <c r="N3873">
        <v>143</v>
      </c>
      <c r="O3873">
        <v>92</v>
      </c>
      <c r="P3873">
        <v>143</v>
      </c>
    </row>
    <row r="3874" spans="1:16" x14ac:dyDescent="0.25">
      <c r="A3874">
        <v>22200438</v>
      </c>
      <c r="B3874">
        <v>2022</v>
      </c>
      <c r="C3874" t="s">
        <v>32</v>
      </c>
      <c r="D3874" t="s">
        <v>19</v>
      </c>
      <c r="E3874">
        <v>39</v>
      </c>
      <c r="F3874">
        <v>52</v>
      </c>
      <c r="G3874">
        <v>2</v>
      </c>
      <c r="H3874" s="1">
        <v>2.5231481481481481E-3</v>
      </c>
      <c r="I3874" t="s">
        <v>23</v>
      </c>
      <c r="J3874" s="2" t="str">
        <f>HYPERLINK("https://www.nba.com/stats/events?CFID=&amp;CFPARAMS=&amp;GameEventID=253&amp;GameID=0022200438&amp;Season=2022-23&amp;flag=1&amp;title=Leonard%2017'%20pullup%20Jump%20Shot%20(10%20PTS)", "17' pullup Jump Shot (10 PTS)")</f>
        <v>17' pullup Jump Shot (10 PTS)</v>
      </c>
      <c r="K3874" s="2" t="str">
        <f>HYPERLINK("https://www.nba.com/game/...-vs-...-0022200438/play-by-play?watchFullGame=true", "LAC vs WAS - Q2 03:38.00")</f>
        <v>LAC vs WAS - Q2 03:38.00</v>
      </c>
      <c r="L3874">
        <v>17.53</v>
      </c>
      <c r="M3874">
        <v>21.47</v>
      </c>
      <c r="N3874">
        <v>31.62</v>
      </c>
      <c r="O3874">
        <v>92</v>
      </c>
      <c r="P3874">
        <v>149</v>
      </c>
    </row>
    <row r="3875" spans="1:16" x14ac:dyDescent="0.25">
      <c r="A3875">
        <v>21600454</v>
      </c>
      <c r="B3875">
        <v>2016</v>
      </c>
      <c r="C3875" t="s">
        <v>16</v>
      </c>
      <c r="D3875" t="s">
        <v>19</v>
      </c>
      <c r="E3875">
        <v>74</v>
      </c>
      <c r="F3875">
        <v>90</v>
      </c>
      <c r="G3875">
        <v>4</v>
      </c>
      <c r="H3875" s="1">
        <v>7.8125E-3</v>
      </c>
      <c r="I3875" t="s">
        <v>18</v>
      </c>
      <c r="J3875" s="2" t="str">
        <f>HYPERLINK("https://www.nba.com/stats/events?CFID=&amp;CFPARAMS=&amp;GameEventID=400&amp;GameID=0021600454&amp;Season=2016-17&amp;flag=1&amp;title=Leonard%2025'%203PT%20Jump%20Shot%20(22%20PTS)%20(Aldridge%206%20AST)", "Leonard 25' 3PT Jump Shot (22 PTS) (Aldridge 6 AST)")</f>
        <v>Leonard 25' 3PT Jump Shot (22 PTS) (Aldridge 6 AST)</v>
      </c>
      <c r="K3875" s="2" t="str">
        <f>HYPERLINK("https://www.nba.com/game/...-vs-...-0021600454/play-by-play?watchFullGame=true", "SAS vs POR - Q4 11:15.00")</f>
        <v>SAS vs POR - Q4 11:15.00</v>
      </c>
      <c r="L3875">
        <v>25</v>
      </c>
      <c r="M3875">
        <v>92</v>
      </c>
      <c r="N3875">
        <v>228</v>
      </c>
      <c r="O3875">
        <v>92</v>
      </c>
      <c r="P3875">
        <v>228</v>
      </c>
    </row>
    <row r="3876" spans="1:16" x14ac:dyDescent="0.25">
      <c r="A3876">
        <v>22300343</v>
      </c>
      <c r="B3876">
        <v>2023</v>
      </c>
      <c r="C3876" t="s">
        <v>16</v>
      </c>
      <c r="D3876" t="s">
        <v>19</v>
      </c>
      <c r="E3876">
        <v>31</v>
      </c>
      <c r="F3876">
        <v>25</v>
      </c>
      <c r="G3876">
        <v>1</v>
      </c>
      <c r="H3876" s="1">
        <v>1.4930555555555556E-3</v>
      </c>
      <c r="I3876" t="s">
        <v>23</v>
      </c>
      <c r="J3876" s="2" t="str">
        <f>HYPERLINK("https://www.nba.com/stats/events?CFID=&amp;CFPARAMS=&amp;GameEventID=133&amp;GameID=0022300343&amp;Season=2023-24&amp;flag=1&amp;title=Leonard%2025'%203PT%20pullup%20(8%20PTS)", "25' 3PT pullup (8 PTS)")</f>
        <v>25' 3PT pullup (8 PTS)</v>
      </c>
      <c r="K3876" s="2" t="str">
        <f>HYPERLINK("https://www.nba.com/game/...-vs-...-0022300343/play-by-play?watchFullGame=true", "LAC vs NYK - Q1 02:09.00")</f>
        <v>LAC vs NYK - Q1 02:09.00</v>
      </c>
      <c r="L3876">
        <v>25.21</v>
      </c>
      <c r="M3876">
        <v>69.430000000000007</v>
      </c>
      <c r="N3876">
        <v>68.38</v>
      </c>
      <c r="O3876">
        <v>92</v>
      </c>
      <c r="P3876">
        <v>235</v>
      </c>
    </row>
    <row r="3877" spans="1:16" x14ac:dyDescent="0.25">
      <c r="A3877">
        <v>22400889</v>
      </c>
      <c r="B3877">
        <v>2024</v>
      </c>
      <c r="C3877" t="s">
        <v>16</v>
      </c>
      <c r="D3877" t="s">
        <v>19</v>
      </c>
      <c r="E3877">
        <v>35</v>
      </c>
      <c r="F3877">
        <v>39</v>
      </c>
      <c r="G3877">
        <v>2</v>
      </c>
      <c r="H3877" s="1">
        <v>4.9652777777777777E-3</v>
      </c>
      <c r="I3877" t="s">
        <v>23</v>
      </c>
      <c r="J3877" s="2" t="str">
        <f>HYPERLINK("https://www.nba.com/stats/events?CFID=&amp;CFPARAMS=&amp;GameEventID=209&amp;GameID=0022400889&amp;Season=2024-25&amp;flag=1&amp;title=Leonard%2025'%203PT%20%20(9%20PTS)%20(N.%20Batum%202%20AST)", "25' 3PT  (9 PTS) (N. Batum 2 AST)")</f>
        <v>25' 3PT  (9 PTS) (N. Batum 2 AST)</v>
      </c>
      <c r="K3877" s="2" t="str">
        <f>HYPERLINK("https://www.nba.com/game/...-vs-...-0022400889/play-by-play?watchFullGame=true", "LAC vs PHX - Q2 07:09.00")</f>
        <v>LAC vs PHX - Q2 07:09.00</v>
      </c>
      <c r="L3877">
        <v>25.96</v>
      </c>
      <c r="M3877">
        <v>68.59</v>
      </c>
      <c r="N3877">
        <v>68.44</v>
      </c>
      <c r="O3877">
        <v>92</v>
      </c>
      <c r="P3877">
        <v>243</v>
      </c>
    </row>
    <row r="3878" spans="1:16" x14ac:dyDescent="0.25">
      <c r="A3878">
        <v>22301043</v>
      </c>
      <c r="B3878">
        <v>2023</v>
      </c>
      <c r="C3878" t="s">
        <v>16</v>
      </c>
      <c r="D3878" t="s">
        <v>19</v>
      </c>
      <c r="E3878">
        <v>32</v>
      </c>
      <c r="F3878">
        <v>26</v>
      </c>
      <c r="G3878">
        <v>1</v>
      </c>
      <c r="H3878" s="1">
        <v>1.0069444444444444E-3</v>
      </c>
      <c r="I3878" t="s">
        <v>23</v>
      </c>
      <c r="J3878" s="2" t="str">
        <f>HYPERLINK("https://www.nba.com/stats/events?CFID=&amp;CFPARAMS=&amp;GameEventID=116&amp;GameID=0022301043&amp;Season=2023-24&amp;flag=1&amp;title=Leonard%2027'%203PT%20step%20back%20(7%20PTS)%20(R.%20Westbrook%203%20AST)", "27' 3PT step back (7 PTS) (R. Westbrook 3 AST)")</f>
        <v>27' 3PT step back (7 PTS) (R. Westbrook 3 AST)</v>
      </c>
      <c r="K3878" s="2" t="str">
        <f>HYPERLINK("https://www.nba.com/game/...-vs-...-0022301043/play-by-play?watchFullGame=true", "LAC vs IND - Q1 01:27.00")</f>
        <v>LAC vs IND - Q1 01:27.00</v>
      </c>
      <c r="L3878">
        <v>27.5</v>
      </c>
      <c r="M3878">
        <v>33.159999999999997</v>
      </c>
      <c r="N3878">
        <v>31.62</v>
      </c>
      <c r="O3878">
        <v>92</v>
      </c>
      <c r="P3878">
        <v>259</v>
      </c>
    </row>
    <row r="3879" spans="1:16" x14ac:dyDescent="0.25">
      <c r="A3879">
        <v>22400911</v>
      </c>
      <c r="B3879">
        <v>2024</v>
      </c>
      <c r="C3879" t="s">
        <v>32</v>
      </c>
      <c r="D3879" t="s">
        <v>19</v>
      </c>
      <c r="E3879">
        <v>68</v>
      </c>
      <c r="F3879">
        <v>59</v>
      </c>
      <c r="G3879">
        <v>3</v>
      </c>
      <c r="H3879" s="1">
        <v>5.4513888888888893E-3</v>
      </c>
      <c r="I3879" t="s">
        <v>23</v>
      </c>
      <c r="J3879" s="2" t="str">
        <f>HYPERLINK("https://www.nba.com/stats/events?CFID=&amp;CFPARAMS=&amp;GameEventID=339&amp;GameID=0022400911&amp;Season=2024-25&amp;flag=1&amp;title=Leonard%209'%20step%20back%20Jump%20Shot%20(13%20PTS)%20(J.%20Harden%207%20AST)", "9' step back Jump Shot (13 PTS) (J. Harden 7 AST)")</f>
        <v>9' step back Jump Shot (13 PTS) (J. Harden 7 AST)</v>
      </c>
      <c r="K3879" s="2" t="str">
        <f>HYPERLINK("https://www.nba.com/game/...-vs-...-0022400911/play-by-play?watchFullGame=true", "LAC vs NYK - Q3 07:51.00")</f>
        <v>LAC vs NYK - Q3 07:51.00</v>
      </c>
      <c r="L3879">
        <v>9.2799999999999994</v>
      </c>
      <c r="M3879">
        <v>5.39</v>
      </c>
      <c r="N3879">
        <v>31.44</v>
      </c>
      <c r="O3879">
        <v>93</v>
      </c>
      <c r="P3879">
        <v>-2</v>
      </c>
    </row>
    <row r="3880" spans="1:16" x14ac:dyDescent="0.25">
      <c r="A3880">
        <v>22300827</v>
      </c>
      <c r="B3880">
        <v>2023</v>
      </c>
      <c r="C3880" t="s">
        <v>32</v>
      </c>
      <c r="D3880" t="s">
        <v>48</v>
      </c>
      <c r="E3880">
        <v>44</v>
      </c>
      <c r="F3880">
        <v>48</v>
      </c>
      <c r="G3880">
        <v>2</v>
      </c>
      <c r="H3880" s="1">
        <v>2.3032407407407407E-3</v>
      </c>
      <c r="I3880" t="s">
        <v>23</v>
      </c>
      <c r="J3880" s="2" t="str">
        <f>HYPERLINK("https://www.nba.com/stats/events?CFID=&amp;CFPARAMS=&amp;GameEventID=270&amp;GameID=0022300827&amp;Season=2023-24&amp;flag=1&amp;title=Leonard%20running%20DUNK%20(10%20PTS)%20(T.%20Mann%202%20AST)", "Running DUNK (10 PTS) (T. Mann 2 AST)")</f>
        <v>Running DUNK (10 PTS) (T. Mann 2 AST)</v>
      </c>
      <c r="K3880" s="2" t="str">
        <f>HYPERLINK("https://www.nba.com/game/...-vs-...-0022300827/play-by-play?watchFullGame=true", "LAC vs SAC - Q2 03:19.00")</f>
        <v>LAC vs SAC - Q2 03:19.00</v>
      </c>
      <c r="L3880">
        <v>0.63</v>
      </c>
      <c r="M3880">
        <v>93.74</v>
      </c>
      <c r="N3880">
        <v>50</v>
      </c>
      <c r="O3880">
        <v>93</v>
      </c>
      <c r="P3880">
        <v>6</v>
      </c>
    </row>
    <row r="3881" spans="1:16" x14ac:dyDescent="0.25">
      <c r="A3881">
        <v>22200735</v>
      </c>
      <c r="B3881">
        <v>2022</v>
      </c>
      <c r="C3881" t="s">
        <v>32</v>
      </c>
      <c r="D3881" t="s">
        <v>47</v>
      </c>
      <c r="E3881">
        <v>25</v>
      </c>
      <c r="F3881">
        <v>18</v>
      </c>
      <c r="G3881">
        <v>1</v>
      </c>
      <c r="H3881" s="1">
        <v>2.2222222222222222E-3</v>
      </c>
      <c r="I3881" t="s">
        <v>23</v>
      </c>
      <c r="J3881" s="2" t="str">
        <f>HYPERLINK("https://www.nba.com/stats/events?CFID=&amp;CFPARAMS=&amp;GameEventID=107&amp;GameID=0022200735&amp;Season=2022-23&amp;flag=1&amp;title=Leonard%20running%20finger%20roll%20Layup%20(6%20PTS)", "Running finger roll Layup (6 PTS)")</f>
        <v>Running finger roll Layup (6 PTS)</v>
      </c>
      <c r="K3881" s="2" t="str">
        <f>HYPERLINK("https://www.nba.com/game/...-vs-...-0022200735/play-by-play?watchFullGame=true", "LAC vs SAS - Q1 03:12.00")</f>
        <v>LAC vs SAS - Q1 03:12.00</v>
      </c>
      <c r="L3881">
        <v>1.1299999999999999</v>
      </c>
      <c r="M3881">
        <v>93.22</v>
      </c>
      <c r="N3881">
        <v>50</v>
      </c>
      <c r="O3881">
        <v>93</v>
      </c>
      <c r="P3881">
        <v>11</v>
      </c>
    </row>
    <row r="3882" spans="1:16" x14ac:dyDescent="0.25">
      <c r="A3882">
        <v>42000174</v>
      </c>
      <c r="B3882" t="s">
        <v>83</v>
      </c>
      <c r="C3882" t="s">
        <v>32</v>
      </c>
      <c r="D3882" t="s">
        <v>47</v>
      </c>
      <c r="E3882">
        <v>4</v>
      </c>
      <c r="F3882">
        <v>5</v>
      </c>
      <c r="G3882">
        <v>1</v>
      </c>
      <c r="H3882" s="1">
        <v>6.5972222222222222E-3</v>
      </c>
      <c r="I3882" t="s">
        <v>23</v>
      </c>
      <c r="J3882" s="2" t="str">
        <f>HYPERLINK("https://www.nba.com/stats/events?CFID=&amp;CFPARAMS=&amp;GameEventID=28&amp;GameID=0042000174&amp;Season=2020-21&amp;flag=1&amp;title=Leonard%20running%20Layup%20(2%20PTS)", "Running Layup (2 PTS)")</f>
        <v>Running Layup (2 PTS)</v>
      </c>
      <c r="K3882" s="2" t="str">
        <f>HYPERLINK("https://www.nba.com/game/...-vs-...-0042000174/play-by-play?watchFullGame=true", "LAC vs DAL - Q1 09:30.00")</f>
        <v>LAC vs DAL - Q1 09:30.00</v>
      </c>
      <c r="L3882">
        <v>1.99</v>
      </c>
      <c r="M3882">
        <v>93.91</v>
      </c>
      <c r="N3882">
        <v>46.15</v>
      </c>
      <c r="O3882">
        <v>93</v>
      </c>
      <c r="P3882">
        <v>46</v>
      </c>
    </row>
    <row r="3883" spans="1:16" x14ac:dyDescent="0.25">
      <c r="A3883">
        <v>42000174</v>
      </c>
      <c r="B3883" t="s">
        <v>83</v>
      </c>
      <c r="C3883" t="s">
        <v>32</v>
      </c>
      <c r="D3883" t="s">
        <v>48</v>
      </c>
      <c r="E3883">
        <v>38</v>
      </c>
      <c r="F3883">
        <v>55</v>
      </c>
      <c r="G3883">
        <v>2</v>
      </c>
      <c r="H3883" s="1">
        <v>1.7708333333333332E-3</v>
      </c>
      <c r="I3883" t="s">
        <v>23</v>
      </c>
      <c r="J3883" s="2" t="str">
        <f>HYPERLINK("https://www.nba.com/stats/events?CFID=&amp;CFPARAMS=&amp;GameEventID=304&amp;GameID=0042000174&amp;Season=2020-21&amp;flag=1&amp;title=Leonard%20cutting%20DUNK%20(15%20PTS)%20(R.%20Rondo%203%20AST)", "Cutting DUNK (15 PTS) (R. Rondo 3 AST)")</f>
        <v>Cutting DUNK (15 PTS) (R. Rondo 3 AST)</v>
      </c>
      <c r="K3883" s="2" t="str">
        <f>HYPERLINK("https://www.nba.com/game/...-vs-...-0042000174/play-by-play?watchFullGame=true", "LAC vs DAL - Q2 02:33.00")</f>
        <v>LAC vs DAL - Q2 02:33.00</v>
      </c>
      <c r="L3883">
        <v>1.24</v>
      </c>
      <c r="M3883">
        <v>93.12</v>
      </c>
      <c r="N3883">
        <v>49.58</v>
      </c>
      <c r="O3883">
        <v>93</v>
      </c>
      <c r="P3883">
        <v>49</v>
      </c>
    </row>
    <row r="3884" spans="1:16" x14ac:dyDescent="0.25">
      <c r="A3884">
        <v>42000177</v>
      </c>
      <c r="B3884" t="s">
        <v>83</v>
      </c>
      <c r="C3884" t="s">
        <v>32</v>
      </c>
      <c r="D3884" t="s">
        <v>48</v>
      </c>
      <c r="E3884">
        <v>35</v>
      </c>
      <c r="F3884">
        <v>36</v>
      </c>
      <c r="G3884">
        <v>1</v>
      </c>
      <c r="H3884" s="1">
        <v>1.6782407407407406E-4</v>
      </c>
      <c r="I3884" t="s">
        <v>23</v>
      </c>
      <c r="J3884" s="2" t="str">
        <f>HYPERLINK("https://www.nba.com/stats/events?CFID=&amp;CFPARAMS=&amp;GameEventID=142&amp;GameID=0042000177&amp;Season=2020-21&amp;flag=1&amp;title=Leonard%20driving%20DUNK%20(13%20PTS)", "Driving DUNK (13 PTS)")</f>
        <v>Driving DUNK (13 PTS)</v>
      </c>
      <c r="K3884" s="2" t="str">
        <f>HYPERLINK("https://www.nba.com/game/...-vs-...-0042000177/play-by-play?watchFullGame=true", "LAC vs DAL - Q1 00:14.50")</f>
        <v>LAC vs DAL - Q1 00:14.50</v>
      </c>
      <c r="L3884">
        <v>0.68</v>
      </c>
      <c r="M3884">
        <v>93.77</v>
      </c>
      <c r="N3884">
        <v>49.33</v>
      </c>
      <c r="O3884">
        <v>93</v>
      </c>
      <c r="P3884">
        <v>49</v>
      </c>
    </row>
    <row r="3885" spans="1:16" x14ac:dyDescent="0.25">
      <c r="A3885">
        <v>42000174</v>
      </c>
      <c r="B3885" t="s">
        <v>83</v>
      </c>
      <c r="C3885" t="s">
        <v>32</v>
      </c>
      <c r="D3885" t="s">
        <v>19</v>
      </c>
      <c r="E3885">
        <v>12</v>
      </c>
      <c r="F3885">
        <v>15</v>
      </c>
      <c r="G3885">
        <v>1</v>
      </c>
      <c r="H3885" s="1">
        <v>3.6805555555555554E-3</v>
      </c>
      <c r="I3885" t="s">
        <v>23</v>
      </c>
      <c r="J3885" s="2" t="str">
        <f>HYPERLINK("https://www.nba.com/stats/events?CFID=&amp;CFPARAMS=&amp;GameEventID=91&amp;GameID=0042000174&amp;Season=2020-21&amp;flag=1&amp;title=Leonard%20driving%20bank%20Jump%20Shot%20(6%20PTS)", "Driving bank Jump Shot (6 PTS)")</f>
        <v>Driving bank Jump Shot (6 PTS)</v>
      </c>
      <c r="K3885" s="2" t="str">
        <f>HYPERLINK("https://www.nba.com/game/...-vs-...-0042000174/play-by-play?watchFullGame=true", "LAC vs DAL - Q1 05:18.00")</f>
        <v>LAC vs DAL - Q1 05:18.00</v>
      </c>
      <c r="L3885">
        <v>2.34</v>
      </c>
      <c r="M3885">
        <v>93.12</v>
      </c>
      <c r="N3885">
        <v>53.99</v>
      </c>
      <c r="O3885">
        <v>93</v>
      </c>
      <c r="P3885">
        <v>53</v>
      </c>
    </row>
    <row r="3886" spans="1:16" x14ac:dyDescent="0.25">
      <c r="A3886">
        <v>42300173</v>
      </c>
      <c r="B3886" t="s">
        <v>84</v>
      </c>
      <c r="C3886" t="s">
        <v>32</v>
      </c>
      <c r="D3886" t="s">
        <v>47</v>
      </c>
      <c r="E3886">
        <v>10</v>
      </c>
      <c r="F3886">
        <v>10</v>
      </c>
      <c r="G3886">
        <v>1</v>
      </c>
      <c r="H3886" s="1">
        <v>5.0115740740740737E-3</v>
      </c>
      <c r="I3886" t="s">
        <v>23</v>
      </c>
      <c r="J3886" s="2" t="str">
        <f>HYPERLINK("https://www.nba.com/stats/events?CFID=&amp;CFPARAMS=&amp;GameEventID=48&amp;GameID=0042300173&amp;Season=2023-24&amp;flag=1&amp;title=Leonard%20running%20Layup%20(2%20PTS)", "Running Layup (2 PTS)")</f>
        <v>Running Layup (2 PTS)</v>
      </c>
      <c r="K3886" s="2" t="str">
        <f>HYPERLINK("https://www.nba.com/game/...-vs-...-0042300173/play-by-play?watchFullGame=true", "LAC vs DAL - Q1 07:13.00")</f>
        <v>LAC vs DAL - Q1 07:13.00</v>
      </c>
      <c r="L3886">
        <v>2.2599999999999998</v>
      </c>
      <c r="M3886">
        <v>93.91</v>
      </c>
      <c r="N3886">
        <v>54.41</v>
      </c>
      <c r="O3886">
        <v>93</v>
      </c>
      <c r="P3886">
        <v>54</v>
      </c>
    </row>
    <row r="3887" spans="1:16" x14ac:dyDescent="0.25">
      <c r="A3887">
        <v>42000176</v>
      </c>
      <c r="B3887" t="s">
        <v>83</v>
      </c>
      <c r="C3887" t="s">
        <v>32</v>
      </c>
      <c r="D3887" t="s">
        <v>19</v>
      </c>
      <c r="E3887">
        <v>39</v>
      </c>
      <c r="F3887">
        <v>32</v>
      </c>
      <c r="G3887">
        <v>2</v>
      </c>
      <c r="H3887" s="1">
        <v>4.7222222222222223E-3</v>
      </c>
      <c r="I3887" t="s">
        <v>23</v>
      </c>
      <c r="J3887" s="2" t="str">
        <f>HYPERLINK("https://www.nba.com/stats/events?CFID=&amp;CFPARAMS=&amp;GameEventID=213&amp;GameID=0042000176&amp;Season=2020-21&amp;flag=1&amp;title=Leonard%20turnaround%20fadeaway%20Jump%20Shot%20(5%20PTS)%20(R.%20Rondo%201%20AST)", "Turnaround fadeaway Jump Shot (5 PTS) (R. Rondo 1 AST)")</f>
        <v>Turnaround fadeaway Jump Shot (5 PTS) (R. Rondo 1 AST)</v>
      </c>
      <c r="K3887" s="2" t="str">
        <f>HYPERLINK("https://www.nba.com/game/...-vs-...-0042000176/play-by-play?watchFullGame=true", "LAC vs DAL - Q2 06:48.00")</f>
        <v>LAC vs DAL - Q2 06:48.00</v>
      </c>
      <c r="L3887">
        <v>4.26</v>
      </c>
      <c r="M3887">
        <v>93.12</v>
      </c>
      <c r="N3887">
        <v>58.16</v>
      </c>
      <c r="O3887">
        <v>93</v>
      </c>
      <c r="P3887">
        <v>58</v>
      </c>
    </row>
    <row r="3888" spans="1:16" x14ac:dyDescent="0.25">
      <c r="A3888">
        <v>42000222</v>
      </c>
      <c r="B3888" t="s">
        <v>85</v>
      </c>
      <c r="C3888" t="s">
        <v>32</v>
      </c>
      <c r="D3888" t="s">
        <v>19</v>
      </c>
      <c r="E3888">
        <v>79</v>
      </c>
      <c r="F3888">
        <v>69</v>
      </c>
      <c r="G3888">
        <v>3</v>
      </c>
      <c r="H3888" s="1">
        <v>3.8657407407407408E-3</v>
      </c>
      <c r="I3888" t="s">
        <v>23</v>
      </c>
      <c r="J3888" s="2" t="str">
        <f>HYPERLINK("https://www.nba.com/stats/events?CFID=&amp;CFPARAMS=&amp;GameEventID=380&amp;GameID=0042000222&amp;Season=2020-21&amp;flag=1&amp;title=Leonard%2013'%20pullup%20Jump%20Shot%20(19%20PTS)%20(R.%20Jackson%201%20AST)", "13' pullup Jump Shot (19 PTS) (R. Jackson 1 AST)")</f>
        <v>13' pullup Jump Shot (19 PTS) (R. Jackson 1 AST)</v>
      </c>
      <c r="K3888" s="2" t="str">
        <f>HYPERLINK("https://www.nba.com/game/...-vs-...-0042000222/play-by-play?watchFullGame=true", "LAC vs UTA - Q3 05:34.00")</f>
        <v>LAC vs UTA - Q3 05:34.00</v>
      </c>
      <c r="L3888">
        <v>13.4</v>
      </c>
      <c r="M3888">
        <v>93.77</v>
      </c>
      <c r="N3888">
        <v>76.78</v>
      </c>
      <c r="O3888">
        <v>93</v>
      </c>
      <c r="P3888">
        <v>76</v>
      </c>
    </row>
    <row r="3889" spans="1:16" x14ac:dyDescent="0.25">
      <c r="A3889">
        <v>21900653</v>
      </c>
      <c r="B3889">
        <v>2019</v>
      </c>
      <c r="C3889" t="s">
        <v>32</v>
      </c>
      <c r="D3889" t="s">
        <v>22</v>
      </c>
      <c r="E3889">
        <v>51</v>
      </c>
      <c r="F3889">
        <v>64</v>
      </c>
      <c r="G3889">
        <v>3</v>
      </c>
      <c r="H3889" s="1">
        <v>7.5925925925925926E-3</v>
      </c>
      <c r="I3889" t="s">
        <v>23</v>
      </c>
      <c r="J3889" s="2" t="str">
        <f>HYPERLINK("https://www.nba.com/stats/events?CFID=&amp;CFPARAMS=&amp;GameEventID=396&amp;GameID=0021900653&amp;Season=2019-20&amp;flag=1&amp;title=Leonard%2013'%20jumpshot%20(18%20PTS)", "13' jumpshot (18 PTS)")</f>
        <v>13' jumpshot (18 PTS)</v>
      </c>
      <c r="K3889" s="2" t="str">
        <f>HYPERLINK("https://www.nba.com/game/...-vs-...-0021900653/play-by-play?watchFullGame=true", "LAC vs DAL - Q3 10:56.00")</f>
        <v>LAC vs DAL - Q3 10:56.00</v>
      </c>
      <c r="L3889">
        <v>12.93</v>
      </c>
      <c r="M3889">
        <v>85.5</v>
      </c>
      <c r="N3889">
        <v>68.7</v>
      </c>
      <c r="O3889">
        <v>93</v>
      </c>
      <c r="P3889">
        <v>84</v>
      </c>
    </row>
    <row r="3890" spans="1:16" x14ac:dyDescent="0.25">
      <c r="A3890">
        <v>22200719</v>
      </c>
      <c r="B3890">
        <v>2022</v>
      </c>
      <c r="C3890" t="s">
        <v>32</v>
      </c>
      <c r="D3890" t="s">
        <v>19</v>
      </c>
      <c r="E3890">
        <v>0</v>
      </c>
      <c r="F3890">
        <v>4</v>
      </c>
      <c r="G3890">
        <v>1</v>
      </c>
      <c r="H3890" s="1">
        <v>7.8125E-3</v>
      </c>
      <c r="I3890" t="s">
        <v>23</v>
      </c>
      <c r="J3890" s="2" t="str">
        <f>HYPERLINK("https://www.nba.com/stats/events?CFID=&amp;CFPARAMS=&amp;GameEventID=10&amp;GameID=0022200719&amp;Season=2022-23&amp;flag=1&amp;title=Leonard%2012'%20pullup%20Jump%20Shot%20(4%20PTS)%20(P.%20George%201%20AST)", "12' pullup Jump Shot (4 PTS) (P. George 1 AST)")</f>
        <v>12' pullup Jump Shot (4 PTS) (P. George 1 AST)</v>
      </c>
      <c r="K3890" s="2" t="str">
        <f>HYPERLINK("https://www.nba.com/game/...-vs-...-0022200719/play-by-play?watchFullGame=true", "LAC vs LAL - Q1 11:15.00")</f>
        <v>LAC vs LAL - Q1 11:15.00</v>
      </c>
      <c r="L3890">
        <v>12.89</v>
      </c>
      <c r="M3890">
        <v>84.94</v>
      </c>
      <c r="N3890">
        <v>68.63</v>
      </c>
      <c r="O3890">
        <v>93</v>
      </c>
      <c r="P3890">
        <v>89</v>
      </c>
    </row>
    <row r="3891" spans="1:16" x14ac:dyDescent="0.25">
      <c r="A3891">
        <v>22400671</v>
      </c>
      <c r="B3891">
        <v>2024</v>
      </c>
      <c r="C3891" t="s">
        <v>32</v>
      </c>
      <c r="D3891" t="s">
        <v>19</v>
      </c>
      <c r="E3891">
        <v>60</v>
      </c>
      <c r="F3891">
        <v>67</v>
      </c>
      <c r="G3891">
        <v>3</v>
      </c>
      <c r="H3891" s="1">
        <v>8.1944444444444452E-3</v>
      </c>
      <c r="I3891" t="s">
        <v>23</v>
      </c>
      <c r="J3891" s="2" t="str">
        <f>HYPERLINK("https://www.nba.com/stats/events?CFID=&amp;CFPARAMS=&amp;GameEventID=346&amp;GameID=0022400671&amp;Season=2024-25&amp;flag=1&amp;title=Leonard%2018'%20pullup%20Jump%20Shot%20(14%20PTS)", "18' pullup Jump Shot (14 PTS)")</f>
        <v>18' pullup Jump Shot (14 PTS)</v>
      </c>
      <c r="K3891" s="2" t="str">
        <f>HYPERLINK("https://www.nba.com/game/...-vs-...-0022400671/play-by-play?watchFullGame=true", "LAC vs SAS - Q3 11:48.00")</f>
        <v>LAC vs SAS - Q3 11:48.00</v>
      </c>
      <c r="L3891">
        <v>18.05</v>
      </c>
      <c r="M3891">
        <v>22.03</v>
      </c>
      <c r="N3891">
        <v>31.37</v>
      </c>
      <c r="O3891">
        <v>93</v>
      </c>
      <c r="P3891">
        <v>155</v>
      </c>
    </row>
    <row r="3892" spans="1:16" x14ac:dyDescent="0.25">
      <c r="A3892">
        <v>22000400</v>
      </c>
      <c r="B3892">
        <v>2020</v>
      </c>
      <c r="C3892" t="s">
        <v>16</v>
      </c>
      <c r="D3892" t="s">
        <v>19</v>
      </c>
      <c r="E3892">
        <v>78</v>
      </c>
      <c r="F3892">
        <v>89</v>
      </c>
      <c r="G3892">
        <v>3</v>
      </c>
      <c r="H3892" s="1">
        <v>5.4282407407407404E-4</v>
      </c>
      <c r="I3892" t="s">
        <v>23</v>
      </c>
      <c r="J3892" s="2" t="str">
        <f>HYPERLINK("https://www.nba.com/stats/events?CFID=&amp;CFPARAMS=&amp;GameEventID=431&amp;GameID=0022000400&amp;Season=2020-21&amp;flag=1&amp;title=Leonard%2024'%203PT%20%20(27%20PTS)%20(T.%20Mann%202%20AST)", "24' 3PT  (27 PTS) (T. Mann 2 AST)")</f>
        <v>24' 3PT  (27 PTS) (T. Mann 2 AST)</v>
      </c>
      <c r="K3892" s="2" t="str">
        <f>HYPERLINK("https://www.nba.com/game/...-vs-...-0022000400/play-by-play?watchFullGame=true", "LAC vs CHI - Q3 00:46.90")</f>
        <v>LAC vs CHI - Q3 00:46.90</v>
      </c>
      <c r="L3892">
        <v>24.45</v>
      </c>
      <c r="M3892">
        <v>29.65</v>
      </c>
      <c r="N3892">
        <v>31.44</v>
      </c>
      <c r="O3892">
        <v>93</v>
      </c>
      <c r="P3892">
        <v>226</v>
      </c>
    </row>
    <row r="3893" spans="1:16" x14ac:dyDescent="0.25">
      <c r="A3893">
        <v>21600182</v>
      </c>
      <c r="B3893">
        <v>2016</v>
      </c>
      <c r="C3893" t="s">
        <v>16</v>
      </c>
      <c r="D3893" t="s">
        <v>19</v>
      </c>
      <c r="E3893">
        <v>57</v>
      </c>
      <c r="F3893">
        <v>55</v>
      </c>
      <c r="G3893">
        <v>3</v>
      </c>
      <c r="H3893" s="1">
        <v>7.1064814814814819E-3</v>
      </c>
      <c r="I3893" t="s">
        <v>18</v>
      </c>
      <c r="J3893" s="2" t="str">
        <f>HYPERLINK("https://www.nba.com/stats/events?CFID=&amp;CFPARAMS=&amp;GameEventID=267&amp;GameID=0021600182&amp;Season=2016-17&amp;flag=1&amp;title=Leonard%2025'%203PT%20Jump%20Shot%20(10%20PTS)%20(Green%204%20AST)", "Leonard 25' 3PT Jump Shot (10 PTS) (Green 4 AST)")</f>
        <v>Leonard 25' 3PT Jump Shot (10 PTS) (Green 4 AST)</v>
      </c>
      <c r="K3893" s="2" t="str">
        <f>HYPERLINK("https://www.nba.com/game/...-vs-...-0021600182/play-by-play?watchFullGame=true", "SAS vs LAL - Q3 10:14.00")</f>
        <v>SAS vs LAL - Q3 10:14.00</v>
      </c>
      <c r="L3893">
        <v>25</v>
      </c>
      <c r="M3893">
        <v>93</v>
      </c>
      <c r="N3893">
        <v>232</v>
      </c>
      <c r="O3893">
        <v>93</v>
      </c>
      <c r="P3893">
        <v>232</v>
      </c>
    </row>
    <row r="3894" spans="1:16" x14ac:dyDescent="0.25">
      <c r="A3894">
        <v>22300526</v>
      </c>
      <c r="B3894">
        <v>2023</v>
      </c>
      <c r="C3894" t="s">
        <v>16</v>
      </c>
      <c r="D3894" t="s">
        <v>19</v>
      </c>
      <c r="E3894">
        <v>47</v>
      </c>
      <c r="F3894">
        <v>44</v>
      </c>
      <c r="G3894">
        <v>2</v>
      </c>
      <c r="H3894" s="1">
        <v>3.472222222222222E-3</v>
      </c>
      <c r="I3894" t="s">
        <v>23</v>
      </c>
      <c r="J3894" s="2" t="str">
        <f>HYPERLINK("https://www.nba.com/stats/events?CFID=&amp;CFPARAMS=&amp;GameEventID=228&amp;GameID=0022300526&amp;Season=2023-24&amp;flag=1&amp;title=Leonard%2027'%203PT%20%20(12%20PTS)%20(J.%20Harden%204%20AST)", "27' 3PT  (12 PTS) (J. Harden 4 AST)")</f>
        <v>27' 3PT  (12 PTS) (J. Harden 4 AST)</v>
      </c>
      <c r="K3894" s="2" t="str">
        <f>HYPERLINK("https://www.nba.com/game/...-vs-...-0022300526/play-by-play?watchFullGame=true", "LAC vs TOR - Q2 05:00.00")</f>
        <v>LAC vs TOR - Q2 05:00.00</v>
      </c>
      <c r="L3894">
        <v>27.08</v>
      </c>
      <c r="M3894">
        <v>32.64</v>
      </c>
      <c r="N3894">
        <v>31.37</v>
      </c>
      <c r="O3894">
        <v>93</v>
      </c>
      <c r="P3894">
        <v>254</v>
      </c>
    </row>
    <row r="3895" spans="1:16" x14ac:dyDescent="0.25">
      <c r="A3895">
        <v>22300600</v>
      </c>
      <c r="B3895">
        <v>2023</v>
      </c>
      <c r="C3895" t="s">
        <v>32</v>
      </c>
      <c r="D3895" t="s">
        <v>48</v>
      </c>
      <c r="E3895">
        <v>108</v>
      </c>
      <c r="F3895">
        <v>114</v>
      </c>
      <c r="G3895">
        <v>4</v>
      </c>
      <c r="H3895" s="1">
        <v>3.2291666666666666E-3</v>
      </c>
      <c r="I3895" t="s">
        <v>23</v>
      </c>
      <c r="J3895" s="2" t="str">
        <f>HYPERLINK("https://www.nba.com/stats/events?CFID=&amp;CFPARAMS=&amp;GameEventID=582&amp;GameID=0022300600&amp;Season=2023-24&amp;flag=1&amp;title=Leonard%20running%20DUNK%20(9%20PTS)%20(J.%20Harden%2010%20AST)", "Running DUNK (9 PTS) (J. Harden 10 AST)")</f>
        <v>Running DUNK (9 PTS) (J. Harden 10 AST)</v>
      </c>
      <c r="K3895" s="2" t="str">
        <f>HYPERLINK("https://www.nba.com/game/...-vs-...-0022300600/play-by-play?watchFullGame=true", "LAC vs BKN - Q4 04:39.00")</f>
        <v>LAC vs BKN - Q4 04:39.00</v>
      </c>
      <c r="L3895">
        <v>0.48</v>
      </c>
      <c r="M3895">
        <v>94.92</v>
      </c>
      <c r="N3895">
        <v>50</v>
      </c>
      <c r="O3895">
        <v>94</v>
      </c>
      <c r="P3895">
        <v>-5</v>
      </c>
    </row>
    <row r="3896" spans="1:16" x14ac:dyDescent="0.25">
      <c r="A3896">
        <v>22300526</v>
      </c>
      <c r="B3896">
        <v>2023</v>
      </c>
      <c r="C3896" t="s">
        <v>32</v>
      </c>
      <c r="D3896" t="s">
        <v>48</v>
      </c>
      <c r="E3896">
        <v>87</v>
      </c>
      <c r="F3896">
        <v>90</v>
      </c>
      <c r="G3896">
        <v>3</v>
      </c>
      <c r="H3896" s="1">
        <v>9.1435185185185185E-4</v>
      </c>
      <c r="I3896" t="s">
        <v>23</v>
      </c>
      <c r="J3896" s="2" t="str">
        <f>HYPERLINK("https://www.nba.com/stats/events?CFID=&amp;CFPARAMS=&amp;GameEventID=434&amp;GameID=0022300526&amp;Season=2023-24&amp;flag=1&amp;title=Leonard%20running%20DUNK%20(23%20PTS)%20(R.%20Westbrook%202%20AST)", "Running DUNK (23 PTS) (R. Westbrook 2 AST)")</f>
        <v>Running DUNK (23 PTS) (R. Westbrook 2 AST)</v>
      </c>
      <c r="K3896" s="2" t="str">
        <f>HYPERLINK("https://www.nba.com/game/...-vs-...-0022300526/play-by-play?watchFullGame=true", "LAC vs TOR - Q3 01:19.00")</f>
        <v>LAC vs TOR - Q3 01:19.00</v>
      </c>
      <c r="L3896">
        <v>0.23</v>
      </c>
      <c r="M3896">
        <v>94.66</v>
      </c>
      <c r="N3896">
        <v>50</v>
      </c>
      <c r="O3896">
        <v>94</v>
      </c>
      <c r="P3896">
        <v>-2</v>
      </c>
    </row>
    <row r="3897" spans="1:16" x14ac:dyDescent="0.25">
      <c r="A3897">
        <v>42200172</v>
      </c>
      <c r="B3897" t="s">
        <v>86</v>
      </c>
      <c r="C3897" t="s">
        <v>32</v>
      </c>
      <c r="D3897" t="s">
        <v>19</v>
      </c>
      <c r="E3897">
        <v>54</v>
      </c>
      <c r="F3897">
        <v>59</v>
      </c>
      <c r="G3897">
        <v>2</v>
      </c>
      <c r="H3897" s="1">
        <v>4.4328703703703701E-4</v>
      </c>
      <c r="I3897" t="s">
        <v>23</v>
      </c>
      <c r="J3897" s="2" t="str">
        <f>HYPERLINK("https://www.nba.com/stats/events?CFID=&amp;CFPARAMS=&amp;GameEventID=304&amp;GameID=0042200172&amp;Season=2022-23&amp;flag=1&amp;title=Leonard%2011'%20pullup%20Jump%20Shot%20(16%20PTS)%20(E.%20Gordon%202%20AST)", "11' pullup Jump Shot (16 PTS) (E. Gordon 2 AST)")</f>
        <v>11' pullup Jump Shot (16 PTS) (E. Gordon 2 AST)</v>
      </c>
      <c r="K3897" s="2" t="str">
        <f>HYPERLINK("https://www.nba.com/game/...-vs-...-0042200172/play-by-play?watchFullGame=true", "LAC vs PHX - Q2 00:38.30")</f>
        <v>LAC vs PHX - Q2 00:38.30</v>
      </c>
      <c r="L3897">
        <v>11.28</v>
      </c>
      <c r="M3897">
        <v>94.83</v>
      </c>
      <c r="N3897">
        <v>27.45</v>
      </c>
      <c r="O3897">
        <v>94</v>
      </c>
      <c r="P3897">
        <v>27</v>
      </c>
    </row>
    <row r="3898" spans="1:16" x14ac:dyDescent="0.25">
      <c r="A3898">
        <v>42000173</v>
      </c>
      <c r="B3898" t="s">
        <v>83</v>
      </c>
      <c r="C3898" t="s">
        <v>32</v>
      </c>
      <c r="D3898" t="s">
        <v>47</v>
      </c>
      <c r="E3898">
        <v>30</v>
      </c>
      <c r="F3898">
        <v>15</v>
      </c>
      <c r="G3898">
        <v>1</v>
      </c>
      <c r="H3898" s="1">
        <v>2.7083333333333334E-3</v>
      </c>
      <c r="I3898" t="s">
        <v>23</v>
      </c>
      <c r="J3898" s="2" t="str">
        <f>HYPERLINK("https://www.nba.com/stats/events?CFID=&amp;CFPARAMS=&amp;GameEventID=92&amp;GameID=0042000173&amp;Season=2020-21&amp;flag=1&amp;title=Leonard%20driving%20reverse%20Layup%20(4%20PTS)", "Driving reverse Layup (4 PTS)")</f>
        <v>Driving reverse Layup (4 PTS)</v>
      </c>
      <c r="K3898" s="2" t="str">
        <f>HYPERLINK("https://www.nba.com/game/...-vs-...-0042000173/play-by-play?watchFullGame=true", "LAC vs DAL - Q1 03:54.00")</f>
        <v>LAC vs DAL - Q1 03:54.00</v>
      </c>
      <c r="L3898">
        <v>0.62</v>
      </c>
      <c r="M3898">
        <v>94.17</v>
      </c>
      <c r="N3898">
        <v>48.84</v>
      </c>
      <c r="O3898">
        <v>94</v>
      </c>
      <c r="P3898">
        <v>48</v>
      </c>
    </row>
    <row r="3899" spans="1:16" x14ac:dyDescent="0.25">
      <c r="A3899">
        <v>42000173</v>
      </c>
      <c r="B3899" t="s">
        <v>83</v>
      </c>
      <c r="C3899" t="s">
        <v>32</v>
      </c>
      <c r="D3899" t="s">
        <v>48</v>
      </c>
      <c r="E3899">
        <v>50</v>
      </c>
      <c r="F3899">
        <v>51</v>
      </c>
      <c r="G3899">
        <v>2</v>
      </c>
      <c r="H3899" s="1">
        <v>3.460648148148148E-3</v>
      </c>
      <c r="I3899" t="s">
        <v>23</v>
      </c>
      <c r="J3899" s="2" t="str">
        <f>HYPERLINK("https://www.nba.com/stats/events?CFID=&amp;CFPARAMS=&amp;GameEventID=228&amp;GameID=0042000173&amp;Season=2020-21&amp;flag=1&amp;title=Leonard%20cutting%20DUNK%20(16%20PTS)%20(P.%20George%202%20AST)", "Cutting DUNK (16 PTS) (P. George 2 AST)")</f>
        <v>Cutting DUNK (16 PTS) (P. George 2 AST)</v>
      </c>
      <c r="K3899" s="2" t="str">
        <f>HYPERLINK("https://www.nba.com/game/...-vs-...-0042000173/play-by-play?watchFullGame=true", "LAC vs DAL - Q2 04:59.00")</f>
        <v>LAC vs DAL - Q2 04:59.00</v>
      </c>
      <c r="L3899">
        <v>0.85</v>
      </c>
      <c r="M3899">
        <v>94.17</v>
      </c>
      <c r="N3899">
        <v>48.35</v>
      </c>
      <c r="O3899">
        <v>94</v>
      </c>
      <c r="P3899">
        <v>48</v>
      </c>
    </row>
    <row r="3900" spans="1:16" x14ac:dyDescent="0.25">
      <c r="A3900">
        <v>42000174</v>
      </c>
      <c r="B3900" t="s">
        <v>83</v>
      </c>
      <c r="C3900" t="s">
        <v>32</v>
      </c>
      <c r="D3900" t="s">
        <v>47</v>
      </c>
      <c r="E3900">
        <v>16</v>
      </c>
      <c r="F3900">
        <v>21</v>
      </c>
      <c r="G3900">
        <v>1</v>
      </c>
      <c r="H3900" s="1">
        <v>2.6157407407407405E-3</v>
      </c>
      <c r="I3900" t="s">
        <v>23</v>
      </c>
      <c r="J3900" s="2" t="str">
        <f>HYPERLINK("https://www.nba.com/stats/events?CFID=&amp;CFPARAMS=&amp;GameEventID=119&amp;GameID=0042000174&amp;Season=2020-21&amp;flag=1&amp;title=Leonard%20running%20Layup%20(8%20PTS)", "Running Layup (8 PTS)")</f>
        <v>Running Layup (8 PTS)</v>
      </c>
      <c r="K3900" s="2" t="str">
        <f>HYPERLINK("https://www.nba.com/game/...-vs-...-0042000174/play-by-play?watchFullGame=true", "LAC vs DAL - Q1 03:46.00")</f>
        <v>LAC vs DAL - Q1 03:46.00</v>
      </c>
      <c r="L3900">
        <v>0.62</v>
      </c>
      <c r="M3900">
        <v>94.17</v>
      </c>
      <c r="N3900">
        <v>48.84</v>
      </c>
      <c r="O3900">
        <v>94</v>
      </c>
      <c r="P3900">
        <v>48</v>
      </c>
    </row>
    <row r="3901" spans="1:16" x14ac:dyDescent="0.25">
      <c r="A3901">
        <v>42000174</v>
      </c>
      <c r="B3901" t="s">
        <v>83</v>
      </c>
      <c r="C3901" t="s">
        <v>32</v>
      </c>
      <c r="D3901" t="s">
        <v>48</v>
      </c>
      <c r="E3901">
        <v>40</v>
      </c>
      <c r="F3901">
        <v>57</v>
      </c>
      <c r="G3901">
        <v>2</v>
      </c>
      <c r="H3901" s="1">
        <v>1.3888888888888889E-3</v>
      </c>
      <c r="I3901" t="s">
        <v>23</v>
      </c>
      <c r="J3901" s="2" t="str">
        <f>HYPERLINK("https://www.nba.com/stats/events?CFID=&amp;CFPARAMS=&amp;GameEventID=307&amp;GameID=0042000174&amp;Season=2020-21&amp;flag=1&amp;title=Leonard%20driving%20DUNK%20(17%20PTS)%20(R.%20Rondo%204%20AST)", "Driving DUNK (17 PTS) (R. Rondo 4 AST)")</f>
        <v>Driving DUNK (17 PTS) (R. Rondo 4 AST)</v>
      </c>
      <c r="K3901" s="2" t="str">
        <f>HYPERLINK("https://www.nba.com/game/...-vs-...-0042000174/play-by-play?watchFullGame=true", "LAC vs DAL - Q2 02:00.00")</f>
        <v>LAC vs DAL - Q2 02:00.00</v>
      </c>
      <c r="L3901">
        <v>0.35</v>
      </c>
      <c r="M3901">
        <v>94.3</v>
      </c>
      <c r="N3901">
        <v>49.33</v>
      </c>
      <c r="O3901">
        <v>94</v>
      </c>
      <c r="P3901">
        <v>49</v>
      </c>
    </row>
    <row r="3902" spans="1:16" x14ac:dyDescent="0.25">
      <c r="A3902">
        <v>22300676</v>
      </c>
      <c r="B3902">
        <v>2023</v>
      </c>
      <c r="C3902" t="s">
        <v>32</v>
      </c>
      <c r="D3902" t="s">
        <v>47</v>
      </c>
      <c r="E3902">
        <v>45</v>
      </c>
      <c r="F3902">
        <v>53</v>
      </c>
      <c r="G3902">
        <v>2</v>
      </c>
      <c r="H3902" s="1">
        <v>3.5300925925925925E-3</v>
      </c>
      <c r="I3902" t="s">
        <v>23</v>
      </c>
      <c r="J3902" s="2" t="str">
        <f>HYPERLINK("https://www.nba.com/stats/events?CFID=&amp;CFPARAMS=&amp;GameEventID=255&amp;GameID=0022300676&amp;Season=2023-24&amp;flag=1&amp;title=Leonard%20tip%20Layup%20(13%20PTS)", "Tip Layup (13 PTS)")</f>
        <v>Tip Layup (13 PTS)</v>
      </c>
      <c r="K3902" s="2" t="str">
        <f>HYPERLINK("https://www.nba.com/game/...-vs-...-0022300676/play-by-play?watchFullGame=true", "LAC vs WAS - Q2 05:05.00")</f>
        <v>LAC vs WAS - Q2 05:05.00</v>
      </c>
      <c r="L3902" t="s">
        <v>82</v>
      </c>
      <c r="M3902">
        <v>94.41</v>
      </c>
      <c r="N3902">
        <v>50</v>
      </c>
      <c r="O3902">
        <v>94</v>
      </c>
      <c r="P3902">
        <v>50</v>
      </c>
    </row>
    <row r="3903" spans="1:16" x14ac:dyDescent="0.25">
      <c r="A3903">
        <v>42000174</v>
      </c>
      <c r="B3903" t="s">
        <v>83</v>
      </c>
      <c r="C3903" t="s">
        <v>32</v>
      </c>
      <c r="D3903" t="s">
        <v>47</v>
      </c>
      <c r="E3903">
        <v>6</v>
      </c>
      <c r="F3903">
        <v>9</v>
      </c>
      <c r="G3903">
        <v>1</v>
      </c>
      <c r="H3903" s="1">
        <v>5.9837962962962961E-3</v>
      </c>
      <c r="I3903" t="s">
        <v>23</v>
      </c>
      <c r="J3903" s="2" t="str">
        <f>HYPERLINK("https://www.nba.com/stats/events?CFID=&amp;CFPARAMS=&amp;GameEventID=36&amp;GameID=0042000174&amp;Season=2020-21&amp;flag=1&amp;title=Leonard%20driving%20Layup%20(4%20PTS)%20(M.%20Morris%20Sr.%201%20AST)", "Driving Layup (4 PTS) (M. Morris Sr. 1 AST)")</f>
        <v>Driving Layup (4 PTS) (M. Morris Sr. 1 AST)</v>
      </c>
      <c r="K3903" s="2" t="str">
        <f>HYPERLINK("https://www.nba.com/game/...-vs-...-0042000174/play-by-play?watchFullGame=true", "LAC vs DAL - Q1 08:37.00")</f>
        <v>LAC vs DAL - Q1 08:37.00</v>
      </c>
      <c r="L3903">
        <v>0.53</v>
      </c>
      <c r="M3903">
        <v>94.04</v>
      </c>
      <c r="N3903">
        <v>50.8</v>
      </c>
      <c r="O3903">
        <v>94</v>
      </c>
      <c r="P3903">
        <v>50</v>
      </c>
    </row>
    <row r="3904" spans="1:16" x14ac:dyDescent="0.25">
      <c r="A3904">
        <v>22000717</v>
      </c>
      <c r="B3904">
        <v>2020</v>
      </c>
      <c r="C3904" t="s">
        <v>32</v>
      </c>
      <c r="D3904" t="s">
        <v>48</v>
      </c>
      <c r="E3904">
        <v>93</v>
      </c>
      <c r="F3904">
        <v>81</v>
      </c>
      <c r="G3904">
        <v>3</v>
      </c>
      <c r="H3904" s="1">
        <v>7.7546296296296293E-4</v>
      </c>
      <c r="I3904" t="s">
        <v>23</v>
      </c>
      <c r="J3904" s="2" t="str">
        <f>HYPERLINK("https://www.nba.com/stats/events?CFID=&amp;CFPARAMS=&amp;GameEventID=427&amp;GameID=0022000717&amp;Season=2020-21&amp;flag=1&amp;title=Leonard%20tip%20DUNK%20(20%20PTS)", "Tip DUNK (20 PTS)")</f>
        <v>Tip DUNK (20 PTS)</v>
      </c>
      <c r="K3904" s="2" t="str">
        <f>HYPERLINK("https://www.nba.com/game/...-vs-...-0022000717/play-by-play?watchFullGame=true", "LAC vs MIL - Q3 01:07.00")</f>
        <v>LAC vs MIL - Q3 01:07.00</v>
      </c>
      <c r="L3904" t="s">
        <v>82</v>
      </c>
      <c r="M3904">
        <v>94.41</v>
      </c>
      <c r="N3904">
        <v>50</v>
      </c>
      <c r="O3904">
        <v>94</v>
      </c>
      <c r="P3904">
        <v>50</v>
      </c>
    </row>
    <row r="3905" spans="1:16" x14ac:dyDescent="0.25">
      <c r="A3905">
        <v>42000176</v>
      </c>
      <c r="B3905" t="s">
        <v>83</v>
      </c>
      <c r="C3905" t="s">
        <v>32</v>
      </c>
      <c r="D3905" t="s">
        <v>48</v>
      </c>
      <c r="E3905">
        <v>41</v>
      </c>
      <c r="F3905">
        <v>42</v>
      </c>
      <c r="G3905">
        <v>2</v>
      </c>
      <c r="H3905" s="1">
        <v>2.2222222222222222E-3</v>
      </c>
      <c r="I3905" t="s">
        <v>23</v>
      </c>
      <c r="J3905" s="2" t="str">
        <f>HYPERLINK("https://www.nba.com/stats/events?CFID=&amp;CFPARAMS=&amp;GameEventID=272&amp;GameID=0042000176&amp;Season=2020-21&amp;flag=1&amp;title=Leonard%20tip%20DUNK%20(12%20PTS)", "Tip DUNK (12 PTS)")</f>
        <v>Tip DUNK (12 PTS)</v>
      </c>
      <c r="K3905" s="2" t="str">
        <f>HYPERLINK("https://www.nba.com/game/...-vs-...-0042000176/play-by-play?watchFullGame=true", "LAC vs DAL - Q2 03:12.00")</f>
        <v>LAC vs DAL - Q2 03:12.00</v>
      </c>
      <c r="L3905" t="s">
        <v>82</v>
      </c>
      <c r="M3905">
        <v>94.41</v>
      </c>
      <c r="N3905">
        <v>50</v>
      </c>
      <c r="O3905">
        <v>94</v>
      </c>
      <c r="P3905">
        <v>50</v>
      </c>
    </row>
    <row r="3906" spans="1:16" x14ac:dyDescent="0.25">
      <c r="A3906">
        <v>22300708</v>
      </c>
      <c r="B3906">
        <v>2023</v>
      </c>
      <c r="C3906" t="s">
        <v>32</v>
      </c>
      <c r="D3906" t="s">
        <v>47</v>
      </c>
      <c r="E3906">
        <v>47</v>
      </c>
      <c r="F3906">
        <v>50</v>
      </c>
      <c r="G3906">
        <v>3</v>
      </c>
      <c r="H3906" s="1">
        <v>6.2962962962962964E-3</v>
      </c>
      <c r="I3906" t="s">
        <v>23</v>
      </c>
      <c r="J3906" s="2" t="str">
        <f>HYPERLINK("https://www.nba.com/stats/events?CFID=&amp;CFPARAMS=&amp;GameEventID=295&amp;GameID=0022300708&amp;Season=2023-24&amp;flag=1&amp;title=Leonard%20putback%20Layup%20(13%20PTS)", "Putback Layup (13 PTS)")</f>
        <v>Putback Layup (13 PTS)</v>
      </c>
      <c r="K3906" s="2" t="str">
        <f>HYPERLINK("https://www.nba.com/game/...-vs-...-0022300708/play-by-play?watchFullGame=true", "LAC vs MIA - Q3 09:04.00")</f>
        <v>LAC vs MIA - Q3 09:04.00</v>
      </c>
      <c r="L3906" t="s">
        <v>82</v>
      </c>
      <c r="M3906">
        <v>94.41</v>
      </c>
      <c r="N3906">
        <v>50</v>
      </c>
      <c r="O3906">
        <v>94</v>
      </c>
      <c r="P3906">
        <v>50</v>
      </c>
    </row>
    <row r="3907" spans="1:16" x14ac:dyDescent="0.25">
      <c r="A3907">
        <v>22000488</v>
      </c>
      <c r="B3907">
        <v>2020</v>
      </c>
      <c r="C3907" t="s">
        <v>32</v>
      </c>
      <c r="D3907" t="s">
        <v>47</v>
      </c>
      <c r="E3907">
        <v>27</v>
      </c>
      <c r="F3907">
        <v>19</v>
      </c>
      <c r="G3907">
        <v>1</v>
      </c>
      <c r="H3907" s="1">
        <v>1.6435185185185185E-3</v>
      </c>
      <c r="I3907" t="s">
        <v>23</v>
      </c>
      <c r="J3907" s="2" t="str">
        <f>HYPERLINK("https://www.nba.com/stats/events?CFID=&amp;CFPARAMS=&amp;GameEventID=118&amp;GameID=0022000488&amp;Season=2020-21&amp;flag=1&amp;title=Leonard%20tip%20Layup%20(6%20PTS)", "Tip Layup (6 PTS)")</f>
        <v>Tip Layup (6 PTS)</v>
      </c>
      <c r="K3907" s="2" t="str">
        <f>HYPERLINK("https://www.nba.com/game/...-vs-...-0022000488/play-by-play?watchFullGame=true", "LAC vs WAS - Q1 02:22.00")</f>
        <v>LAC vs WAS - Q1 02:22.00</v>
      </c>
      <c r="L3907" t="s">
        <v>82</v>
      </c>
      <c r="M3907">
        <v>94.41</v>
      </c>
      <c r="N3907">
        <v>50</v>
      </c>
      <c r="O3907">
        <v>94</v>
      </c>
      <c r="P3907">
        <v>50</v>
      </c>
    </row>
    <row r="3908" spans="1:16" x14ac:dyDescent="0.25">
      <c r="A3908">
        <v>22000775</v>
      </c>
      <c r="B3908">
        <v>2020</v>
      </c>
      <c r="C3908" t="s">
        <v>32</v>
      </c>
      <c r="D3908" t="s">
        <v>47</v>
      </c>
      <c r="E3908">
        <v>68</v>
      </c>
      <c r="F3908">
        <v>45</v>
      </c>
      <c r="G3908">
        <v>2</v>
      </c>
      <c r="H3908" s="1">
        <v>4.1435185185185186E-3</v>
      </c>
      <c r="I3908" t="s">
        <v>23</v>
      </c>
      <c r="J3908" s="2" t="str">
        <f>HYPERLINK("https://www.nba.com/stats/events?CFID=&amp;CFPARAMS=&amp;GameEventID=259&amp;GameID=0022000775&amp;Season=2020-21&amp;flag=1&amp;title=Leonard%20putback%20Layup%20(11%20PTS)", "Putback Layup (11 PTS)")</f>
        <v>Putback Layup (11 PTS)</v>
      </c>
      <c r="K3908" s="2" t="str">
        <f>HYPERLINK("https://www.nba.com/game/...-vs-...-0022000775/play-by-play?watchFullGame=true", "LAC vs POR - Q2 05:58.00")</f>
        <v>LAC vs POR - Q2 05:58.00</v>
      </c>
      <c r="L3908" t="s">
        <v>82</v>
      </c>
      <c r="M3908">
        <v>94.41</v>
      </c>
      <c r="N3908">
        <v>50</v>
      </c>
      <c r="O3908">
        <v>94</v>
      </c>
      <c r="P3908">
        <v>50</v>
      </c>
    </row>
    <row r="3909" spans="1:16" x14ac:dyDescent="0.25">
      <c r="A3909">
        <v>22000601</v>
      </c>
      <c r="B3909">
        <v>2020</v>
      </c>
      <c r="C3909" t="s">
        <v>32</v>
      </c>
      <c r="D3909" t="s">
        <v>47</v>
      </c>
      <c r="E3909">
        <v>78</v>
      </c>
      <c r="F3909">
        <v>63</v>
      </c>
      <c r="G3909">
        <v>3</v>
      </c>
      <c r="H3909" s="1">
        <v>5.7638888888888887E-3</v>
      </c>
      <c r="I3909" t="s">
        <v>23</v>
      </c>
      <c r="J3909" s="2" t="str">
        <f>HYPERLINK("https://www.nba.com/stats/events?CFID=&amp;CFPARAMS=&amp;GameEventID=367&amp;GameID=0022000601&amp;Season=2020-21&amp;flag=1&amp;title=Leonard%20tip%20Layup%20(20%20PTS)", "Tip Layup (20 PTS)")</f>
        <v>Tip Layup (20 PTS)</v>
      </c>
      <c r="K3909" s="2" t="str">
        <f>HYPERLINK("https://www.nba.com/game/...-vs-...-0022000601/play-by-play?watchFullGame=true", "LAC vs NOP - Q3 08:18.00")</f>
        <v>LAC vs NOP - Q3 08:18.00</v>
      </c>
      <c r="L3909" t="s">
        <v>82</v>
      </c>
      <c r="M3909">
        <v>94.41</v>
      </c>
      <c r="N3909">
        <v>50</v>
      </c>
      <c r="O3909">
        <v>94</v>
      </c>
      <c r="P3909">
        <v>50</v>
      </c>
    </row>
    <row r="3910" spans="1:16" x14ac:dyDescent="0.25">
      <c r="A3910">
        <v>22000717</v>
      </c>
      <c r="B3910">
        <v>2020</v>
      </c>
      <c r="C3910" t="s">
        <v>32</v>
      </c>
      <c r="D3910" t="s">
        <v>48</v>
      </c>
      <c r="E3910">
        <v>70</v>
      </c>
      <c r="F3910">
        <v>64</v>
      </c>
      <c r="G3910">
        <v>3</v>
      </c>
      <c r="H3910" s="1">
        <v>5.2777777777777779E-3</v>
      </c>
      <c r="I3910" t="s">
        <v>23</v>
      </c>
      <c r="J3910" s="2" t="str">
        <f>HYPERLINK("https://www.nba.com/stats/events?CFID=&amp;CFPARAMS=&amp;GameEventID=348&amp;GameID=0022000717&amp;Season=2020-21&amp;flag=1&amp;title=Leonard%20tip%20DUNK%20(18%20PTS)", "Tip DUNK (18 PTS)")</f>
        <v>Tip DUNK (18 PTS)</v>
      </c>
      <c r="K3910" s="2" t="str">
        <f>HYPERLINK("https://www.nba.com/game/...-vs-...-0022000717/play-by-play?watchFullGame=true", "LAC vs MIL - Q3 07:36.00")</f>
        <v>LAC vs MIL - Q3 07:36.00</v>
      </c>
      <c r="L3910" t="s">
        <v>82</v>
      </c>
      <c r="M3910">
        <v>94.41</v>
      </c>
      <c r="N3910">
        <v>50</v>
      </c>
      <c r="O3910">
        <v>94</v>
      </c>
      <c r="P3910">
        <v>50</v>
      </c>
    </row>
    <row r="3911" spans="1:16" x14ac:dyDescent="0.25">
      <c r="A3911">
        <v>22000736</v>
      </c>
      <c r="B3911">
        <v>2020</v>
      </c>
      <c r="C3911" t="s">
        <v>32</v>
      </c>
      <c r="D3911" t="s">
        <v>47</v>
      </c>
      <c r="E3911">
        <v>18</v>
      </c>
      <c r="F3911">
        <v>27</v>
      </c>
      <c r="G3911">
        <v>1</v>
      </c>
      <c r="H3911" s="1">
        <v>1.3194444444444445E-3</v>
      </c>
      <c r="I3911" t="s">
        <v>23</v>
      </c>
      <c r="J3911" s="2" t="str">
        <f>HYPERLINK("https://www.nba.com/stats/events?CFID=&amp;CFPARAMS=&amp;GameEventID=106&amp;GameID=0022000736&amp;Season=2020-21&amp;flag=1&amp;title=Leonard%20tip%20Layup%20(6%20PTS)", "Tip Layup (6 PTS)")</f>
        <v>Tip Layup (6 PTS)</v>
      </c>
      <c r="K3911" s="2" t="str">
        <f>HYPERLINK("https://www.nba.com/game/...-vs-...-0022000736/play-by-play?watchFullGame=true", "LAC vs DEN - Q1 01:54.00")</f>
        <v>LAC vs DEN - Q1 01:54.00</v>
      </c>
      <c r="L3911" t="s">
        <v>82</v>
      </c>
      <c r="M3911">
        <v>94.41</v>
      </c>
      <c r="N3911">
        <v>50</v>
      </c>
      <c r="O3911">
        <v>94</v>
      </c>
      <c r="P3911">
        <v>50</v>
      </c>
    </row>
    <row r="3912" spans="1:16" x14ac:dyDescent="0.25">
      <c r="A3912">
        <v>22300458</v>
      </c>
      <c r="B3912">
        <v>2023</v>
      </c>
      <c r="C3912" t="s">
        <v>32</v>
      </c>
      <c r="D3912" t="s">
        <v>47</v>
      </c>
      <c r="E3912">
        <v>42</v>
      </c>
      <c r="F3912">
        <v>48</v>
      </c>
      <c r="G3912">
        <v>2</v>
      </c>
      <c r="H3912" s="1">
        <v>3.3912037037037036E-3</v>
      </c>
      <c r="I3912" t="s">
        <v>23</v>
      </c>
      <c r="J3912" s="2" t="str">
        <f>HYPERLINK("https://www.nba.com/stats/events?CFID=&amp;CFPARAMS=&amp;GameEventID=234&amp;GameID=0022300458&amp;Season=2023-24&amp;flag=1&amp;title=Leonard%20tip%20Layup%20(9%20PTS)", "Tip Layup (9 PTS)")</f>
        <v>Tip Layup (9 PTS)</v>
      </c>
      <c r="K3912" s="2" t="str">
        <f>HYPERLINK("https://www.nba.com/game/...-vs-...-0022300458/play-by-play?watchFullGame=true", "LAC vs MIA - Q2 04:53.00")</f>
        <v>LAC vs MIA - Q2 04:53.00</v>
      </c>
      <c r="L3912" t="s">
        <v>82</v>
      </c>
      <c r="M3912">
        <v>94.41</v>
      </c>
      <c r="N3912">
        <v>50</v>
      </c>
      <c r="O3912">
        <v>94</v>
      </c>
      <c r="P3912">
        <v>50</v>
      </c>
    </row>
    <row r="3913" spans="1:16" x14ac:dyDescent="0.25">
      <c r="A3913">
        <v>22300848</v>
      </c>
      <c r="B3913">
        <v>2023</v>
      </c>
      <c r="C3913" t="s">
        <v>32</v>
      </c>
      <c r="D3913" t="s">
        <v>47</v>
      </c>
      <c r="E3913">
        <v>30</v>
      </c>
      <c r="F3913">
        <v>29</v>
      </c>
      <c r="G3913">
        <v>1</v>
      </c>
      <c r="H3913" s="1">
        <v>3.472222222222222E-6</v>
      </c>
      <c r="I3913" t="s">
        <v>23</v>
      </c>
      <c r="J3913" s="2" t="str">
        <f>HYPERLINK("https://www.nba.com/stats/events?CFID=&amp;CFPARAMS=&amp;GameEventID=178&amp;GameID=0022300848&amp;Season=2023-24&amp;flag=1&amp;title=Leonard%20tip%20Layup%20(10%20PTS)", "Tip Layup (10 PTS)")</f>
        <v>Tip Layup (10 PTS)</v>
      </c>
      <c r="K3913" s="2" t="str">
        <f>HYPERLINK("https://www.nba.com/game/...-vs-...-0022300848/play-by-play?watchFullGame=true", "LAC vs LAL - Q1 00:00.30")</f>
        <v>LAC vs LAL - Q1 00:00.30</v>
      </c>
      <c r="L3913" t="s">
        <v>82</v>
      </c>
      <c r="M3913">
        <v>94.41</v>
      </c>
      <c r="N3913">
        <v>50</v>
      </c>
      <c r="O3913">
        <v>94</v>
      </c>
      <c r="P3913">
        <v>50</v>
      </c>
    </row>
    <row r="3914" spans="1:16" x14ac:dyDescent="0.25">
      <c r="A3914">
        <v>22300085</v>
      </c>
      <c r="B3914">
        <v>2023</v>
      </c>
      <c r="C3914" t="s">
        <v>32</v>
      </c>
      <c r="D3914" t="s">
        <v>47</v>
      </c>
      <c r="E3914">
        <v>59</v>
      </c>
      <c r="F3914">
        <v>50</v>
      </c>
      <c r="G3914">
        <v>2</v>
      </c>
      <c r="H3914" s="1">
        <v>1.1458333333333333E-3</v>
      </c>
      <c r="I3914" t="s">
        <v>23</v>
      </c>
      <c r="J3914" s="2" t="str">
        <f>HYPERLINK("https://www.nba.com/stats/events?CFID=&amp;CFPARAMS=&amp;GameEventID=302&amp;GameID=0022300085&amp;Season=2023-24&amp;flag=1&amp;title=Leonard%20putback%20Layup%20(12%20PTS)", "Putback Layup (12 PTS)")</f>
        <v>Putback Layup (12 PTS)</v>
      </c>
      <c r="K3914" s="2" t="str">
        <f>HYPERLINK("https://www.nba.com/game/...-vs-...-0022300085/play-by-play?watchFullGame=true", "LAC vs UTA - Q2 01:39.00")</f>
        <v>LAC vs UTA - Q2 01:39.00</v>
      </c>
      <c r="L3914" t="s">
        <v>82</v>
      </c>
      <c r="M3914">
        <v>94.41</v>
      </c>
      <c r="N3914">
        <v>50</v>
      </c>
      <c r="O3914">
        <v>94</v>
      </c>
      <c r="P3914">
        <v>50</v>
      </c>
    </row>
    <row r="3915" spans="1:16" x14ac:dyDescent="0.25">
      <c r="A3915">
        <v>42000173</v>
      </c>
      <c r="B3915" t="s">
        <v>83</v>
      </c>
      <c r="C3915" t="s">
        <v>32</v>
      </c>
      <c r="D3915" t="s">
        <v>47</v>
      </c>
      <c r="E3915">
        <v>52</v>
      </c>
      <c r="F3915">
        <v>55</v>
      </c>
      <c r="G3915">
        <v>2</v>
      </c>
      <c r="H3915" s="1">
        <v>2.8124999999999999E-3</v>
      </c>
      <c r="I3915" t="s">
        <v>23</v>
      </c>
      <c r="J3915" s="2" t="str">
        <f>HYPERLINK("https://www.nba.com/stats/events?CFID=&amp;CFPARAMS=&amp;GameEventID=243&amp;GameID=0042000173&amp;Season=2020-21&amp;flag=1&amp;title=Leonard%20driving%20Layup%20(18%20PTS)%20(T.%20Mann%202%20AST)", "Driving Layup (18 PTS) (T. Mann 2 AST)")</f>
        <v>Driving Layup (18 PTS) (T. Mann 2 AST)</v>
      </c>
      <c r="K3915" s="2" t="str">
        <f>HYPERLINK("https://www.nba.com/game/...-vs-...-0042000173/play-by-play?watchFullGame=true", "LAC vs DAL - Q2 04:03.00")</f>
        <v>LAC vs DAL - Q2 04:03.00</v>
      </c>
      <c r="L3915">
        <v>0.63</v>
      </c>
      <c r="M3915">
        <v>94.04</v>
      </c>
      <c r="N3915">
        <v>51.05</v>
      </c>
      <c r="O3915">
        <v>94</v>
      </c>
      <c r="P3915">
        <v>51</v>
      </c>
    </row>
    <row r="3916" spans="1:16" x14ac:dyDescent="0.25">
      <c r="A3916">
        <v>21401181</v>
      </c>
      <c r="B3916">
        <v>2014</v>
      </c>
      <c r="C3916" t="s">
        <v>32</v>
      </c>
      <c r="D3916" t="s">
        <v>34</v>
      </c>
      <c r="E3916">
        <v>93</v>
      </c>
      <c r="F3916">
        <v>98</v>
      </c>
      <c r="G3916">
        <v>4</v>
      </c>
      <c r="H3916" s="1">
        <v>3.7615740740740739E-3</v>
      </c>
      <c r="I3916" t="s">
        <v>18</v>
      </c>
      <c r="J3916" s="2" t="str">
        <f>HYPERLINK("https://www.nba.com/stats/events?CFID=&amp;CFPARAMS=&amp;GameEventID=554&amp;GameID=0021401181&amp;Season=2014-15&amp;flag=1&amp;title=Leonard%2011'%20Turnaround%20Fadeaway%20(16%20PTS)", "Leonard 11' Turnaround Fadeaway (16 PTS)")</f>
        <v>Leonard 11' Turnaround Fadeaway (16 PTS)</v>
      </c>
      <c r="K3916" s="2" t="str">
        <f>HYPERLINK("https://www.nba.com/game/...-vs-...-0021401181/play-by-play?watchFullGame=true", "SAS vs HOU - Q4 05:25.00")</f>
        <v>SAS vs HOU - Q4 05:25.00</v>
      </c>
      <c r="L3916">
        <v>11</v>
      </c>
      <c r="M3916">
        <v>94</v>
      </c>
      <c r="N3916">
        <v>61</v>
      </c>
      <c r="O3916">
        <v>94</v>
      </c>
      <c r="P3916">
        <v>61</v>
      </c>
    </row>
    <row r="3917" spans="1:16" x14ac:dyDescent="0.25">
      <c r="A3917">
        <v>22400571</v>
      </c>
      <c r="B3917">
        <v>2024</v>
      </c>
      <c r="C3917" t="s">
        <v>32</v>
      </c>
      <c r="D3917" t="s">
        <v>19</v>
      </c>
      <c r="E3917">
        <v>6</v>
      </c>
      <c r="F3917">
        <v>4</v>
      </c>
      <c r="G3917">
        <v>1</v>
      </c>
      <c r="H3917" s="1">
        <v>6.2615740740740739E-3</v>
      </c>
      <c r="I3917" t="s">
        <v>23</v>
      </c>
      <c r="J3917" s="2" t="str">
        <f>HYPERLINK("https://www.nba.com/stats/events?CFID=&amp;CFPARAMS=&amp;GameEventID=33&amp;GameID=0022400571&amp;Season=2024-25&amp;flag=1&amp;title=Leonard%2012'%20pullup%20Jump%20Shot%20(2%20PTS)%20(N.%20Powell%201%20AST)", "12' pullup Jump Shot (2 PTS) (N. Powell 1 AST)")</f>
        <v>12' pullup Jump Shot (2 PTS) (N. Powell 1 AST)</v>
      </c>
      <c r="K3917" s="2" t="str">
        <f>HYPERLINK("https://www.nba.com/game/...-vs-...-0022400571/play-by-play?watchFullGame=true", "LAC vs BKN - Q1 09:01.00")</f>
        <v>LAC vs BKN - Q1 09:01.00</v>
      </c>
      <c r="L3917">
        <v>12.38</v>
      </c>
      <c r="M3917">
        <v>85.89</v>
      </c>
      <c r="N3917">
        <v>68.87</v>
      </c>
      <c r="O3917">
        <v>94</v>
      </c>
      <c r="P3917">
        <v>80</v>
      </c>
    </row>
    <row r="3918" spans="1:16" x14ac:dyDescent="0.25">
      <c r="A3918">
        <v>21601085</v>
      </c>
      <c r="B3918">
        <v>2016</v>
      </c>
      <c r="C3918" t="s">
        <v>32</v>
      </c>
      <c r="D3918" t="s">
        <v>33</v>
      </c>
      <c r="E3918">
        <v>61</v>
      </c>
      <c r="F3918">
        <v>41</v>
      </c>
      <c r="G3918">
        <v>2</v>
      </c>
      <c r="H3918" s="1">
        <v>3.6921296296296295E-4</v>
      </c>
      <c r="I3918" t="s">
        <v>18</v>
      </c>
      <c r="J3918" s="2" t="str">
        <f>HYPERLINK("https://www.nba.com/stats/events?CFID=&amp;CFPARAMS=&amp;GameEventID=245&amp;GameID=0021601085&amp;Season=2016-17&amp;flag=1&amp;title=Leonard%2013'%20Fadeaway%20Jumper%20(18%20PTS)", "Leonard 13' Fadeaway Jumper (18 PTS)")</f>
        <v>Leonard 13' Fadeaway Jumper (18 PTS)</v>
      </c>
      <c r="K3918" s="2" t="str">
        <f>HYPERLINK("https://www.nba.com/game/...-vs-...-0021601085/play-by-play?watchFullGame=true", "SAS vs NYK - Q2 00:31.90")</f>
        <v>SAS vs NYK - Q2 00:31.90</v>
      </c>
      <c r="L3918">
        <v>13</v>
      </c>
      <c r="M3918">
        <v>94</v>
      </c>
      <c r="N3918">
        <v>87</v>
      </c>
      <c r="O3918">
        <v>94</v>
      </c>
      <c r="P3918">
        <v>87</v>
      </c>
    </row>
    <row r="3919" spans="1:16" x14ac:dyDescent="0.25">
      <c r="A3919">
        <v>21400361</v>
      </c>
      <c r="B3919">
        <v>2014</v>
      </c>
      <c r="C3919" t="s">
        <v>32</v>
      </c>
      <c r="D3919" t="s">
        <v>29</v>
      </c>
      <c r="E3919">
        <v>94</v>
      </c>
      <c r="F3919">
        <v>88</v>
      </c>
      <c r="G3919">
        <v>4</v>
      </c>
      <c r="H3919" s="1">
        <v>3.3680555555555556E-3</v>
      </c>
      <c r="I3919" t="s">
        <v>18</v>
      </c>
      <c r="J3919" s="2" t="str">
        <f>HYPERLINK("https://www.nba.com/stats/events?CFID=&amp;CFPARAMS=&amp;GameEventID=447&amp;GameID=0021400361&amp;Season=2014-15&amp;flag=1&amp;title=Leonard%2018'%20Pullup%20Jump%20Shot%20(17%20PTS)", "Leonard 18' Pullup Jump Shot (17 PTS)")</f>
        <v>Leonard 18' Pullup Jump Shot (17 PTS)</v>
      </c>
      <c r="K3919" s="2" t="str">
        <f>HYPERLINK("https://www.nba.com/game/...-vs-...-0021400361/play-by-play?watchFullGame=true", "SAS vs POR - Q4 04:51.00")</f>
        <v>SAS vs POR - Q4 04:51.00</v>
      </c>
      <c r="L3919">
        <v>18</v>
      </c>
      <c r="M3919">
        <v>94</v>
      </c>
      <c r="N3919">
        <v>156</v>
      </c>
      <c r="O3919">
        <v>94</v>
      </c>
      <c r="P3919">
        <v>156</v>
      </c>
    </row>
    <row r="3920" spans="1:16" x14ac:dyDescent="0.25">
      <c r="A3920">
        <v>21500416</v>
      </c>
      <c r="B3920">
        <v>2015</v>
      </c>
      <c r="C3920" t="s">
        <v>32</v>
      </c>
      <c r="D3920" t="s">
        <v>29</v>
      </c>
      <c r="E3920">
        <v>52</v>
      </c>
      <c r="F3920">
        <v>53</v>
      </c>
      <c r="G3920">
        <v>3</v>
      </c>
      <c r="H3920" s="1">
        <v>7.0023148148148145E-3</v>
      </c>
      <c r="I3920" t="s">
        <v>18</v>
      </c>
      <c r="J3920" s="2" t="str">
        <f>HYPERLINK("https://www.nba.com/stats/events?CFID=&amp;CFPARAMS=&amp;GameEventID=251&amp;GameID=0021500416&amp;Season=2015-16&amp;flag=1&amp;title=Leonard%2018'%20Pullup%20Jump%20Shot%20(12%20PTS)", "Leonard 18' Pullup Jump Shot (12 PTS)")</f>
        <v>Leonard 18' Pullup Jump Shot (12 PTS)</v>
      </c>
      <c r="K3920" s="2" t="str">
        <f>HYPERLINK("https://www.nba.com/game/...-vs-...-0021500416/play-by-play?watchFullGame=true", "SAS vs IND - Q3 10:05.00")</f>
        <v>SAS vs IND - Q3 10:05.00</v>
      </c>
      <c r="L3920">
        <v>18</v>
      </c>
      <c r="M3920">
        <v>94</v>
      </c>
      <c r="N3920">
        <v>159</v>
      </c>
      <c r="O3920">
        <v>94</v>
      </c>
      <c r="P3920">
        <v>159</v>
      </c>
    </row>
    <row r="3921" spans="1:16" x14ac:dyDescent="0.25">
      <c r="A3921">
        <v>22200810</v>
      </c>
      <c r="B3921">
        <v>2022</v>
      </c>
      <c r="C3921" t="s">
        <v>32</v>
      </c>
      <c r="D3921" t="s">
        <v>19</v>
      </c>
      <c r="E3921">
        <v>107</v>
      </c>
      <c r="F3921">
        <v>101</v>
      </c>
      <c r="G3921">
        <v>4</v>
      </c>
      <c r="H3921" s="1">
        <v>4.1087962962962962E-3</v>
      </c>
      <c r="I3921" t="s">
        <v>23</v>
      </c>
      <c r="J3921" s="2" t="str">
        <f>HYPERLINK("https://www.nba.com/stats/events?CFID=&amp;CFPARAMS=&amp;GameEventID=573&amp;GameID=0022200810&amp;Season=2022-23&amp;flag=1&amp;title=Leonard%2019'%20pullup%20Jump%20Shot%20(17%20PTS)", "19' pullup Jump Shot (17 PTS)")</f>
        <v>19' pullup Jump Shot (17 PTS)</v>
      </c>
      <c r="K3921" s="2" t="str">
        <f>HYPERLINK("https://www.nba.com/game/...-vs-...-0022200810/play-by-play?watchFullGame=true", "LAC vs BKN - Q4 05:55.00")</f>
        <v>LAC vs BKN - Q4 05:55.00</v>
      </c>
      <c r="L3921">
        <v>19.28</v>
      </c>
      <c r="M3921">
        <v>23.47</v>
      </c>
      <c r="N3921">
        <v>31.13</v>
      </c>
      <c r="O3921">
        <v>94</v>
      </c>
      <c r="P3921">
        <v>168</v>
      </c>
    </row>
    <row r="3922" spans="1:16" x14ac:dyDescent="0.25">
      <c r="A3922">
        <v>41400163</v>
      </c>
      <c r="B3922" t="s">
        <v>28</v>
      </c>
      <c r="C3922" t="s">
        <v>16</v>
      </c>
      <c r="D3922" t="s">
        <v>19</v>
      </c>
      <c r="E3922">
        <v>18</v>
      </c>
      <c r="F3922">
        <v>11</v>
      </c>
      <c r="G3922">
        <v>1</v>
      </c>
      <c r="H3922" s="1">
        <v>3.1828703703703702E-3</v>
      </c>
      <c r="I3922" t="s">
        <v>18</v>
      </c>
      <c r="J3922" s="2" t="str">
        <f>HYPERLINK("https://www.nba.com/stats/events?CFID=&amp;CFPARAMS=&amp;GameEventID=50&amp;GameID=0041400163&amp;Season=2014-15&amp;flag=1&amp;title=Leonard%2026'%203PT%20Jump%20Shot%20(7%20PTS)%20(Diaw%201%20AST)", "Leonard 26' 3PT Jump Shot (7 PTS) (Diaw 1 AST)")</f>
        <v>Leonard 26' 3PT Jump Shot (7 PTS) (Diaw 1 AST)</v>
      </c>
      <c r="K3922" s="2" t="str">
        <f>HYPERLINK("https://www.nba.com/game/...-vs-...-0041400163/play-by-play?watchFullGame=true", "SAS vs LAC - Q1 04:35.00")</f>
        <v>SAS vs LAC - Q1 04:35.00</v>
      </c>
      <c r="L3922">
        <v>26</v>
      </c>
      <c r="M3922">
        <v>94</v>
      </c>
      <c r="N3922">
        <v>244</v>
      </c>
      <c r="O3922">
        <v>94</v>
      </c>
      <c r="P3922">
        <v>244</v>
      </c>
    </row>
    <row r="3923" spans="1:16" x14ac:dyDescent="0.25">
      <c r="A3923">
        <v>22300749</v>
      </c>
      <c r="B3923">
        <v>2023</v>
      </c>
      <c r="C3923" t="s">
        <v>16</v>
      </c>
      <c r="D3923" t="s">
        <v>19</v>
      </c>
      <c r="E3923">
        <v>31</v>
      </c>
      <c r="F3923">
        <v>27</v>
      </c>
      <c r="G3923">
        <v>1</v>
      </c>
      <c r="H3923" s="1">
        <v>3.6805555555555555E-4</v>
      </c>
      <c r="I3923" t="s">
        <v>23</v>
      </c>
      <c r="J3923" s="2" t="str">
        <f>HYPERLINK("https://www.nba.com/stats/events?CFID=&amp;CFPARAMS=&amp;GameEventID=148&amp;GameID=0022300749&amp;Season=2023-24&amp;flag=1&amp;title=Leonard%2026'%203PT%20running%20pullup%20(11%20PTS)", "26' 3PT running pullup (11 PTS)")</f>
        <v>26' 3PT running pullup (11 PTS)</v>
      </c>
      <c r="K3923" s="2" t="str">
        <f>HYPERLINK("https://www.nba.com/game/...-vs-...-0022300749/play-by-play?watchFullGame=true", "LAC vs DET - Q1 00:31.80")</f>
        <v>LAC vs DET - Q1 00:31.80</v>
      </c>
      <c r="L3923">
        <v>26.67</v>
      </c>
      <c r="M3923">
        <v>67.89</v>
      </c>
      <c r="N3923">
        <v>68.87</v>
      </c>
      <c r="O3923">
        <v>94</v>
      </c>
      <c r="P3923">
        <v>249</v>
      </c>
    </row>
    <row r="3924" spans="1:16" x14ac:dyDescent="0.25">
      <c r="A3924">
        <v>22200363</v>
      </c>
      <c r="B3924">
        <v>2022</v>
      </c>
      <c r="C3924" t="s">
        <v>16</v>
      </c>
      <c r="D3924" t="s">
        <v>19</v>
      </c>
      <c r="E3924">
        <v>55</v>
      </c>
      <c r="F3924">
        <v>72</v>
      </c>
      <c r="G3924">
        <v>3</v>
      </c>
      <c r="H3924" s="1">
        <v>2.9050925925925928E-3</v>
      </c>
      <c r="I3924" t="s">
        <v>23</v>
      </c>
      <c r="J3924" s="2" t="str">
        <f>HYPERLINK("https://www.nba.com/stats/events?CFID=&amp;CFPARAMS=&amp;GameEventID=440&amp;GameID=0022200363&amp;Season=2022-23&amp;flag=1&amp;title=Leonard%2028'%203PT%20running%20pullup%20(12%20PTS)", "28' 3PT running pullup (12 PTS)")</f>
        <v>28' 3PT running pullup (12 PTS)</v>
      </c>
      <c r="K3924" s="2" t="str">
        <f>HYPERLINK("https://www.nba.com/game/...-vs-...-0022200363/play-by-play?watchFullGame=true", "LAC vs ORL - Q3 04:11.00")</f>
        <v>LAC vs ORL - Q3 04:11.00</v>
      </c>
      <c r="L3924">
        <v>28.28</v>
      </c>
      <c r="M3924">
        <v>66.05</v>
      </c>
      <c r="N3924">
        <v>68.87</v>
      </c>
      <c r="O3924">
        <v>94</v>
      </c>
      <c r="P3924">
        <v>267</v>
      </c>
    </row>
    <row r="3925" spans="1:16" x14ac:dyDescent="0.25">
      <c r="A3925">
        <v>22300827</v>
      </c>
      <c r="B3925">
        <v>2023</v>
      </c>
      <c r="C3925" t="s">
        <v>32</v>
      </c>
      <c r="D3925" t="s">
        <v>48</v>
      </c>
      <c r="E3925">
        <v>20</v>
      </c>
      <c r="F3925">
        <v>22</v>
      </c>
      <c r="G3925">
        <v>1</v>
      </c>
      <c r="H3925" s="1">
        <v>2.5231481481481481E-3</v>
      </c>
      <c r="I3925" t="s">
        <v>23</v>
      </c>
      <c r="J3925" s="2" t="str">
        <f>HYPERLINK("https://www.nba.com/stats/events?CFID=&amp;CFPARAMS=&amp;GameEventID=105&amp;GameID=0022300827&amp;Season=2023-24&amp;flag=1&amp;title=Leonard%20running%20DUNK%20(4%20PTS)", "Running DUNK (4 PTS)")</f>
        <v>Running DUNK (4 PTS)</v>
      </c>
      <c r="K3925" s="2" t="str">
        <f>HYPERLINK("https://www.nba.com/game/...-vs-...-0022300827/play-by-play?watchFullGame=true", "LAC vs SAC - Q1 03:38.00")</f>
        <v>LAC vs SAC - Q1 03:38.00</v>
      </c>
      <c r="L3925">
        <v>0.85</v>
      </c>
      <c r="M3925">
        <v>95.32</v>
      </c>
      <c r="N3925">
        <v>50</v>
      </c>
      <c r="O3925">
        <v>95</v>
      </c>
      <c r="P3925">
        <v>-8</v>
      </c>
    </row>
    <row r="3926" spans="1:16" x14ac:dyDescent="0.25">
      <c r="A3926">
        <v>21901258</v>
      </c>
      <c r="B3926">
        <v>2019</v>
      </c>
      <c r="C3926" t="s">
        <v>32</v>
      </c>
      <c r="D3926" t="s">
        <v>50</v>
      </c>
      <c r="E3926">
        <v>109</v>
      </c>
      <c r="F3926">
        <v>111</v>
      </c>
      <c r="G3926">
        <v>4</v>
      </c>
      <c r="H3926" s="1">
        <v>1.7592592592592592E-3</v>
      </c>
      <c r="I3926" t="s">
        <v>23</v>
      </c>
      <c r="J3926" s="2" t="str">
        <f>HYPERLINK("https://www.nba.com/stats/events?CFID=&amp;CFPARAMS=&amp;GameEventID=571&amp;GameID=0021901258&amp;Season=2019-20&amp;flag=1&amp;title=Leonard%20layup%20(23%20PTS)", "Layup (23 PTS)")</f>
        <v>Layup (23 PTS)</v>
      </c>
      <c r="K3926" s="2" t="str">
        <f>HYPERLINK("https://www.nba.com/game/...-vs-...-0021901258/play-by-play?watchFullGame=true", "LAC vs PHX - Q4 02:32.00")</f>
        <v>LAC vs PHX - Q4 02:32.00</v>
      </c>
      <c r="L3926" t="s">
        <v>82</v>
      </c>
      <c r="M3926">
        <v>95</v>
      </c>
      <c r="N3926">
        <v>50</v>
      </c>
      <c r="O3926">
        <v>95</v>
      </c>
      <c r="P3926">
        <v>-6</v>
      </c>
    </row>
    <row r="3927" spans="1:16" x14ac:dyDescent="0.25">
      <c r="A3927">
        <v>21900068</v>
      </c>
      <c r="B3927">
        <v>2019</v>
      </c>
      <c r="C3927" t="s">
        <v>32</v>
      </c>
      <c r="D3927" t="s">
        <v>50</v>
      </c>
      <c r="E3927">
        <v>57</v>
      </c>
      <c r="F3927">
        <v>54</v>
      </c>
      <c r="G3927">
        <v>3</v>
      </c>
      <c r="H3927" s="1">
        <v>6.0879629629629626E-3</v>
      </c>
      <c r="I3927" t="s">
        <v>23</v>
      </c>
      <c r="J3927" s="2" t="str">
        <f>HYPERLINK("https://www.nba.com/stats/events?CFID=&amp;CFPARAMS=&amp;GameEventID=368&amp;GameID=0021900068&amp;Season=2019-20&amp;flag=1&amp;title=[LAC]%20Leonard%20layup:%20Made%20(18%20PTS)", "[LAC] Leonard layup: Made (18 PTS)")</f>
        <v>[LAC] Leonard layup: Made (18 PTS)</v>
      </c>
      <c r="K3927" s="2" t="str">
        <f>HYPERLINK("https://www.nba.com/game/...-vs-...-0021900068/play-by-play?watchFullGame=true", "LAC vs SAS - Q3 08:46.00")</f>
        <v>LAC vs SAS - Q3 08:46.00</v>
      </c>
      <c r="L3927" t="s">
        <v>82</v>
      </c>
      <c r="M3927">
        <v>95</v>
      </c>
      <c r="N3927">
        <v>50</v>
      </c>
      <c r="O3927">
        <v>95</v>
      </c>
      <c r="P3927">
        <v>-6</v>
      </c>
    </row>
    <row r="3928" spans="1:16" x14ac:dyDescent="0.25">
      <c r="A3928">
        <v>21900276</v>
      </c>
      <c r="B3928">
        <v>2019</v>
      </c>
      <c r="C3928" t="s">
        <v>32</v>
      </c>
      <c r="D3928" t="s">
        <v>50</v>
      </c>
      <c r="E3928">
        <v>89</v>
      </c>
      <c r="F3928">
        <v>76</v>
      </c>
      <c r="G3928">
        <v>4</v>
      </c>
      <c r="H3928" s="1">
        <v>5.9143518518518521E-3</v>
      </c>
      <c r="I3928" t="s">
        <v>23</v>
      </c>
      <c r="J3928" s="2" t="str">
        <f>HYPERLINK("https://www.nba.com/stats/events?CFID=&amp;CFPARAMS=&amp;GameEventID=552&amp;GameID=0021900276&amp;Season=2019-20&amp;flag=1&amp;title=Leonard%20layup%20(17%20PTS)", "Layup (17 PTS)")</f>
        <v>Layup (17 PTS)</v>
      </c>
      <c r="K3928" s="2" t="str">
        <f>HYPERLINK("https://www.nba.com/game/...-vs-...-0021900276/play-by-play?watchFullGame=true", "LAC vs SAS - Q4 08:31.00")</f>
        <v>LAC vs SAS - Q4 08:31.00</v>
      </c>
      <c r="L3928" t="s">
        <v>82</v>
      </c>
      <c r="M3928">
        <v>95</v>
      </c>
      <c r="N3928">
        <v>50</v>
      </c>
      <c r="O3928">
        <v>95</v>
      </c>
      <c r="P3928">
        <v>-6</v>
      </c>
    </row>
    <row r="3929" spans="1:16" x14ac:dyDescent="0.25">
      <c r="A3929">
        <v>21900653</v>
      </c>
      <c r="B3929">
        <v>2019</v>
      </c>
      <c r="C3929" t="s">
        <v>32</v>
      </c>
      <c r="D3929" t="s">
        <v>22</v>
      </c>
      <c r="E3929">
        <v>69</v>
      </c>
      <c r="F3929">
        <v>79</v>
      </c>
      <c r="G3929">
        <v>3</v>
      </c>
      <c r="H3929" s="1">
        <v>2.4189814814814816E-3</v>
      </c>
      <c r="I3929" t="s">
        <v>23</v>
      </c>
      <c r="J3929" s="2" t="str">
        <f>HYPERLINK("https://www.nba.com/stats/events?CFID=&amp;CFPARAMS=&amp;GameEventID=493&amp;GameID=0021900653&amp;Season=2019-20&amp;flag=1&amp;title=Leonard%2010'%20jumpshot%20(25%20PTS)", "10' jumpshot (25 PTS)")</f>
        <v>10' jumpshot (25 PTS)</v>
      </c>
      <c r="K3929" s="2" t="str">
        <f>HYPERLINK("https://www.nba.com/game/...-vs-...-0021900653/play-by-play?watchFullGame=true", "LAC vs DAL - Q3 03:29.00")</f>
        <v>LAC vs DAL - Q3 03:29.00</v>
      </c>
      <c r="L3929">
        <v>9.5299999999999994</v>
      </c>
      <c r="M3929">
        <v>93.91</v>
      </c>
      <c r="N3929">
        <v>68.94</v>
      </c>
      <c r="O3929">
        <v>95</v>
      </c>
      <c r="P3929">
        <v>5</v>
      </c>
    </row>
    <row r="3930" spans="1:16" x14ac:dyDescent="0.25">
      <c r="A3930">
        <v>21401039</v>
      </c>
      <c r="B3930">
        <v>2014</v>
      </c>
      <c r="C3930" t="s">
        <v>32</v>
      </c>
      <c r="D3930" t="s">
        <v>38</v>
      </c>
      <c r="E3930">
        <v>37</v>
      </c>
      <c r="F3930">
        <v>57</v>
      </c>
      <c r="G3930">
        <v>2</v>
      </c>
      <c r="H3930" s="1">
        <v>9.0277777777777774E-4</v>
      </c>
      <c r="I3930" t="s">
        <v>18</v>
      </c>
      <c r="J3930" s="2" t="str">
        <f>HYPERLINK("https://www.nba.com/stats/events?CFID=&amp;CFPARAMS=&amp;GameEventID=227&amp;GameID=0021401039&amp;Season=2014-15&amp;flag=1&amp;title=Leonard%2010'%20Jump%20Bank%20Shot%20(13%20PTS)", "Leonard 10' Jump Bank Shot (13 PTS)")</f>
        <v>Leonard 10' Jump Bank Shot (13 PTS)</v>
      </c>
      <c r="K3930" s="2" t="str">
        <f>HYPERLINK("https://www.nba.com/game/...-vs-...-0021401039/play-by-play?watchFullGame=true", "SAS vs ATL - Q2 01:18.00")</f>
        <v>SAS vs ATL - Q2 01:18.00</v>
      </c>
      <c r="L3930">
        <v>10</v>
      </c>
      <c r="M3930">
        <v>95</v>
      </c>
      <c r="N3930">
        <v>22</v>
      </c>
      <c r="O3930">
        <v>95</v>
      </c>
      <c r="P3930">
        <v>22</v>
      </c>
    </row>
    <row r="3931" spans="1:16" x14ac:dyDescent="0.25">
      <c r="A3931">
        <v>22000324</v>
      </c>
      <c r="B3931">
        <v>2020</v>
      </c>
      <c r="C3931" t="s">
        <v>32</v>
      </c>
      <c r="D3931" t="s">
        <v>19</v>
      </c>
      <c r="E3931">
        <v>83</v>
      </c>
      <c r="F3931">
        <v>83</v>
      </c>
      <c r="G3931">
        <v>3</v>
      </c>
      <c r="H3931" s="1">
        <v>1.25E-3</v>
      </c>
      <c r="I3931" t="s">
        <v>23</v>
      </c>
      <c r="J3931" s="2" t="str">
        <f>HYPERLINK("https://www.nba.com/stats/events?CFID=&amp;CFPARAMS=&amp;GameEventID=417&amp;GameID=0022000324&amp;Season=2020-21&amp;flag=1&amp;title=Leonard%2018'%20Jump%20Shot%20(22%20PTS)", "18' Jump Shot (22 PTS)")</f>
        <v>18' Jump Shot (22 PTS)</v>
      </c>
      <c r="K3931" s="2" t="str">
        <f>HYPERLINK("https://www.nba.com/game/...-vs-...-0022000324/play-by-play?watchFullGame=true", "LAC vs BKN - Q3 01:48.00")</f>
        <v>LAC vs BKN - Q3 01:48.00</v>
      </c>
      <c r="L3931">
        <v>18.63</v>
      </c>
      <c r="M3931">
        <v>77.349999999999994</v>
      </c>
      <c r="N3931">
        <v>68.94</v>
      </c>
      <c r="O3931">
        <v>95</v>
      </c>
      <c r="P3931">
        <v>160</v>
      </c>
    </row>
    <row r="3932" spans="1:16" x14ac:dyDescent="0.25">
      <c r="A3932">
        <v>41200235</v>
      </c>
      <c r="B3932" t="s">
        <v>27</v>
      </c>
      <c r="C3932" t="s">
        <v>16</v>
      </c>
      <c r="D3932" t="s">
        <v>19</v>
      </c>
      <c r="E3932">
        <v>30</v>
      </c>
      <c r="F3932">
        <v>20</v>
      </c>
      <c r="G3932">
        <v>1</v>
      </c>
      <c r="H3932" s="1">
        <v>1.3657407407407407E-3</v>
      </c>
      <c r="I3932" t="s">
        <v>18</v>
      </c>
      <c r="J3932" s="2" t="str">
        <f>HYPERLINK("https://www.nba.com/stats/events?CFID=&amp;CFPARAMS=&amp;GameEventID=86&amp;GameID=0041200235&amp;Season=2012-13&amp;flag=1&amp;title=Leonard%2024'%203PT%20Jump%20Shot%20(7%20PTS)%20(Joseph%201%20AST)", "Leonard 24' 3PT Jump Shot (7 PTS) (Joseph 1 AST)")</f>
        <v>Leonard 24' 3PT Jump Shot (7 PTS) (Joseph 1 AST)</v>
      </c>
      <c r="K3932" s="2" t="str">
        <f>HYPERLINK("https://www.nba.com/game/...-vs-...-0041200235/play-by-play?watchFullGame=true", "SAS vs GSW - Q1 01:58.00")</f>
        <v>SAS vs GSW - Q1 01:58.00</v>
      </c>
      <c r="L3932">
        <v>24</v>
      </c>
      <c r="M3932">
        <v>95</v>
      </c>
      <c r="N3932">
        <v>224</v>
      </c>
      <c r="O3932">
        <v>95</v>
      </c>
      <c r="P3932">
        <v>224</v>
      </c>
    </row>
    <row r="3933" spans="1:16" x14ac:dyDescent="0.25">
      <c r="A3933">
        <v>22000644</v>
      </c>
      <c r="B3933">
        <v>2020</v>
      </c>
      <c r="C3933" t="s">
        <v>32</v>
      </c>
      <c r="D3933" t="s">
        <v>19</v>
      </c>
      <c r="E3933">
        <v>21</v>
      </c>
      <c r="F3933">
        <v>10</v>
      </c>
      <c r="G3933">
        <v>1</v>
      </c>
      <c r="H3933" s="1">
        <v>3.8310185185185183E-3</v>
      </c>
      <c r="I3933" t="s">
        <v>23</v>
      </c>
      <c r="J3933" s="2" t="str">
        <f>HYPERLINK("https://www.nba.com/stats/events?CFID=&amp;CFPARAMS=&amp;GameEventID=56&amp;GameID=0022000644&amp;Season=2020-21&amp;flag=1&amp;title=Leonard%209'%20turnaround%20fadeaway%20Jump%20Shot%20(2%20PTS)", "9' turnaround fadeaway Jump Shot (2 PTS)")</f>
        <v>9' turnaround fadeaway Jump Shot (2 PTS)</v>
      </c>
      <c r="K3933" s="2" t="str">
        <f>HYPERLINK("https://www.nba.com/game/...-vs-...-0022000644/play-by-play?watchFullGame=true", "LAC vs CHA - Q1 05:31.00")</f>
        <v>LAC vs CHA - Q1 05:31.00</v>
      </c>
      <c r="L3933">
        <v>9.6</v>
      </c>
      <c r="M3933">
        <v>94.83</v>
      </c>
      <c r="N3933">
        <v>69.19</v>
      </c>
      <c r="O3933">
        <v>96</v>
      </c>
      <c r="P3933">
        <v>-4</v>
      </c>
    </row>
    <row r="3934" spans="1:16" x14ac:dyDescent="0.25">
      <c r="A3934">
        <v>22300235</v>
      </c>
      <c r="B3934">
        <v>2023</v>
      </c>
      <c r="C3934" t="s">
        <v>32</v>
      </c>
      <c r="D3934" t="s">
        <v>19</v>
      </c>
      <c r="E3934">
        <v>93</v>
      </c>
      <c r="F3934">
        <v>102</v>
      </c>
      <c r="G3934">
        <v>4</v>
      </c>
      <c r="H3934" s="1">
        <v>1.7592592592592592E-3</v>
      </c>
      <c r="I3934" t="s">
        <v>23</v>
      </c>
      <c r="J3934" s="2" t="str">
        <f>HYPERLINK("https://www.nba.com/stats/events?CFID=&amp;CFPARAMS=&amp;GameEventID=643&amp;GameID=0022300235&amp;Season=2023-24&amp;flag=1&amp;title=Leonard%209'%20turnaround%20fadeaway%20Jump%20Shot%20(26%20PTS)", "9' turnaround fadeaway Jump Shot (26 PTS)")</f>
        <v>9' turnaround fadeaway Jump Shot (26 PTS)</v>
      </c>
      <c r="K3934" s="2" t="str">
        <f>HYPERLINK("https://www.nba.com/game/...-vs-...-0022300235/play-by-play?watchFullGame=true", "LAC vs SAS - Q4 02:32.00")</f>
        <v>LAC vs SAS - Q4 02:32.00</v>
      </c>
      <c r="L3934">
        <v>9.82</v>
      </c>
      <c r="M3934">
        <v>7.97</v>
      </c>
      <c r="N3934">
        <v>30.88</v>
      </c>
      <c r="O3934">
        <v>96</v>
      </c>
      <c r="P3934">
        <v>22</v>
      </c>
    </row>
    <row r="3935" spans="1:16" x14ac:dyDescent="0.25">
      <c r="A3935">
        <v>21900090</v>
      </c>
      <c r="B3935">
        <v>2019</v>
      </c>
      <c r="C3935" t="s">
        <v>32</v>
      </c>
      <c r="D3935" t="s">
        <v>22</v>
      </c>
      <c r="E3935">
        <v>51</v>
      </c>
      <c r="F3935">
        <v>56</v>
      </c>
      <c r="G3935">
        <v>3</v>
      </c>
      <c r="H3935" s="1">
        <v>3.7384259259259259E-3</v>
      </c>
      <c r="I3935" t="s">
        <v>23</v>
      </c>
      <c r="J3935" s="2" t="str">
        <f>HYPERLINK("https://www.nba.com/stats/events?CFID=&amp;CFPARAMS=&amp;GameEventID=426&amp;GameID=0021900090&amp;Season=2019-20&amp;flag=1&amp;title=[LAC]%20Leonard%20jumpshot:%20Made%20(12%20PTS)", "[LAC] Leonard jumpshot: Made (12 PTS)")</f>
        <v>[LAC] Leonard jumpshot: Made (12 PTS)</v>
      </c>
      <c r="K3935" s="2" t="str">
        <f>HYPERLINK("https://www.nba.com/game/...-vs-...-0021900090/play-by-play?watchFullGame=true", "LAC vs UTA - Q3 05:23.00")</f>
        <v>LAC vs UTA - Q3 05:23.00</v>
      </c>
      <c r="L3935">
        <v>14.78</v>
      </c>
      <c r="M3935">
        <v>83.1</v>
      </c>
      <c r="N3935">
        <v>69.290000000000006</v>
      </c>
      <c r="O3935">
        <v>96</v>
      </c>
      <c r="P3935">
        <v>106</v>
      </c>
    </row>
    <row r="3936" spans="1:16" x14ac:dyDescent="0.25">
      <c r="A3936">
        <v>21600053</v>
      </c>
      <c r="B3936">
        <v>2016</v>
      </c>
      <c r="C3936" t="s">
        <v>32</v>
      </c>
      <c r="D3936" t="s">
        <v>29</v>
      </c>
      <c r="E3936">
        <v>46</v>
      </c>
      <c r="F3936">
        <v>47</v>
      </c>
      <c r="G3936">
        <v>2</v>
      </c>
      <c r="H3936" s="1">
        <v>2.5925925925925925E-3</v>
      </c>
      <c r="I3936" t="s">
        <v>18</v>
      </c>
      <c r="J3936" s="2" t="str">
        <f>HYPERLINK("https://www.nba.com/stats/events?CFID=&amp;CFPARAMS=&amp;GameEventID=189&amp;GameID=0021600053&amp;Season=2016-17&amp;flag=1&amp;title=Leonard%2016'%20Pullup%20Jump%20Shot%20(18%20PTS)", "Leonard 16' Pullup Jump Shot (18 PTS)")</f>
        <v>Leonard 16' Pullup Jump Shot (18 PTS)</v>
      </c>
      <c r="K3936" s="2" t="str">
        <f>HYPERLINK("https://www.nba.com/game/...-vs-...-0021600053/play-by-play?watchFullGame=true", "SAS vs UTA - Q2 03:44.00")</f>
        <v>SAS vs UTA - Q2 03:44.00</v>
      </c>
      <c r="L3936">
        <v>16</v>
      </c>
      <c r="M3936">
        <v>96</v>
      </c>
      <c r="N3936">
        <v>129</v>
      </c>
      <c r="O3936">
        <v>96</v>
      </c>
      <c r="P3936">
        <v>129</v>
      </c>
    </row>
    <row r="3937" spans="1:16" x14ac:dyDescent="0.25">
      <c r="A3937">
        <v>21600639</v>
      </c>
      <c r="B3937">
        <v>2016</v>
      </c>
      <c r="C3937" t="s">
        <v>32</v>
      </c>
      <c r="D3937" t="s">
        <v>29</v>
      </c>
      <c r="E3937">
        <v>39</v>
      </c>
      <c r="F3937">
        <v>37</v>
      </c>
      <c r="G3937">
        <v>2</v>
      </c>
      <c r="H3937" s="1">
        <v>4.2476851851851851E-3</v>
      </c>
      <c r="I3937" t="s">
        <v>18</v>
      </c>
      <c r="J3937" s="2" t="str">
        <f>HYPERLINK("https://www.nba.com/stats/events?CFID=&amp;CFPARAMS=&amp;GameEventID=186&amp;GameID=0021600639&amp;Season=2016-17&amp;flag=1&amp;title=Leonard%2016'%20Pullup%20Jump%20Shot%20(9%20PTS)%20(Ginobili%202%20AST)", "Leonard 16' Pullup Jump Shot (9 PTS) (Ginobili 2 AST)")</f>
        <v>Leonard 16' Pullup Jump Shot (9 PTS) (Ginobili 2 AST)</v>
      </c>
      <c r="K3937" s="2" t="str">
        <f>HYPERLINK("https://www.nba.com/game/...-vs-...-0021600639/play-by-play?watchFullGame=true", "SAS vs DEN - Q2 06:07.00")</f>
        <v>SAS vs DEN - Q2 06:07.00</v>
      </c>
      <c r="L3937">
        <v>16</v>
      </c>
      <c r="M3937">
        <v>96</v>
      </c>
      <c r="N3937">
        <v>134</v>
      </c>
      <c r="O3937">
        <v>96</v>
      </c>
      <c r="P3937">
        <v>134</v>
      </c>
    </row>
    <row r="3938" spans="1:16" x14ac:dyDescent="0.25">
      <c r="A3938">
        <v>22300749</v>
      </c>
      <c r="B3938">
        <v>2023</v>
      </c>
      <c r="C3938" t="s">
        <v>32</v>
      </c>
      <c r="D3938" t="s">
        <v>19</v>
      </c>
      <c r="E3938">
        <v>16</v>
      </c>
      <c r="F3938">
        <v>14</v>
      </c>
      <c r="G3938">
        <v>1</v>
      </c>
      <c r="H3938" s="1">
        <v>3.4375E-3</v>
      </c>
      <c r="I3938" t="s">
        <v>23</v>
      </c>
      <c r="J3938" s="2" t="str">
        <f>HYPERLINK("https://www.nba.com/stats/events?CFID=&amp;CFPARAMS=&amp;GameEventID=85&amp;GameID=0022300749&amp;Season=2023-24&amp;flag=1&amp;title=Leonard%2016'%20fadeaway%20Jump%20Shot%20(5%20PTS)", "16' fadeaway Jump Shot (5 PTS)")</f>
        <v>16' fadeaway Jump Shot (5 PTS)</v>
      </c>
      <c r="K3938" s="2" t="str">
        <f>HYPERLINK("https://www.nba.com/game/...-vs-...-0022300749/play-by-play?watchFullGame=true", "LAC vs DET - Q1 04:57.00")</f>
        <v>LAC vs DET - Q1 04:57.00</v>
      </c>
      <c r="L3938">
        <v>16.71</v>
      </c>
      <c r="M3938">
        <v>79.849999999999994</v>
      </c>
      <c r="N3938">
        <v>69.12</v>
      </c>
      <c r="O3938">
        <v>96</v>
      </c>
      <c r="P3938">
        <v>137</v>
      </c>
    </row>
    <row r="3939" spans="1:16" x14ac:dyDescent="0.25">
      <c r="A3939">
        <v>22201096</v>
      </c>
      <c r="B3939">
        <v>2022</v>
      </c>
      <c r="C3939" t="s">
        <v>32</v>
      </c>
      <c r="D3939" t="s">
        <v>19</v>
      </c>
      <c r="E3939">
        <v>24</v>
      </c>
      <c r="F3939">
        <v>22</v>
      </c>
      <c r="G3939">
        <v>1</v>
      </c>
      <c r="H3939" s="1">
        <v>1.9675925925925924E-3</v>
      </c>
      <c r="I3939" t="s">
        <v>23</v>
      </c>
      <c r="J3939" s="2" t="str">
        <f>HYPERLINK("https://www.nba.com/stats/events?CFID=&amp;CFPARAMS=&amp;GameEventID=111&amp;GameID=0022201096&amp;Season=2022-23&amp;flag=1&amp;title=Leonard%2017'%20pullup%20Jump%20Shot%20(10%20PTS)", "17' pullup Jump Shot (10 PTS)")</f>
        <v>17' pullup Jump Shot (10 PTS)</v>
      </c>
      <c r="K3939" s="2" t="str">
        <f>HYPERLINK("https://www.nba.com/game/...-vs-...-0022201096/play-by-play?watchFullGame=true", "LAC vs OKC - Q1 02:50.00")</f>
        <v>LAC vs OKC - Q1 02:50.00</v>
      </c>
      <c r="L3939">
        <v>17.75</v>
      </c>
      <c r="M3939">
        <v>78.5</v>
      </c>
      <c r="N3939">
        <v>69.12</v>
      </c>
      <c r="O3939">
        <v>96</v>
      </c>
      <c r="P3939">
        <v>150</v>
      </c>
    </row>
    <row r="3940" spans="1:16" x14ac:dyDescent="0.25">
      <c r="A3940">
        <v>21600086</v>
      </c>
      <c r="B3940">
        <v>2016</v>
      </c>
      <c r="C3940" t="s">
        <v>32</v>
      </c>
      <c r="D3940" t="s">
        <v>19</v>
      </c>
      <c r="E3940">
        <v>10</v>
      </c>
      <c r="F3940">
        <v>5</v>
      </c>
      <c r="G3940">
        <v>1</v>
      </c>
      <c r="H3940" s="1">
        <v>6.3888888888888893E-3</v>
      </c>
      <c r="I3940" t="s">
        <v>18</v>
      </c>
      <c r="J3940" s="2" t="str">
        <f>HYPERLINK("https://www.nba.com/stats/events?CFID=&amp;CFPARAMS=&amp;GameEventID=25&amp;GameID=0021600086&amp;Season=2016-17&amp;flag=1&amp;title=Leonard%2020'%20Jump%20Shot%20(4%20PTS)%20(Mills%201%20AST)", "Leonard 20' Jump Shot (4 PTS) (Mills 1 AST)")</f>
        <v>Leonard 20' Jump Shot (4 PTS) (Mills 1 AST)</v>
      </c>
      <c r="K3940" s="2" t="str">
        <f>HYPERLINK("https://www.nba.com/game/...-vs-...-0021600086/play-by-play?watchFullGame=true", "SAS vs LAC - Q1 09:12.00")</f>
        <v>SAS vs LAC - Q1 09:12.00</v>
      </c>
      <c r="L3940">
        <v>20</v>
      </c>
      <c r="M3940">
        <v>96</v>
      </c>
      <c r="N3940">
        <v>178</v>
      </c>
      <c r="O3940">
        <v>96</v>
      </c>
      <c r="P3940">
        <v>178</v>
      </c>
    </row>
    <row r="3941" spans="1:16" x14ac:dyDescent="0.25">
      <c r="A3941">
        <v>22200745</v>
      </c>
      <c r="B3941">
        <v>2022</v>
      </c>
      <c r="C3941" t="s">
        <v>16</v>
      </c>
      <c r="D3941" t="s">
        <v>19</v>
      </c>
      <c r="E3941">
        <v>68</v>
      </c>
      <c r="F3941">
        <v>74</v>
      </c>
      <c r="G3941">
        <v>3</v>
      </c>
      <c r="H3941" s="1">
        <v>4.1087962962962962E-3</v>
      </c>
      <c r="I3941" t="s">
        <v>23</v>
      </c>
      <c r="J3941" s="2" t="str">
        <f>HYPERLINK("https://www.nba.com/stats/events?CFID=&amp;CFPARAMS=&amp;GameEventID=352&amp;GameID=0022200745&amp;Season=2022-23&amp;flag=1&amp;title=Leonard%2024'%203PT%20step%20back%20(17%20PTS)%20(P.%20George%206%20AST)", "24' 3PT step back (17 PTS) (P. George 6 AST)")</f>
        <v>24' 3PT step back (17 PTS) (P. George 6 AST)</v>
      </c>
      <c r="K3941" s="2" t="str">
        <f>HYPERLINK("https://www.nba.com/game/...-vs-...-0022200745/play-by-play?watchFullGame=true", "LAC vs ATL - Q3 05:55.00")</f>
        <v>LAC vs ATL - Q3 05:55.00</v>
      </c>
      <c r="L3941">
        <v>24.9</v>
      </c>
      <c r="M3941">
        <v>30.04</v>
      </c>
      <c r="N3941">
        <v>30.88</v>
      </c>
      <c r="O3941">
        <v>96</v>
      </c>
      <c r="P3941">
        <v>230</v>
      </c>
    </row>
    <row r="3942" spans="1:16" x14ac:dyDescent="0.25">
      <c r="A3942">
        <v>41600231</v>
      </c>
      <c r="B3942" t="s">
        <v>30</v>
      </c>
      <c r="C3942" t="s">
        <v>16</v>
      </c>
      <c r="D3942" t="s">
        <v>29</v>
      </c>
      <c r="E3942">
        <v>21</v>
      </c>
      <c r="F3942">
        <v>28</v>
      </c>
      <c r="G3942">
        <v>1</v>
      </c>
      <c r="H3942" s="1">
        <v>9.2592592592592596E-4</v>
      </c>
      <c r="I3942" t="s">
        <v>18</v>
      </c>
      <c r="J3942" s="2" t="str">
        <f>HYPERLINK("https://www.nba.com/stats/events?CFID=&amp;CFPARAMS=&amp;GameEventID=100&amp;GameID=0041600231&amp;Season=2016-17&amp;flag=1&amp;title=Leonard%2025'%203PT%20Pullup%20Jump%20Shot%20(10%20PTS)", "Leonard 25' 3PT Pullup Jump Shot (10 PTS)")</f>
        <v>Leonard 25' 3PT Pullup Jump Shot (10 PTS)</v>
      </c>
      <c r="K3942" s="2" t="str">
        <f>HYPERLINK("https://www.nba.com/game/...-vs-...-0041600231/play-by-play?watchFullGame=true", "SAS vs HOU - Q1 01:20.00")</f>
        <v>SAS vs HOU - Q1 01:20.00</v>
      </c>
      <c r="L3942">
        <v>25</v>
      </c>
      <c r="M3942">
        <v>96</v>
      </c>
      <c r="N3942">
        <v>232</v>
      </c>
      <c r="O3942">
        <v>96</v>
      </c>
      <c r="P3942">
        <v>232</v>
      </c>
    </row>
    <row r="3943" spans="1:16" x14ac:dyDescent="0.25">
      <c r="A3943">
        <v>22200408</v>
      </c>
      <c r="B3943">
        <v>2022</v>
      </c>
      <c r="C3943" t="s">
        <v>16</v>
      </c>
      <c r="D3943" t="s">
        <v>19</v>
      </c>
      <c r="E3943">
        <v>61</v>
      </c>
      <c r="F3943">
        <v>48</v>
      </c>
      <c r="G3943">
        <v>3</v>
      </c>
      <c r="H3943" s="1">
        <v>7.3495370370370372E-3</v>
      </c>
      <c r="I3943" t="s">
        <v>23</v>
      </c>
      <c r="J3943" s="2" t="str">
        <f>HYPERLINK("https://www.nba.com/stats/events?CFID=&amp;CFPARAMS=&amp;GameEventID=361&amp;GameID=0022200408&amp;Season=2022-23&amp;flag=1&amp;title=Leonard%2026'%203PT%20running%20pullup%20(13%20PTS)", "26' 3PT running pullup (13 PTS)")</f>
        <v>26' 3PT running pullup (13 PTS)</v>
      </c>
      <c r="K3943" s="2" t="str">
        <f>HYPERLINK("https://www.nba.com/game/...-vs-...-0022200408/play-by-play?watchFullGame=true", "LAC vs BOS - Q3 10:35.00")</f>
        <v>LAC vs BOS - Q3 10:35.00</v>
      </c>
      <c r="L3943">
        <v>26.93</v>
      </c>
      <c r="M3943">
        <v>32.380000000000003</v>
      </c>
      <c r="N3943">
        <v>30.88</v>
      </c>
      <c r="O3943">
        <v>96</v>
      </c>
      <c r="P3943">
        <v>252</v>
      </c>
    </row>
    <row r="3944" spans="1:16" x14ac:dyDescent="0.25">
      <c r="A3944">
        <v>22300127</v>
      </c>
      <c r="B3944">
        <v>2023</v>
      </c>
      <c r="C3944" t="s">
        <v>32</v>
      </c>
      <c r="D3944" t="s">
        <v>19</v>
      </c>
      <c r="E3944">
        <v>63</v>
      </c>
      <c r="F3944">
        <v>74</v>
      </c>
      <c r="G3944">
        <v>3</v>
      </c>
      <c r="H3944" s="1">
        <v>5.4166666666666669E-3</v>
      </c>
      <c r="I3944" t="s">
        <v>23</v>
      </c>
      <c r="J3944" s="2" t="str">
        <f>HYPERLINK("https://www.nba.com/stats/events?CFID=&amp;CFPARAMS=&amp;GameEventID=374&amp;GameID=0022300127&amp;Season=2023-24&amp;flag=1&amp;title=Leonard%209'%20pullup%20Jump%20Shot%20(26%20PTS)", "9' pullup Jump Shot (26 PTS)")</f>
        <v>9' pullup Jump Shot (26 PTS)</v>
      </c>
      <c r="K3944" s="2" t="str">
        <f>HYPERLINK("https://www.nba.com/game/...-vs-...-0022300127/play-by-play?watchFullGame=true", "LAC vs LAL - Q3 07:48.00")</f>
        <v>LAC vs LAL - Q3 07:48.00</v>
      </c>
      <c r="L3944">
        <v>9.69</v>
      </c>
      <c r="M3944">
        <v>5.78</v>
      </c>
      <c r="N3944">
        <v>30.61</v>
      </c>
      <c r="O3944">
        <v>97</v>
      </c>
      <c r="P3944">
        <v>2</v>
      </c>
    </row>
    <row r="3945" spans="1:16" x14ac:dyDescent="0.25">
      <c r="A3945">
        <v>22200885</v>
      </c>
      <c r="B3945">
        <v>2022</v>
      </c>
      <c r="C3945" t="s">
        <v>32</v>
      </c>
      <c r="D3945" t="s">
        <v>19</v>
      </c>
      <c r="E3945">
        <v>105</v>
      </c>
      <c r="F3945">
        <v>115</v>
      </c>
      <c r="G3945">
        <v>4</v>
      </c>
      <c r="H3945" s="1">
        <v>6.5972222222222224E-4</v>
      </c>
      <c r="I3945" t="s">
        <v>23</v>
      </c>
      <c r="J3945" s="2" t="str">
        <f>HYPERLINK("https://www.nba.com/stats/events?CFID=&amp;CFPARAMS=&amp;GameEventID=658&amp;GameID=0022200885&amp;Season=2022-23&amp;flag=1&amp;title=Leonard%2010'%20floating%20Jump%20Shot%20(15%20PTS)", "10' floating Jump Shot (15 PTS)")</f>
        <v>10' floating Jump Shot (15 PTS)</v>
      </c>
      <c r="K3945" s="2" t="str">
        <f>HYPERLINK("https://www.nba.com/game/...-vs-...-0022200885/play-by-play?watchFullGame=true", "LAC vs PHX - Q4 00:57.00")</f>
        <v>LAC vs PHX - Q4 00:57.00</v>
      </c>
      <c r="L3945">
        <v>10</v>
      </c>
      <c r="M3945">
        <v>8.23</v>
      </c>
      <c r="N3945">
        <v>30.64</v>
      </c>
      <c r="O3945">
        <v>97</v>
      </c>
      <c r="P3945">
        <v>25</v>
      </c>
    </row>
    <row r="3946" spans="1:16" x14ac:dyDescent="0.25">
      <c r="A3946">
        <v>41800217</v>
      </c>
      <c r="B3946" t="s">
        <v>20</v>
      </c>
      <c r="C3946" t="s">
        <v>32</v>
      </c>
      <c r="D3946" t="s">
        <v>35</v>
      </c>
      <c r="E3946">
        <v>84</v>
      </c>
      <c r="F3946">
        <v>80</v>
      </c>
      <c r="G3946">
        <v>4</v>
      </c>
      <c r="H3946" s="1">
        <v>3.3333333333333335E-3</v>
      </c>
      <c r="I3946" t="s">
        <v>21</v>
      </c>
      <c r="J3946" s="2" t="str">
        <f>HYPERLINK("https://www.nba.com/stats/events?CFID=&amp;CFPARAMS=&amp;GameEventID=534&amp;GameID=0041800217&amp;Season=2018-19&amp;flag=1&amp;title=Leonard%2010'%20Driving%20Floating%20Jump%20Shot%20(35%20PTS)", "Leonard 10' Driving Floating Jump Shot (35 PTS)")</f>
        <v>Leonard 10' Driving Floating Jump Shot (35 PTS)</v>
      </c>
      <c r="K3946" s="2" t="str">
        <f>HYPERLINK("https://www.nba.com/game/...-vs-...-0041800217/play-by-play?watchFullGame=true", "TOR vs PHI - Q4 04:48.00")</f>
        <v>TOR vs PHI - Q4 04:48.00</v>
      </c>
      <c r="L3946">
        <v>10</v>
      </c>
      <c r="M3946">
        <v>97</v>
      </c>
      <c r="N3946">
        <v>26</v>
      </c>
      <c r="O3946">
        <v>97</v>
      </c>
      <c r="P3946">
        <v>26</v>
      </c>
    </row>
    <row r="3947" spans="1:16" x14ac:dyDescent="0.25">
      <c r="A3947">
        <v>22200745</v>
      </c>
      <c r="B3947">
        <v>2022</v>
      </c>
      <c r="C3947" t="s">
        <v>32</v>
      </c>
      <c r="D3947" t="s">
        <v>19</v>
      </c>
      <c r="E3947">
        <v>68</v>
      </c>
      <c r="F3947">
        <v>76</v>
      </c>
      <c r="G3947">
        <v>3</v>
      </c>
      <c r="H3947" s="1">
        <v>3.5763888888888889E-3</v>
      </c>
      <c r="I3947" t="s">
        <v>23</v>
      </c>
      <c r="J3947" s="2" t="str">
        <f>HYPERLINK("https://www.nba.com/stats/events?CFID=&amp;CFPARAMS=&amp;GameEventID=358&amp;GameID=0022200745&amp;Season=2022-23&amp;flag=1&amp;title=Leonard%2014'%20pullup%20Jump%20Shot%20(19%20PTS)", "14' pullup Jump Shot (19 PTS)")</f>
        <v>14' pullup Jump Shot (19 PTS)</v>
      </c>
      <c r="K3947" s="2" t="str">
        <f>HYPERLINK("https://www.nba.com/game/...-vs-...-0022200745/play-by-play?watchFullGame=true", "LAC vs ATL - Q3 05:09.00")</f>
        <v>LAC vs ATL - Q3 05:09.00</v>
      </c>
      <c r="L3947">
        <v>14.85</v>
      </c>
      <c r="M3947">
        <v>17.559999999999999</v>
      </c>
      <c r="N3947">
        <v>30.64</v>
      </c>
      <c r="O3947">
        <v>97</v>
      </c>
      <c r="P3947">
        <v>113</v>
      </c>
    </row>
    <row r="3948" spans="1:16" x14ac:dyDescent="0.25">
      <c r="A3948">
        <v>41200153</v>
      </c>
      <c r="B3948" t="s">
        <v>27</v>
      </c>
      <c r="C3948" t="s">
        <v>32</v>
      </c>
      <c r="D3948" t="s">
        <v>29</v>
      </c>
      <c r="E3948">
        <v>0</v>
      </c>
      <c r="F3948">
        <v>2</v>
      </c>
      <c r="G3948">
        <v>1</v>
      </c>
      <c r="H3948" s="1">
        <v>8.0439814814814818E-3</v>
      </c>
      <c r="I3948" t="s">
        <v>18</v>
      </c>
      <c r="J3948" s="2" t="str">
        <f>HYPERLINK("https://www.nba.com/stats/events?CFID=&amp;CFPARAMS=&amp;GameEventID=3&amp;GameID=0041200153&amp;Season=2012-13&amp;flag=1&amp;title=Leonard%2017'%20Pullup%20Jump%20Shot%20(2%20PTS)", "Leonard 17' Pullup Jump Shot (2 PTS)")</f>
        <v>Leonard 17' Pullup Jump Shot (2 PTS)</v>
      </c>
      <c r="K3948" s="2" t="str">
        <f>HYPERLINK("https://www.nba.com/game/...-vs-...-0041200153/play-by-play?watchFullGame=true", "SAS vs LAL - Q1 11:35.00")</f>
        <v>SAS vs LAL - Q1 11:35.00</v>
      </c>
      <c r="L3948">
        <v>17</v>
      </c>
      <c r="M3948">
        <v>97</v>
      </c>
      <c r="N3948">
        <v>135</v>
      </c>
      <c r="O3948">
        <v>97</v>
      </c>
      <c r="P3948">
        <v>135</v>
      </c>
    </row>
    <row r="3949" spans="1:16" x14ac:dyDescent="0.25">
      <c r="A3949">
        <v>21301054</v>
      </c>
      <c r="B3949">
        <v>2013</v>
      </c>
      <c r="C3949" t="s">
        <v>32</v>
      </c>
      <c r="D3949" t="s">
        <v>19</v>
      </c>
      <c r="E3949">
        <v>64</v>
      </c>
      <c r="F3949">
        <v>49</v>
      </c>
      <c r="G3949">
        <v>3</v>
      </c>
      <c r="H3949" s="1">
        <v>6.5740740740740742E-3</v>
      </c>
      <c r="I3949" t="s">
        <v>18</v>
      </c>
      <c r="J3949" s="2" t="str">
        <f>HYPERLINK("https://www.nba.com/stats/events?CFID=&amp;CFPARAMS=&amp;GameEventID=264&amp;GameID=0021301054&amp;Season=2013-14&amp;flag=1&amp;title=Leonard%2018'%20Jump%20Shot%20(10%20PTS)", "Leonard 18' Jump Shot (10 PTS)")</f>
        <v>Leonard 18' Jump Shot (10 PTS)</v>
      </c>
      <c r="K3949" s="2" t="str">
        <f>HYPERLINK("https://www.nba.com/game/...-vs-...-0021301054/play-by-play?watchFullGame=true", "SAS vs PHI - Q3 09:28.00")</f>
        <v>SAS vs PHI - Q3 09:28.00</v>
      </c>
      <c r="L3949">
        <v>18</v>
      </c>
      <c r="M3949">
        <v>97</v>
      </c>
      <c r="N3949">
        <v>149</v>
      </c>
      <c r="O3949">
        <v>97</v>
      </c>
      <c r="P3949">
        <v>149</v>
      </c>
    </row>
    <row r="3950" spans="1:16" x14ac:dyDescent="0.25">
      <c r="A3950">
        <v>22400571</v>
      </c>
      <c r="B3950">
        <v>2024</v>
      </c>
      <c r="C3950" t="s">
        <v>32</v>
      </c>
      <c r="D3950" t="s">
        <v>19</v>
      </c>
      <c r="E3950">
        <v>94</v>
      </c>
      <c r="F3950">
        <v>43</v>
      </c>
      <c r="G3950">
        <v>3</v>
      </c>
      <c r="H3950" s="1">
        <v>2.1875000000000002E-3</v>
      </c>
      <c r="I3950" t="s">
        <v>23</v>
      </c>
      <c r="J3950" s="2" t="str">
        <f>HYPERLINK("https://www.nba.com/stats/events?CFID=&amp;CFPARAMS=&amp;GameEventID=458&amp;GameID=0022400571&amp;Season=2024-25&amp;flag=1&amp;title=Leonard%2017'%20pullup%20Jump%20Shot%20(21%20PTS)", "17' pullup Jump Shot (21 PTS)")</f>
        <v>17' pullup Jump Shot (21 PTS)</v>
      </c>
      <c r="K3950" s="2" t="str">
        <f>HYPERLINK("https://www.nba.com/game/...-vs-...-0022400571/play-by-play?watchFullGame=true", "LAC vs BKN - Q3 03:09.00")</f>
        <v>LAC vs BKN - Q3 03:09.00</v>
      </c>
      <c r="L3950">
        <v>17.920000000000002</v>
      </c>
      <c r="M3950">
        <v>21.63</v>
      </c>
      <c r="N3950">
        <v>30.64</v>
      </c>
      <c r="O3950">
        <v>97</v>
      </c>
      <c r="P3950">
        <v>151</v>
      </c>
    </row>
    <row r="3951" spans="1:16" x14ac:dyDescent="0.25">
      <c r="A3951">
        <v>22200480</v>
      </c>
      <c r="B3951">
        <v>2022</v>
      </c>
      <c r="C3951" t="s">
        <v>32</v>
      </c>
      <c r="D3951" t="s">
        <v>19</v>
      </c>
      <c r="E3951">
        <v>61</v>
      </c>
      <c r="F3951">
        <v>74</v>
      </c>
      <c r="G3951">
        <v>3</v>
      </c>
      <c r="H3951" s="1">
        <v>5.138888888888889E-3</v>
      </c>
      <c r="I3951" t="s">
        <v>23</v>
      </c>
      <c r="J3951" s="2" t="str">
        <f>HYPERLINK("https://www.nba.com/stats/events?CFID=&amp;CFPARAMS=&amp;GameEventID=335&amp;GameID=0022200480&amp;Season=2022-23&amp;flag=1&amp;title=Leonard%2018'%20fadeaway%20Jump%20Shot%20(19%20PTS)", "18' fadeaway Jump Shot (19 PTS)")</f>
        <v>18' fadeaway Jump Shot (19 PTS)</v>
      </c>
      <c r="K3951" s="2" t="str">
        <f>HYPERLINK("https://www.nba.com/game/...-vs-...-0022200480/play-by-play?watchFullGame=true", "LAC vs PHI - Q3 07:24.00")</f>
        <v>LAC vs PHI - Q3 07:24.00</v>
      </c>
      <c r="L3951">
        <v>18.32</v>
      </c>
      <c r="M3951">
        <v>22.13</v>
      </c>
      <c r="N3951">
        <v>30.64</v>
      </c>
      <c r="O3951">
        <v>97</v>
      </c>
      <c r="P3951">
        <v>155</v>
      </c>
    </row>
    <row r="3952" spans="1:16" x14ac:dyDescent="0.25">
      <c r="A3952">
        <v>21600762</v>
      </c>
      <c r="B3952">
        <v>2016</v>
      </c>
      <c r="C3952" t="s">
        <v>32</v>
      </c>
      <c r="D3952" t="s">
        <v>29</v>
      </c>
      <c r="E3952">
        <v>58</v>
      </c>
      <c r="F3952">
        <v>50</v>
      </c>
      <c r="G3952">
        <v>3</v>
      </c>
      <c r="H3952" s="1">
        <v>7.8935185185185185E-3</v>
      </c>
      <c r="I3952" t="s">
        <v>18</v>
      </c>
      <c r="J3952" s="2" t="str">
        <f>HYPERLINK("https://www.nba.com/stats/events?CFID=&amp;CFPARAMS=&amp;GameEventID=271&amp;GameID=0021600762&amp;Season=2016-17&amp;flag=1&amp;title=Leonard%2019'%20Pullup%20Jump%20Shot%20(9%20PTS)%20(Aldridge%202%20AST)", "Leonard 19' Pullup Jump Shot (9 PTS) (Aldridge 2 AST)")</f>
        <v>Leonard 19' Pullup Jump Shot (9 PTS) (Aldridge 2 AST)</v>
      </c>
      <c r="K3952" s="2" t="str">
        <f>HYPERLINK("https://www.nba.com/game/...-vs-...-0021600762/play-by-play?watchFullGame=true", "SAS vs DEN - Q3 11:22.00")</f>
        <v>SAS vs DEN - Q3 11:22.00</v>
      </c>
      <c r="L3952">
        <v>19</v>
      </c>
      <c r="M3952">
        <v>97</v>
      </c>
      <c r="N3952">
        <v>164</v>
      </c>
      <c r="O3952">
        <v>97</v>
      </c>
      <c r="P3952">
        <v>164</v>
      </c>
    </row>
    <row r="3953" spans="1:16" x14ac:dyDescent="0.25">
      <c r="A3953">
        <v>21400220</v>
      </c>
      <c r="B3953">
        <v>2014</v>
      </c>
      <c r="C3953" t="s">
        <v>32</v>
      </c>
      <c r="D3953" t="s">
        <v>19</v>
      </c>
      <c r="E3953">
        <v>66</v>
      </c>
      <c r="F3953">
        <v>66</v>
      </c>
      <c r="G3953">
        <v>3</v>
      </c>
      <c r="H3953" s="1">
        <v>2.627314814814815E-3</v>
      </c>
      <c r="I3953" t="s">
        <v>18</v>
      </c>
      <c r="J3953" s="2" t="str">
        <f>HYPERLINK("https://www.nba.com/stats/events?CFID=&amp;CFPARAMS=&amp;GameEventID=329&amp;GameID=0021400220&amp;Season=2014-15&amp;flag=1&amp;title=Leonard%2021'%20Jump%20Shot%20(13%20PTS)%20(Ginobili%202%20AST)", "Leonard 21' Jump Shot (13 PTS) (Ginobili 2 AST)")</f>
        <v>Leonard 21' Jump Shot (13 PTS) (Ginobili 2 AST)</v>
      </c>
      <c r="K3953" s="2" t="str">
        <f>HYPERLINK("https://www.nba.com/game/...-vs-...-0021400220/play-by-play?watchFullGame=true", "SAS vs IND - Q3 03:47.00")</f>
        <v>SAS vs IND - Q3 03:47.00</v>
      </c>
      <c r="L3953">
        <v>21</v>
      </c>
      <c r="M3953">
        <v>97</v>
      </c>
      <c r="N3953">
        <v>189</v>
      </c>
      <c r="O3953">
        <v>97</v>
      </c>
      <c r="P3953">
        <v>189</v>
      </c>
    </row>
    <row r="3954" spans="1:16" x14ac:dyDescent="0.25">
      <c r="A3954">
        <v>21500759</v>
      </c>
      <c r="B3954">
        <v>2015</v>
      </c>
      <c r="C3954" t="s">
        <v>16</v>
      </c>
      <c r="D3954" t="s">
        <v>19</v>
      </c>
      <c r="E3954">
        <v>10</v>
      </c>
      <c r="F3954">
        <v>20</v>
      </c>
      <c r="G3954">
        <v>1</v>
      </c>
      <c r="H3954" s="1">
        <v>1.8518518518518519E-3</v>
      </c>
      <c r="I3954" t="s">
        <v>18</v>
      </c>
      <c r="J3954" s="2" t="str">
        <f>HYPERLINK("https://www.nba.com/stats/events?CFID=&amp;CFPARAMS=&amp;GameEventID=85&amp;GameID=0021500759&amp;Season=2015-16&amp;flag=1&amp;title=Leonard%2025'%203PT%20Jump%20Shot%20(9%20PTS)%20(Diaw%201%20AST)", "Leonard 25' 3PT Jump Shot (9 PTS) (Diaw 1 AST)")</f>
        <v>Leonard 25' 3PT Jump Shot (9 PTS) (Diaw 1 AST)</v>
      </c>
      <c r="K3954" s="2" t="str">
        <f>HYPERLINK("https://www.nba.com/game/...-vs-...-0021500759/play-by-play?watchFullGame=true", "SAS vs DAL - Q1 02:40.00")</f>
        <v>SAS vs DAL - Q1 02:40.00</v>
      </c>
      <c r="L3954">
        <v>25</v>
      </c>
      <c r="M3954">
        <v>97</v>
      </c>
      <c r="N3954">
        <v>228</v>
      </c>
      <c r="O3954">
        <v>97</v>
      </c>
      <c r="P3954">
        <v>228</v>
      </c>
    </row>
    <row r="3955" spans="1:16" x14ac:dyDescent="0.25">
      <c r="A3955">
        <v>21400757</v>
      </c>
      <c r="B3955">
        <v>2014</v>
      </c>
      <c r="C3955" t="s">
        <v>16</v>
      </c>
      <c r="D3955" t="s">
        <v>19</v>
      </c>
      <c r="E3955">
        <v>42</v>
      </c>
      <c r="F3955">
        <v>30</v>
      </c>
      <c r="G3955">
        <v>2</v>
      </c>
      <c r="H3955" s="1">
        <v>3.8888888888888888E-3</v>
      </c>
      <c r="I3955" t="s">
        <v>18</v>
      </c>
      <c r="J3955" s="2" t="str">
        <f>HYPERLINK("https://www.nba.com/stats/events?CFID=&amp;CFPARAMS=&amp;GameEventID=157&amp;GameID=0021400757&amp;Season=2014-15&amp;flag=1&amp;title=Leonard%2025'%203PT%20Jump%20Shot%20(14%20PTS)%20(Belinelli%203%20AST)", "Leonard 25' 3PT Jump Shot (14 PTS) (Belinelli 3 AST)")</f>
        <v>Leonard 25' 3PT Jump Shot (14 PTS) (Belinelli 3 AST)</v>
      </c>
      <c r="K3955" s="2" t="str">
        <f>HYPERLINK("https://www.nba.com/game/...-vs-...-0021400757/play-by-play?watchFullGame=true", "SAS vs MIA - Q2 05:36.00")</f>
        <v>SAS vs MIA - Q2 05:36.00</v>
      </c>
      <c r="L3955">
        <v>25</v>
      </c>
      <c r="M3955">
        <v>97</v>
      </c>
      <c r="N3955">
        <v>230</v>
      </c>
      <c r="O3955">
        <v>97</v>
      </c>
      <c r="P3955">
        <v>230</v>
      </c>
    </row>
    <row r="3956" spans="1:16" x14ac:dyDescent="0.25">
      <c r="A3956">
        <v>22000736</v>
      </c>
      <c r="B3956">
        <v>2020</v>
      </c>
      <c r="C3956" t="s">
        <v>16</v>
      </c>
      <c r="D3956" t="s">
        <v>19</v>
      </c>
      <c r="E3956">
        <v>49</v>
      </c>
      <c r="F3956">
        <v>62</v>
      </c>
      <c r="G3956">
        <v>2</v>
      </c>
      <c r="H3956" s="1">
        <v>1.4583333333333332E-4</v>
      </c>
      <c r="I3956" t="s">
        <v>23</v>
      </c>
      <c r="J3956" s="2" t="str">
        <f>HYPERLINK("https://www.nba.com/stats/events?CFID=&amp;CFPARAMS=&amp;GameEventID=295&amp;GameID=0022000736&amp;Season=2020-21&amp;flag=1&amp;title=Leonard%2025'%203PT%20%20(9%20PTS)", "25' 3PT  (9 PTS)")</f>
        <v>25' 3PT  (9 PTS)</v>
      </c>
      <c r="K3956" s="2" t="str">
        <f>HYPERLINK("https://www.nba.com/game/...-vs-...-0022000736/play-by-play?watchFullGame=true", "LAC vs DEN - Q2 00:12.60")</f>
        <v>LAC vs DEN - Q2 00:12.60</v>
      </c>
      <c r="L3956">
        <v>25.85</v>
      </c>
      <c r="M3956">
        <v>68.94</v>
      </c>
      <c r="N3956">
        <v>69.430000000000007</v>
      </c>
      <c r="O3956">
        <v>97</v>
      </c>
      <c r="P3956">
        <v>239</v>
      </c>
    </row>
    <row r="3957" spans="1:16" x14ac:dyDescent="0.25">
      <c r="A3957">
        <v>22000775</v>
      </c>
      <c r="B3957">
        <v>2020</v>
      </c>
      <c r="C3957" t="s">
        <v>16</v>
      </c>
      <c r="D3957" t="s">
        <v>19</v>
      </c>
      <c r="E3957">
        <v>50</v>
      </c>
      <c r="F3957">
        <v>33</v>
      </c>
      <c r="G3957">
        <v>2</v>
      </c>
      <c r="H3957" s="1">
        <v>7.5925925925925926E-3</v>
      </c>
      <c r="I3957" t="s">
        <v>23</v>
      </c>
      <c r="J3957" s="2" t="str">
        <f>HYPERLINK("https://www.nba.com/stats/events?CFID=&amp;CFPARAMS=&amp;GameEventID=186&amp;GameID=0022000775&amp;Season=2020-21&amp;flag=1&amp;title=Leonard%2025'%203PT%20running%20pullup%20(7%20PTS)", "25' 3PT running pullup (7 PTS)")</f>
        <v>25' 3PT running pullup (7 PTS)</v>
      </c>
      <c r="K3957" s="2" t="str">
        <f>HYPERLINK("https://www.nba.com/game/...-vs-...-0022000775/play-by-play?watchFullGame=true", "LAC vs POR - Q2 10:56.00")</f>
        <v>LAC vs POR - Q2 10:56.00</v>
      </c>
      <c r="L3957">
        <v>25.85</v>
      </c>
      <c r="M3957">
        <v>68.94</v>
      </c>
      <c r="N3957">
        <v>69.430000000000007</v>
      </c>
      <c r="O3957">
        <v>97</v>
      </c>
      <c r="P3957">
        <v>239</v>
      </c>
    </row>
    <row r="3958" spans="1:16" x14ac:dyDescent="0.25">
      <c r="A3958">
        <v>22200649</v>
      </c>
      <c r="B3958">
        <v>2022</v>
      </c>
      <c r="C3958" t="s">
        <v>16</v>
      </c>
      <c r="D3958" t="s">
        <v>19</v>
      </c>
      <c r="E3958">
        <v>76</v>
      </c>
      <c r="F3958">
        <v>77</v>
      </c>
      <c r="G3958">
        <v>3</v>
      </c>
      <c r="H3958" s="1">
        <v>3.6574074074074074E-3</v>
      </c>
      <c r="I3958" t="s">
        <v>23</v>
      </c>
      <c r="J3958" s="2" t="str">
        <f>HYPERLINK("https://www.nba.com/stats/events?CFID=&amp;CFPARAMS=&amp;GameEventID=399&amp;GameID=0022200649&amp;Season=2022-23&amp;flag=1&amp;title=Leonard%2026'%203PT%20%20(20%20PTS)%20(N.%20Powell%203%20AST)", "26' 3PT  (20 PTS) (N. Powell 3 AST)")</f>
        <v>26' 3PT  (20 PTS) (N. Powell 3 AST)</v>
      </c>
      <c r="K3958" s="2" t="str">
        <f>HYPERLINK("https://www.nba.com/game/...-vs-...-0022200649/play-by-play?watchFullGame=true", "LAC vs HOU - Q3 05:16.00")</f>
        <v>LAC vs HOU - Q3 05:16.00</v>
      </c>
      <c r="L3958">
        <v>26.05</v>
      </c>
      <c r="M3958">
        <v>31.32</v>
      </c>
      <c r="N3958">
        <v>30.64</v>
      </c>
      <c r="O3958">
        <v>97</v>
      </c>
      <c r="P3958">
        <v>242</v>
      </c>
    </row>
    <row r="3959" spans="1:16" x14ac:dyDescent="0.25">
      <c r="A3959">
        <v>22201004</v>
      </c>
      <c r="B3959">
        <v>2022</v>
      </c>
      <c r="C3959" t="s">
        <v>32</v>
      </c>
      <c r="D3959" t="s">
        <v>44</v>
      </c>
      <c r="E3959">
        <v>49</v>
      </c>
      <c r="F3959">
        <v>49</v>
      </c>
      <c r="G3959">
        <v>3</v>
      </c>
      <c r="H3959" s="1">
        <v>7.8819444444444449E-3</v>
      </c>
      <c r="I3959" t="s">
        <v>23</v>
      </c>
      <c r="J3959" s="2" t="str">
        <f>HYPERLINK("https://www.nba.com/stats/events?CFID=&amp;CFPARAMS=&amp;GameEventID=325&amp;GameID=0022201004&amp;Season=2022-23&amp;flag=1&amp;title=Leonard%209'%20driving%20Hook%20(12%20PTS)", "9' driving Hook (12 PTS)")</f>
        <v>9' driving Hook (12 PTS)</v>
      </c>
      <c r="K3959" s="2" t="str">
        <f>HYPERLINK("https://www.nba.com/game/...-vs-...-0022201004/play-by-play?watchFullGame=true", "LAC vs NYK - Q3 11:21.00")</f>
        <v>LAC vs NYK - Q3 11:21.00</v>
      </c>
      <c r="L3959">
        <v>9.81</v>
      </c>
      <c r="M3959">
        <v>5.96</v>
      </c>
      <c r="N3959">
        <v>30.39</v>
      </c>
      <c r="O3959">
        <v>98</v>
      </c>
      <c r="P3959">
        <v>4</v>
      </c>
    </row>
    <row r="3960" spans="1:16" x14ac:dyDescent="0.25">
      <c r="A3960">
        <v>22300537</v>
      </c>
      <c r="B3960">
        <v>2023</v>
      </c>
      <c r="C3960" t="s">
        <v>32</v>
      </c>
      <c r="D3960" t="s">
        <v>19</v>
      </c>
      <c r="E3960">
        <v>24</v>
      </c>
      <c r="F3960">
        <v>21</v>
      </c>
      <c r="G3960">
        <v>1</v>
      </c>
      <c r="H3960" s="1">
        <v>4.9305555555555561E-4</v>
      </c>
      <c r="I3960" t="s">
        <v>23</v>
      </c>
      <c r="J3960" s="2" t="str">
        <f>HYPERLINK("https://www.nba.com/stats/events?CFID=&amp;CFPARAMS=&amp;GameEventID=150&amp;GameID=0022300537&amp;Season=2023-24&amp;flag=1&amp;title=Leonard%209'%20turnaround%20fadeaway%20Jump%20Shot%20(6%20PTS)", "9' turnaround fadeaway Jump Shot (6 PTS)")</f>
        <v>9' turnaround fadeaway Jump Shot (6 PTS)</v>
      </c>
      <c r="K3960" s="2" t="str">
        <f>HYPERLINK("https://www.nba.com/game/...-vs-...-0022300537/play-by-play?watchFullGame=true", "LAC vs MEM - Q1 00:42.60")</f>
        <v>LAC vs MEM - Q1 00:42.60</v>
      </c>
      <c r="L3960">
        <v>9.86</v>
      </c>
      <c r="M3960">
        <v>6.78</v>
      </c>
      <c r="N3960">
        <v>30.39</v>
      </c>
      <c r="O3960">
        <v>98</v>
      </c>
      <c r="P3960">
        <v>11</v>
      </c>
    </row>
    <row r="3961" spans="1:16" x14ac:dyDescent="0.25">
      <c r="A3961">
        <v>22400697</v>
      </c>
      <c r="B3961">
        <v>2024</v>
      </c>
      <c r="C3961" t="s">
        <v>32</v>
      </c>
      <c r="D3961" t="s">
        <v>19</v>
      </c>
      <c r="E3961">
        <v>21</v>
      </c>
      <c r="F3961">
        <v>18</v>
      </c>
      <c r="G3961">
        <v>1</v>
      </c>
      <c r="H3961" s="1">
        <v>3.5300925925925925E-3</v>
      </c>
      <c r="I3961" t="s">
        <v>23</v>
      </c>
      <c r="J3961" s="2" t="str">
        <f>HYPERLINK("https://www.nba.com/stats/events?CFID=&amp;CFPARAMS=&amp;GameEventID=73&amp;GameID=0022400697&amp;Season=2024-25&amp;flag=1&amp;title=Leonard%2011'%20pullup%20Jump%20Shot%20(3%20PTS)", "11' pullup Jump Shot (3 PTS)")</f>
        <v>11' pullup Jump Shot (3 PTS)</v>
      </c>
      <c r="K3961" s="2" t="str">
        <f>HYPERLINK("https://www.nba.com/game/...-vs-...-0022400697/play-by-play?watchFullGame=true", "LAC vs TOR - Q1 05:05.00")</f>
        <v>LAC vs TOR - Q1 05:05.00</v>
      </c>
      <c r="L3961">
        <v>11.08</v>
      </c>
      <c r="M3961">
        <v>88.91</v>
      </c>
      <c r="N3961">
        <v>69.61</v>
      </c>
      <c r="O3961">
        <v>98</v>
      </c>
      <c r="P3961">
        <v>52</v>
      </c>
    </row>
    <row r="3962" spans="1:16" x14ac:dyDescent="0.25">
      <c r="A3962">
        <v>21901307</v>
      </c>
      <c r="B3962">
        <v>2019</v>
      </c>
      <c r="C3962" t="s">
        <v>32</v>
      </c>
      <c r="D3962" t="s">
        <v>22</v>
      </c>
      <c r="E3962">
        <v>63</v>
      </c>
      <c r="F3962">
        <v>63</v>
      </c>
      <c r="G3962">
        <v>3</v>
      </c>
      <c r="H3962" s="1">
        <v>5.9027777777777776E-3</v>
      </c>
      <c r="I3962" t="s">
        <v>23</v>
      </c>
      <c r="J3962" s="2" t="str">
        <f>HYPERLINK("https://www.nba.com/stats/events?CFID=&amp;CFPARAMS=&amp;GameEventID=365&amp;GameID=0021901307&amp;Season=2019-20&amp;flag=1&amp;title=Leonard%2014'%20jumpshot%20(18%20PTS)", "14' jumpshot (18 PTS)")</f>
        <v>14' jumpshot (18 PTS)</v>
      </c>
      <c r="K3962" s="2" t="str">
        <f>HYPERLINK("https://www.nba.com/game/...-vs-...-0021901307/play-by-play?watchFullGame=true", "LAC vs DEN - Q3 08:30.00")</f>
        <v>LAC vs DEN - Q3 08:30.00</v>
      </c>
      <c r="L3962">
        <v>14.24</v>
      </c>
      <c r="M3962">
        <v>84.05</v>
      </c>
      <c r="N3962">
        <v>69.680000000000007</v>
      </c>
      <c r="O3962">
        <v>98</v>
      </c>
      <c r="P3962">
        <v>97</v>
      </c>
    </row>
    <row r="3963" spans="1:16" x14ac:dyDescent="0.25">
      <c r="A3963">
        <v>22001019</v>
      </c>
      <c r="B3963">
        <v>2020</v>
      </c>
      <c r="C3963" t="s">
        <v>32</v>
      </c>
      <c r="D3963" t="s">
        <v>19</v>
      </c>
      <c r="E3963">
        <v>52</v>
      </c>
      <c r="F3963">
        <v>49</v>
      </c>
      <c r="G3963">
        <v>2</v>
      </c>
      <c r="H3963" s="1">
        <v>9.4907407407407408E-4</v>
      </c>
      <c r="I3963" t="s">
        <v>23</v>
      </c>
      <c r="J3963" s="2" t="str">
        <f>HYPERLINK("https://www.nba.com/stats/events?CFID=&amp;CFPARAMS=&amp;GameEventID=269&amp;GameID=0022001019&amp;Season=2020-21&amp;flag=1&amp;title=Leonard%2015'%20Jump%20Shot%20(11%20PTS)%20(N.%20Batum%201%20AST)", "15' Jump Shot (11 PTS) (N. Batum 1 AST)")</f>
        <v>15' Jump Shot (11 PTS) (N. Batum 1 AST)</v>
      </c>
      <c r="K3963" s="2" t="str">
        <f>HYPERLINK("https://www.nba.com/game/...-vs-...-0022001019/play-by-play?watchFullGame=true", "LAC vs NYK - Q2 01:22.00")</f>
        <v>LAC vs NYK - Q2 01:22.00</v>
      </c>
      <c r="L3963">
        <v>15.78</v>
      </c>
      <c r="M3963">
        <v>81.290000000000006</v>
      </c>
      <c r="N3963">
        <v>69.680000000000007</v>
      </c>
      <c r="O3963">
        <v>98</v>
      </c>
      <c r="P3963">
        <v>123</v>
      </c>
    </row>
    <row r="3964" spans="1:16" x14ac:dyDescent="0.25">
      <c r="A3964">
        <v>22400874</v>
      </c>
      <c r="B3964">
        <v>2024</v>
      </c>
      <c r="C3964" t="s">
        <v>32</v>
      </c>
      <c r="D3964" t="s">
        <v>19</v>
      </c>
      <c r="E3964">
        <v>44</v>
      </c>
      <c r="F3964">
        <v>43</v>
      </c>
      <c r="G3964">
        <v>2</v>
      </c>
      <c r="H3964" s="1">
        <v>5.2662037037037035E-3</v>
      </c>
      <c r="I3964" t="s">
        <v>23</v>
      </c>
      <c r="J3964" s="2" t="str">
        <f>HYPERLINK("https://www.nba.com/stats/events?CFID=&amp;CFPARAMS=&amp;GameEventID=208&amp;GameID=0022400874&amp;Season=2024-25&amp;flag=1&amp;title=Leonard%2015'%20pullup%20Jump%20Shot%20(15%20PTS)", "15' pullup Jump Shot (15 PTS)")</f>
        <v>15' pullup Jump Shot (15 PTS)</v>
      </c>
      <c r="K3964" s="2" t="str">
        <f>HYPERLINK("https://www.nba.com/game/...-vs-...-0022400874/play-by-play?watchFullGame=true", "LAC vs LAL - Q2 07:35.00")</f>
        <v>LAC vs LAL - Q2 07:35.00</v>
      </c>
      <c r="L3964">
        <v>15.88</v>
      </c>
      <c r="M3964">
        <v>81.13</v>
      </c>
      <c r="N3964">
        <v>69.61</v>
      </c>
      <c r="O3964">
        <v>98</v>
      </c>
      <c r="P3964">
        <v>125</v>
      </c>
    </row>
    <row r="3965" spans="1:16" x14ac:dyDescent="0.25">
      <c r="A3965">
        <v>21900436</v>
      </c>
      <c r="B3965">
        <v>2019</v>
      </c>
      <c r="C3965" t="s">
        <v>32</v>
      </c>
      <c r="D3965" t="s">
        <v>22</v>
      </c>
      <c r="E3965">
        <v>73</v>
      </c>
      <c r="F3965">
        <v>91</v>
      </c>
      <c r="G3965">
        <v>3</v>
      </c>
      <c r="H3965" s="1">
        <v>4.1319444444444442E-3</v>
      </c>
      <c r="I3965" t="s">
        <v>23</v>
      </c>
      <c r="J3965" s="2" t="str">
        <f>HYPERLINK("https://www.nba.com/stats/events?CFID=&amp;CFPARAMS=&amp;GameEventID=405&amp;GameID=0021900436&amp;Season=2019-20&amp;flag=1&amp;title=Leonard%2017'%20jumpshot%20(24%20PTS)%20(I.%20Zubac%202%20AST)", "17' jumpshot (24 PTS) (I. Zubac 2 AST)")</f>
        <v>17' jumpshot (24 PTS) (I. Zubac 2 AST)</v>
      </c>
      <c r="K3965" s="2" t="str">
        <f>HYPERLINK("https://www.nba.com/game/...-vs-...-0021900436/play-by-play?watchFullGame=true", "LAC vs SAS - Q3 05:57.00")</f>
        <v>LAC vs SAS - Q3 05:57.00</v>
      </c>
      <c r="L3965">
        <v>17.11</v>
      </c>
      <c r="M3965">
        <v>80.11</v>
      </c>
      <c r="N3965">
        <v>69.680000000000007</v>
      </c>
      <c r="O3965">
        <v>98</v>
      </c>
      <c r="P3965">
        <v>134</v>
      </c>
    </row>
    <row r="3966" spans="1:16" x14ac:dyDescent="0.25">
      <c r="A3966">
        <v>22400646</v>
      </c>
      <c r="B3966">
        <v>2024</v>
      </c>
      <c r="C3966" t="s">
        <v>32</v>
      </c>
      <c r="D3966" t="s">
        <v>19</v>
      </c>
      <c r="E3966">
        <v>41</v>
      </c>
      <c r="F3966">
        <v>38</v>
      </c>
      <c r="G3966">
        <v>2</v>
      </c>
      <c r="H3966" s="1">
        <v>5.2314814814814811E-3</v>
      </c>
      <c r="I3966" t="s">
        <v>23</v>
      </c>
      <c r="J3966" s="2" t="str">
        <f>HYPERLINK("https://www.nba.com/stats/events?CFID=&amp;CFPARAMS=&amp;GameEventID=213&amp;GameID=0022400646&amp;Season=2024-25&amp;flag=1&amp;title=Leonard%2016'%20pullup%20Jump%20Shot%20(9%20PTS)", "16' pullup Jump Shot (9 PTS)")</f>
        <v>16' pullup Jump Shot (9 PTS)</v>
      </c>
      <c r="K3966" s="2" t="str">
        <f>HYPERLINK("https://www.nba.com/game/...-vs-...-0022400646/play-by-play?watchFullGame=true", "LAC vs MIL - Q2 07:32.00")</f>
        <v>LAC vs MIL - Q2 07:32.00</v>
      </c>
      <c r="L3966">
        <v>16.739999999999998</v>
      </c>
      <c r="M3966">
        <v>79.98</v>
      </c>
      <c r="N3966">
        <v>69.61</v>
      </c>
      <c r="O3966">
        <v>98</v>
      </c>
      <c r="P3966">
        <v>136</v>
      </c>
    </row>
    <row r="3967" spans="1:16" x14ac:dyDescent="0.25">
      <c r="A3967">
        <v>21900224</v>
      </c>
      <c r="B3967">
        <v>2019</v>
      </c>
      <c r="C3967" t="s">
        <v>32</v>
      </c>
      <c r="D3967" t="s">
        <v>22</v>
      </c>
      <c r="E3967">
        <v>82</v>
      </c>
      <c r="F3967">
        <v>84</v>
      </c>
      <c r="G3967">
        <v>4</v>
      </c>
      <c r="H3967" s="1">
        <v>8.2060185185185187E-3</v>
      </c>
      <c r="I3967" t="s">
        <v>23</v>
      </c>
      <c r="J3967" s="2" t="str">
        <f>HYPERLINK("https://www.nba.com/stats/events?CFID=&amp;CFPARAMS=&amp;GameEventID=534&amp;GameID=0021900224&amp;Season=2019-20&amp;flag=1&amp;title=Leonard%2018'%20jumpshot%20(15%20PTS)%20(L.%20Williams%206%20AST)", "18' jumpshot (15 PTS) (L. Williams 6 AST)")</f>
        <v>18' jumpshot (15 PTS) (L. Williams 6 AST)</v>
      </c>
      <c r="K3967" s="2" t="str">
        <f>HYPERLINK("https://www.nba.com/game/...-vs-...-0021900224/play-by-play?watchFullGame=true", "LAC vs HOU - Q4 11:49.00")</f>
        <v>LAC vs HOU - Q4 11:49.00</v>
      </c>
      <c r="L3967">
        <v>18.34</v>
      </c>
      <c r="M3967">
        <v>21.47</v>
      </c>
      <c r="N3967">
        <v>30.32</v>
      </c>
      <c r="O3967">
        <v>98</v>
      </c>
      <c r="P3967">
        <v>149</v>
      </c>
    </row>
    <row r="3968" spans="1:16" x14ac:dyDescent="0.25">
      <c r="A3968">
        <v>22200476</v>
      </c>
      <c r="B3968">
        <v>2022</v>
      </c>
      <c r="C3968" t="s">
        <v>32</v>
      </c>
      <c r="D3968" t="s">
        <v>19</v>
      </c>
      <c r="E3968">
        <v>89</v>
      </c>
      <c r="F3968">
        <v>62</v>
      </c>
      <c r="G3968">
        <v>3</v>
      </c>
      <c r="H3968" s="1">
        <v>2.9282407407407408E-3</v>
      </c>
      <c r="I3968" t="s">
        <v>23</v>
      </c>
      <c r="J3968" s="2" t="str">
        <f>HYPERLINK("https://www.nba.com/stats/events?CFID=&amp;CFPARAMS=&amp;GameEventID=460&amp;GameID=0022200476&amp;Season=2022-23&amp;flag=1&amp;title=Leonard%2019'%20Jump%20Shot%20(14%20PTS)%20(P.%20George%208%20AST)", "19' Jump Shot (14 PTS) (P. George 8 AST)")</f>
        <v>19' Jump Shot (14 PTS) (P. George 8 AST)</v>
      </c>
      <c r="K3968" s="2" t="str">
        <f>HYPERLINK("https://www.nba.com/game/...-vs-...-0022200476/play-by-play?watchFullGame=true", "LAC vs CHA - Q3 04:13.00")</f>
        <v>LAC vs CHA - Q3 04:13.00</v>
      </c>
      <c r="L3968">
        <v>19.97</v>
      </c>
      <c r="M3968">
        <v>24.1</v>
      </c>
      <c r="N3968">
        <v>30.39</v>
      </c>
      <c r="O3968">
        <v>98</v>
      </c>
      <c r="P3968">
        <v>174</v>
      </c>
    </row>
    <row r="3969" spans="1:16" x14ac:dyDescent="0.25">
      <c r="A3969">
        <v>21901271</v>
      </c>
      <c r="B3969">
        <v>2019</v>
      </c>
      <c r="C3969" t="s">
        <v>32</v>
      </c>
      <c r="D3969" t="s">
        <v>22</v>
      </c>
      <c r="E3969">
        <v>63</v>
      </c>
      <c r="F3969">
        <v>72</v>
      </c>
      <c r="G3969">
        <v>3</v>
      </c>
      <c r="H3969" s="1">
        <v>5.324074074074074E-3</v>
      </c>
      <c r="I3969" t="s">
        <v>23</v>
      </c>
      <c r="J3969" s="2" t="str">
        <f>HYPERLINK("https://www.nba.com/stats/events?CFID=&amp;CFPARAMS=&amp;GameEventID=384&amp;GameID=0021901271&amp;Season=2019-20&amp;flag=1&amp;title=Leonard%2023'%20jumpshot%20(21%20PTS)", "23' jumpshot (21 PTS)")</f>
        <v>23' jumpshot (21 PTS)</v>
      </c>
      <c r="K3969" s="2" t="str">
        <f>HYPERLINK("https://www.nba.com/game/...-vs-...-0021901271/play-by-play?watchFullGame=true", "LAC vs DAL - Q3 07:40.00")</f>
        <v>LAC vs DAL - Q3 07:40.00</v>
      </c>
      <c r="L3969">
        <v>23.12</v>
      </c>
      <c r="M3969">
        <v>72.75</v>
      </c>
      <c r="N3969">
        <v>69.680000000000007</v>
      </c>
      <c r="O3969">
        <v>98</v>
      </c>
      <c r="P3969">
        <v>204</v>
      </c>
    </row>
    <row r="3970" spans="1:16" x14ac:dyDescent="0.25">
      <c r="A3970">
        <v>41200314</v>
      </c>
      <c r="B3970" t="s">
        <v>27</v>
      </c>
      <c r="C3970" t="s">
        <v>32</v>
      </c>
      <c r="D3970" t="s">
        <v>17</v>
      </c>
      <c r="E3970">
        <v>6</v>
      </c>
      <c r="F3970">
        <v>6</v>
      </c>
      <c r="G3970">
        <v>1</v>
      </c>
      <c r="H3970" s="1">
        <v>5.2430555555555555E-3</v>
      </c>
      <c r="I3970" t="s">
        <v>18</v>
      </c>
      <c r="J3970" s="2" t="str">
        <f>HYPERLINK("https://www.nba.com/stats/events?CFID=&amp;CFPARAMS=&amp;GameEventID=32&amp;GameID=0041200314&amp;Season=2012-13&amp;flag=1&amp;title=Leonard%2010'%20Running%20Jump%20Shot%20(2%20PTS)%20(Parker%201%20AST)", "Leonard 10' Running Jump Shot (2 PTS) (Parker 1 AST)")</f>
        <v>Leonard 10' Running Jump Shot (2 PTS) (Parker 1 AST)</v>
      </c>
      <c r="K3970" s="2" t="str">
        <f>HYPERLINK("https://www.nba.com/game/...-vs-...-0041200314/play-by-play?watchFullGame=true", "SAS vs MEM - Q1 07:33.00")</f>
        <v>SAS vs MEM - Q1 07:33.00</v>
      </c>
      <c r="L3970">
        <v>10</v>
      </c>
      <c r="M3970">
        <v>99</v>
      </c>
      <c r="N3970">
        <v>3</v>
      </c>
      <c r="O3970">
        <v>99</v>
      </c>
      <c r="P3970">
        <v>3</v>
      </c>
    </row>
    <row r="3971" spans="1:16" x14ac:dyDescent="0.25">
      <c r="A3971">
        <v>41600233</v>
      </c>
      <c r="B3971" t="s">
        <v>30</v>
      </c>
      <c r="C3971" t="s">
        <v>32</v>
      </c>
      <c r="D3971" t="s">
        <v>24</v>
      </c>
      <c r="E3971">
        <v>41</v>
      </c>
      <c r="F3971">
        <v>47</v>
      </c>
      <c r="G3971">
        <v>3</v>
      </c>
      <c r="H3971" s="1">
        <v>7.5231481481481477E-3</v>
      </c>
      <c r="I3971" t="s">
        <v>18</v>
      </c>
      <c r="J3971" s="2" t="str">
        <f>HYPERLINK("https://www.nba.com/stats/events?CFID=&amp;CFPARAMS=&amp;GameEventID=272&amp;GameID=0041600233&amp;Season=2016-17&amp;flag=1&amp;title=Leonard%2010'%20Turnaround%20Jump%20Shot%20(12%20PTS)", "Leonard 10' Turnaround Jump Shot (12 PTS)")</f>
        <v>Leonard 10' Turnaround Jump Shot (12 PTS)</v>
      </c>
      <c r="K3971" s="2" t="str">
        <f>HYPERLINK("https://www.nba.com/game/...-vs-...-0041600233/play-by-play?watchFullGame=true", "SAS vs HOU - Q3 10:50.00")</f>
        <v>SAS vs HOU - Q3 10:50.00</v>
      </c>
      <c r="L3971">
        <v>10</v>
      </c>
      <c r="M3971">
        <v>99</v>
      </c>
      <c r="N3971">
        <v>7</v>
      </c>
      <c r="O3971">
        <v>99</v>
      </c>
      <c r="P3971">
        <v>7</v>
      </c>
    </row>
    <row r="3972" spans="1:16" x14ac:dyDescent="0.25">
      <c r="A3972">
        <v>22300257</v>
      </c>
      <c r="B3972">
        <v>2023</v>
      </c>
      <c r="C3972" t="s">
        <v>32</v>
      </c>
      <c r="D3972" t="s">
        <v>19</v>
      </c>
      <c r="E3972">
        <v>93</v>
      </c>
      <c r="F3972">
        <v>94</v>
      </c>
      <c r="G3972">
        <v>4</v>
      </c>
      <c r="H3972" s="1">
        <v>4.5254629629629629E-3</v>
      </c>
      <c r="I3972" t="s">
        <v>23</v>
      </c>
      <c r="J3972" s="2" t="str">
        <f>HYPERLINK("https://www.nba.com/stats/events?CFID=&amp;CFPARAMS=&amp;GameEventID=614&amp;GameID=0022300257&amp;Season=2023-24&amp;flag=1&amp;title=Leonard%2010'%20driving%20floating%20Jump%20Shot%20(27%20PTS)", "10' driving floating Jump Shot (27 PTS)")</f>
        <v>10' driving floating Jump Shot (27 PTS)</v>
      </c>
      <c r="K3972" s="2" t="str">
        <f>HYPERLINK("https://www.nba.com/game/...-vs-...-0022300257/play-by-play?watchFullGame=true", "LAC vs DEN - Q4 06:31.00")</f>
        <v>LAC vs DEN - Q4 06:31.00</v>
      </c>
      <c r="L3972">
        <v>10.39</v>
      </c>
      <c r="M3972">
        <v>8.8000000000000007</v>
      </c>
      <c r="N3972">
        <v>30.12</v>
      </c>
      <c r="O3972">
        <v>99</v>
      </c>
      <c r="P3972">
        <v>30</v>
      </c>
    </row>
    <row r="3973" spans="1:16" x14ac:dyDescent="0.25">
      <c r="A3973">
        <v>21601135</v>
      </c>
      <c r="B3973">
        <v>2016</v>
      </c>
      <c r="C3973" t="s">
        <v>32</v>
      </c>
      <c r="D3973" t="s">
        <v>24</v>
      </c>
      <c r="E3973">
        <v>70</v>
      </c>
      <c r="F3973">
        <v>55</v>
      </c>
      <c r="G3973">
        <v>3</v>
      </c>
      <c r="H3973" s="1">
        <v>3.1481481481481482E-3</v>
      </c>
      <c r="I3973" t="s">
        <v>18</v>
      </c>
      <c r="J3973" s="2" t="str">
        <f>HYPERLINK("https://www.nba.com/stats/events?CFID=&amp;CFPARAMS=&amp;GameEventID=365&amp;GameID=0021601135&amp;Season=2016-17&amp;flag=1&amp;title=Leonard%2012'%20Turnaround%20Jump%20Shot%20(12%20PTS)", "Leonard 12' Turnaround Jump Shot (12 PTS)")</f>
        <v>Leonard 12' Turnaround Jump Shot (12 PTS)</v>
      </c>
      <c r="K3973" s="2" t="str">
        <f>HYPERLINK("https://www.nba.com/game/...-vs-...-0021601135/play-by-play?watchFullGame=true", "SAS vs OKC - Q3 04:32.00")</f>
        <v>SAS vs OKC - Q3 04:32.00</v>
      </c>
      <c r="L3973">
        <v>12</v>
      </c>
      <c r="M3973">
        <v>99</v>
      </c>
      <c r="N3973">
        <v>61</v>
      </c>
      <c r="O3973">
        <v>99</v>
      </c>
      <c r="P3973">
        <v>61</v>
      </c>
    </row>
    <row r="3974" spans="1:16" x14ac:dyDescent="0.25">
      <c r="A3974">
        <v>21400624</v>
      </c>
      <c r="B3974">
        <v>2014</v>
      </c>
      <c r="C3974" t="s">
        <v>32</v>
      </c>
      <c r="D3974" t="s">
        <v>37</v>
      </c>
      <c r="E3974">
        <v>62</v>
      </c>
      <c r="F3974">
        <v>66</v>
      </c>
      <c r="G3974">
        <v>3</v>
      </c>
      <c r="H3974" s="1">
        <v>4.0393518518518521E-3</v>
      </c>
      <c r="I3974" t="s">
        <v>18</v>
      </c>
      <c r="J3974" s="2" t="str">
        <f>HYPERLINK("https://www.nba.com/stats/events?CFID=&amp;CFPARAMS=&amp;GameEventID=322&amp;GameID=0021400624&amp;Season=2014-15&amp;flag=1&amp;title=Leonard%2012'%20Floating%20Jump%20Shot%20(9%20PTS)%20(Ginobili%203%20AST)", "Leonard 12' Floating Jump Shot (9 PTS) (Ginobili 3 AST)")</f>
        <v>Leonard 12' Floating Jump Shot (9 PTS) (Ginobili 3 AST)</v>
      </c>
      <c r="K3974" s="2" t="str">
        <f>HYPERLINK("https://www.nba.com/game/...-vs-...-0021400624/play-by-play?watchFullGame=true", "SAS vs DEN - Q3 05:49.00")</f>
        <v>SAS vs DEN - Q3 05:49.00</v>
      </c>
      <c r="L3974">
        <v>12</v>
      </c>
      <c r="M3974">
        <v>99</v>
      </c>
      <c r="N3974">
        <v>64</v>
      </c>
      <c r="O3974">
        <v>99</v>
      </c>
      <c r="P3974">
        <v>64</v>
      </c>
    </row>
    <row r="3975" spans="1:16" x14ac:dyDescent="0.25">
      <c r="A3975">
        <v>22000966</v>
      </c>
      <c r="B3975">
        <v>2020</v>
      </c>
      <c r="C3975" t="s">
        <v>32</v>
      </c>
      <c r="D3975" t="s">
        <v>19</v>
      </c>
      <c r="E3975">
        <v>91</v>
      </c>
      <c r="F3975">
        <v>99</v>
      </c>
      <c r="G3975">
        <v>4</v>
      </c>
      <c r="H3975" s="1">
        <v>2.8356481481481483E-3</v>
      </c>
      <c r="I3975" t="s">
        <v>23</v>
      </c>
      <c r="J3975" s="2" t="str">
        <f>HYPERLINK("https://www.nba.com/stats/events?CFID=&amp;CFPARAMS=&amp;GameEventID=555&amp;GameID=0022000966&amp;Season=2020-21&amp;flag=1&amp;title=Leonard%2012'%20pullup%20Jump%20Shot%20(14%20PTS)", "12' pullup Jump Shot (14 PTS)")</f>
        <v>12' pullup Jump Shot (14 PTS)</v>
      </c>
      <c r="K3975" s="2" t="str">
        <f>HYPERLINK("https://www.nba.com/game/...-vs-...-0022000966/play-by-play?watchFullGame=true", "LAC vs DEN - Q4 04:05.00")</f>
        <v>LAC vs DEN - Q4 04:05.00</v>
      </c>
      <c r="L3975">
        <v>12.44</v>
      </c>
      <c r="M3975">
        <v>13.62</v>
      </c>
      <c r="N3975">
        <v>30.22</v>
      </c>
      <c r="O3975">
        <v>99</v>
      </c>
      <c r="P3975">
        <v>75</v>
      </c>
    </row>
    <row r="3976" spans="1:16" x14ac:dyDescent="0.25">
      <c r="A3976">
        <v>22301064</v>
      </c>
      <c r="B3976">
        <v>2023</v>
      </c>
      <c r="C3976" t="s">
        <v>32</v>
      </c>
      <c r="D3976" t="s">
        <v>19</v>
      </c>
      <c r="E3976">
        <v>60</v>
      </c>
      <c r="F3976">
        <v>63</v>
      </c>
      <c r="G3976">
        <v>3</v>
      </c>
      <c r="H3976" s="1">
        <v>5.0462962962962961E-3</v>
      </c>
      <c r="I3976" t="s">
        <v>23</v>
      </c>
      <c r="J3976" s="2" t="str">
        <f>HYPERLINK("https://www.nba.com/stats/events?CFID=&amp;CFPARAMS=&amp;GameEventID=367&amp;GameID=0022301064&amp;Season=2023-24&amp;flag=1&amp;title=Leonard%2013'%20fadeaway%20Jump%20Shot%20(15%20PTS)", "13' fadeaway Jump Shot (15 PTS)")</f>
        <v>13' fadeaway Jump Shot (15 PTS)</v>
      </c>
      <c r="K3976" s="2" t="str">
        <f>HYPERLINK("https://www.nba.com/game/...-vs-...-0022301064/play-by-play?watchFullGame=true", "LAC vs ORL - Q3 07:16.00")</f>
        <v>LAC vs ORL - Q3 07:16.00</v>
      </c>
      <c r="L3976">
        <v>13.08</v>
      </c>
      <c r="M3976">
        <v>85.36</v>
      </c>
      <c r="N3976">
        <v>69.849999999999994</v>
      </c>
      <c r="O3976">
        <v>99</v>
      </c>
      <c r="P3976">
        <v>85</v>
      </c>
    </row>
    <row r="3977" spans="1:16" x14ac:dyDescent="0.25">
      <c r="A3977">
        <v>21500048</v>
      </c>
      <c r="B3977">
        <v>2015</v>
      </c>
      <c r="C3977" t="s">
        <v>32</v>
      </c>
      <c r="D3977" t="s">
        <v>29</v>
      </c>
      <c r="E3977">
        <v>44</v>
      </c>
      <c r="F3977">
        <v>57</v>
      </c>
      <c r="G3977">
        <v>3</v>
      </c>
      <c r="H3977" s="1">
        <v>5.37037037037037E-3</v>
      </c>
      <c r="I3977" t="s">
        <v>18</v>
      </c>
      <c r="J3977" s="2" t="str">
        <f>HYPERLINK("https://www.nba.com/stats/events?CFID=&amp;CFPARAMS=&amp;GameEventID=282&amp;GameID=0021500048&amp;Season=2015-16&amp;flag=1&amp;title=Leonard%2013'%20Pullup%20Jump%20Shot%20(16%20PTS)", "Leonard 13' Pullup Jump Shot (16 PTS)")</f>
        <v>Leonard 13' Pullup Jump Shot (16 PTS)</v>
      </c>
      <c r="K3977" s="2" t="str">
        <f>HYPERLINK("https://www.nba.com/game/...-vs-...-0021500048/play-by-play?watchFullGame=true", "SAS vs NYK - Q3 07:44.00")</f>
        <v>SAS vs NYK - Q3 07:44.00</v>
      </c>
      <c r="L3977">
        <v>13</v>
      </c>
      <c r="M3977">
        <v>99</v>
      </c>
      <c r="N3977">
        <v>90</v>
      </c>
      <c r="O3977">
        <v>99</v>
      </c>
      <c r="P3977">
        <v>90</v>
      </c>
    </row>
    <row r="3978" spans="1:16" x14ac:dyDescent="0.25">
      <c r="A3978">
        <v>21500742</v>
      </c>
      <c r="B3978">
        <v>2015</v>
      </c>
      <c r="C3978" t="s">
        <v>32</v>
      </c>
      <c r="D3978" t="s">
        <v>19</v>
      </c>
      <c r="E3978">
        <v>90</v>
      </c>
      <c r="F3978">
        <v>84</v>
      </c>
      <c r="G3978">
        <v>4</v>
      </c>
      <c r="H3978" s="1">
        <v>6.145833333333333E-3</v>
      </c>
      <c r="I3978" t="s">
        <v>18</v>
      </c>
      <c r="J3978" s="2" t="str">
        <f>HYPERLINK("https://www.nba.com/stats/events?CFID=&amp;CFPARAMS=&amp;GameEventID=386&amp;GameID=0021500742&amp;Season=2015-16&amp;flag=1&amp;title=Leonard%2015'%20Jump%20Shot%20(20%20PTS)", "Leonard 15' Jump Shot (20 PTS)")</f>
        <v>Leonard 15' Jump Shot (20 PTS)</v>
      </c>
      <c r="K3978" s="2" t="str">
        <f>HYPERLINK("https://www.nba.com/game/...-vs-...-0021500742/play-by-play?watchFullGame=true", "SAS vs NOP - Q4 08:51.00")</f>
        <v>SAS vs NOP - Q4 08:51.00</v>
      </c>
      <c r="L3978">
        <v>15</v>
      </c>
      <c r="M3978">
        <v>99</v>
      </c>
      <c r="N3978">
        <v>111</v>
      </c>
      <c r="O3978">
        <v>99</v>
      </c>
      <c r="P3978">
        <v>111</v>
      </c>
    </row>
    <row r="3979" spans="1:16" x14ac:dyDescent="0.25">
      <c r="A3979">
        <v>21900115</v>
      </c>
      <c r="B3979">
        <v>2019</v>
      </c>
      <c r="C3979" t="s">
        <v>32</v>
      </c>
      <c r="D3979" t="s">
        <v>22</v>
      </c>
      <c r="E3979">
        <v>98</v>
      </c>
      <c r="F3979">
        <v>95</v>
      </c>
      <c r="G3979">
        <v>4</v>
      </c>
      <c r="H3979" s="1">
        <v>1.0185185185185184E-3</v>
      </c>
      <c r="I3979" t="s">
        <v>23</v>
      </c>
      <c r="J3979" s="2" t="str">
        <f>HYPERLINK("https://www.nba.com/stats/events?CFID=&amp;CFPARAMS=&amp;GameEventID=649&amp;GameID=0021900115&amp;Season=2019-20&amp;flag=1&amp;title=[LAC]%20Leonard%20jumpshot:%20Made%20(23%20PTS)", "[LAC] Leonard jumpshot: Made (23 PTS)")</f>
        <v>[LAC] Leonard jumpshot: Made (23 PTS)</v>
      </c>
      <c r="K3979" s="2" t="str">
        <f>HYPERLINK("https://www.nba.com/game/...-vs-...-0021900115/play-by-play?watchFullGame=true", "LAC vs POR - Q4 01:28.00")</f>
        <v>LAC vs POR - Q4 01:28.00</v>
      </c>
      <c r="L3979">
        <v>20.2</v>
      </c>
      <c r="M3979">
        <v>76.260000000000005</v>
      </c>
      <c r="N3979">
        <v>69.78</v>
      </c>
      <c r="O3979">
        <v>99</v>
      </c>
      <c r="P3979">
        <v>171</v>
      </c>
    </row>
    <row r="3980" spans="1:16" x14ac:dyDescent="0.25">
      <c r="A3980">
        <v>21600874</v>
      </c>
      <c r="B3980">
        <v>2016</v>
      </c>
      <c r="C3980" t="s">
        <v>16</v>
      </c>
      <c r="D3980" t="s">
        <v>19</v>
      </c>
      <c r="E3980">
        <v>12</v>
      </c>
      <c r="F3980">
        <v>20</v>
      </c>
      <c r="G3980">
        <v>1</v>
      </c>
      <c r="H3980" s="1">
        <v>3.3564814814814816E-3</v>
      </c>
      <c r="I3980" t="s">
        <v>18</v>
      </c>
      <c r="J3980" s="2" t="str">
        <f>HYPERLINK("https://www.nba.com/stats/events?CFID=&amp;CFPARAMS=&amp;GameEventID=58&amp;GameID=0021600874&amp;Season=2016-17&amp;flag=1&amp;title=Leonard%2024'%203PT%20Jump%20Shot%20(12%20PTS)%20(Ginobili%201%20AST)", "Leonard 24' 3PT Jump Shot (12 PTS) (Ginobili 1 AST)")</f>
        <v>Leonard 24' 3PT Jump Shot (12 PTS) (Ginobili 1 AST)</v>
      </c>
      <c r="K3980" s="2" t="str">
        <f>HYPERLINK("https://www.nba.com/game/...-vs-...-0021600874/play-by-play?watchFullGame=true", "SAS vs LAL - Q1 04:50.00")</f>
        <v>SAS vs LAL - Q1 04:50.00</v>
      </c>
      <c r="L3980">
        <v>24</v>
      </c>
      <c r="M3980">
        <v>99</v>
      </c>
      <c r="N3980">
        <v>222</v>
      </c>
      <c r="O3980">
        <v>99</v>
      </c>
      <c r="P3980">
        <v>222</v>
      </c>
    </row>
    <row r="3981" spans="1:16" x14ac:dyDescent="0.25">
      <c r="A3981">
        <v>21500224</v>
      </c>
      <c r="B3981">
        <v>2015</v>
      </c>
      <c r="C3981" t="s">
        <v>16</v>
      </c>
      <c r="D3981" t="s">
        <v>19</v>
      </c>
      <c r="E3981">
        <v>38</v>
      </c>
      <c r="F3981">
        <v>32</v>
      </c>
      <c r="G3981">
        <v>2</v>
      </c>
      <c r="H3981" s="1">
        <v>3.414351851851852E-3</v>
      </c>
      <c r="I3981" t="s">
        <v>18</v>
      </c>
      <c r="J3981" s="2" t="str">
        <f>HYPERLINK("https://www.nba.com/stats/events?CFID=&amp;CFPARAMS=&amp;GameEventID=221&amp;GameID=0021500224&amp;Season=2015-16&amp;flag=1&amp;title=Leonard%2024'%203PT%20Jump%20Shot%20(11%20PTS)%20(Parker%203%20AST)", "Leonard 24' 3PT Jump Shot (11 PTS) (Parker 3 AST)")</f>
        <v>Leonard 24' 3PT Jump Shot (11 PTS) (Parker 3 AST)</v>
      </c>
      <c r="K3981" s="2" t="str">
        <f>HYPERLINK("https://www.nba.com/game/...-vs-...-0021500224/play-by-play?watchFullGame=true", "SAS vs DAL - Q2 04:55.00")</f>
        <v>SAS vs DAL - Q2 04:55.00</v>
      </c>
      <c r="L3981">
        <v>24</v>
      </c>
      <c r="M3981">
        <v>99</v>
      </c>
      <c r="N3981">
        <v>224</v>
      </c>
      <c r="O3981">
        <v>99</v>
      </c>
      <c r="P3981">
        <v>224</v>
      </c>
    </row>
    <row r="3982" spans="1:16" x14ac:dyDescent="0.25">
      <c r="A3982">
        <v>21500103</v>
      </c>
      <c r="B3982">
        <v>2015</v>
      </c>
      <c r="C3982" t="s">
        <v>16</v>
      </c>
      <c r="D3982" t="s">
        <v>19</v>
      </c>
      <c r="E3982">
        <v>57</v>
      </c>
      <c r="F3982">
        <v>69</v>
      </c>
      <c r="G3982">
        <v>3</v>
      </c>
      <c r="H3982" s="1">
        <v>2.9050925925925928E-3</v>
      </c>
      <c r="I3982" t="s">
        <v>18</v>
      </c>
      <c r="J3982" s="2" t="str">
        <f>HYPERLINK("https://www.nba.com/stats/events?CFID=&amp;CFPARAMS=&amp;GameEventID=324&amp;GameID=0021500103&amp;Season=2015-16&amp;flag=1&amp;title=Leonard%2025'%203PT%20Jump%20Shot%20(20%20PTS)%20(Duncan%202%20AST)", "Leonard 25' 3PT Jump Shot (20 PTS) (Duncan 2 AST)")</f>
        <v>Leonard 25' 3PT Jump Shot (20 PTS) (Duncan 2 AST)</v>
      </c>
      <c r="K3982" s="2" t="str">
        <f>HYPERLINK("https://www.nba.com/game/...-vs-...-0021500103/play-by-play?watchFullGame=true", "SAS vs SAC - Q3 04:11.00")</f>
        <v>SAS vs SAC - Q3 04:11.00</v>
      </c>
      <c r="L3982">
        <v>25</v>
      </c>
      <c r="M3982">
        <v>99</v>
      </c>
      <c r="N3982">
        <v>234</v>
      </c>
      <c r="O3982">
        <v>99</v>
      </c>
      <c r="P3982">
        <v>234</v>
      </c>
    </row>
    <row r="3983" spans="1:16" x14ac:dyDescent="0.25">
      <c r="A3983">
        <v>22300085</v>
      </c>
      <c r="B3983">
        <v>2023</v>
      </c>
      <c r="C3983" t="s">
        <v>16</v>
      </c>
      <c r="D3983" t="s">
        <v>19</v>
      </c>
      <c r="E3983">
        <v>14</v>
      </c>
      <c r="F3983">
        <v>12</v>
      </c>
      <c r="G3983">
        <v>1</v>
      </c>
      <c r="H3983" s="1">
        <v>5.1041666666666666E-3</v>
      </c>
      <c r="I3983" t="s">
        <v>23</v>
      </c>
      <c r="J3983" s="2" t="str">
        <f>HYPERLINK("https://www.nba.com/stats/events?CFID=&amp;CFPARAMS=&amp;GameEventID=51&amp;GameID=0022300085&amp;Season=2023-24&amp;flag=1&amp;title=Leonard%2025'%203PT%20%20(5%20PTS)", "25' 3PT  (5 PTS)")</f>
        <v>25' 3PT  (5 PTS)</v>
      </c>
      <c r="K3983" s="2" t="str">
        <f>HYPERLINK("https://www.nba.com/game/...-vs-...-0022300085/play-by-play?watchFullGame=true", "LAC vs UTA - Q1 07:21.00")</f>
        <v>LAC vs UTA - Q1 07:21.00</v>
      </c>
      <c r="L3983">
        <v>25.7</v>
      </c>
      <c r="M3983">
        <v>69.2</v>
      </c>
      <c r="N3983">
        <v>69.849999999999994</v>
      </c>
      <c r="O3983">
        <v>99</v>
      </c>
      <c r="P3983">
        <v>237</v>
      </c>
    </row>
    <row r="3984" spans="1:16" x14ac:dyDescent="0.25">
      <c r="A3984">
        <v>22301225</v>
      </c>
      <c r="B3984">
        <v>2023</v>
      </c>
      <c r="C3984" t="s">
        <v>16</v>
      </c>
      <c r="D3984" t="s">
        <v>19</v>
      </c>
      <c r="E3984">
        <v>45</v>
      </c>
      <c r="F3984">
        <v>56</v>
      </c>
      <c r="G3984">
        <v>2</v>
      </c>
      <c r="H3984" s="1">
        <v>3.3449074074074072E-4</v>
      </c>
      <c r="I3984" t="s">
        <v>23</v>
      </c>
      <c r="J3984" s="2" t="str">
        <f>HYPERLINK("https://www.nba.com/stats/events?CFID=&amp;CFPARAMS=&amp;GameEventID=323&amp;GameID=0022301225&amp;Season=2023-24&amp;flag=1&amp;title=Leonard%2027'%203PT%20%20(22%20PTS)%20(J.%20Harden%204%20AST)", "27' 3PT  (22 PTS) (J. Harden 4 AST)")</f>
        <v>27' 3PT  (22 PTS) (J. Harden 4 AST)</v>
      </c>
      <c r="K3984" s="2" t="str">
        <f>HYPERLINK("https://www.nba.com/game/...-vs-...-0022301225/play-by-play?watchFullGame=true", "LAC vs UTA - Q2 00:28.90")</f>
        <v>LAC vs UTA - Q2 00:28.90</v>
      </c>
      <c r="L3984">
        <v>27.07</v>
      </c>
      <c r="M3984">
        <v>67.62</v>
      </c>
      <c r="N3984">
        <v>69.849999999999994</v>
      </c>
      <c r="O3984">
        <v>99</v>
      </c>
      <c r="P3984">
        <v>252</v>
      </c>
    </row>
    <row r="3985" spans="1:16" x14ac:dyDescent="0.25">
      <c r="A3985">
        <v>22300037</v>
      </c>
      <c r="B3985">
        <v>2023</v>
      </c>
      <c r="C3985" t="s">
        <v>16</v>
      </c>
      <c r="D3985" t="s">
        <v>19</v>
      </c>
      <c r="E3985">
        <v>53</v>
      </c>
      <c r="F3985">
        <v>50</v>
      </c>
      <c r="G3985">
        <v>3</v>
      </c>
      <c r="H3985" s="1">
        <v>7.6967592592592591E-3</v>
      </c>
      <c r="I3985" t="s">
        <v>23</v>
      </c>
      <c r="J3985" s="2" t="str">
        <f>HYPERLINK("https://www.nba.com/stats/events?CFID=&amp;CFPARAMS=&amp;GameEventID=366&amp;GameID=0022300037&amp;Season=2023-24&amp;flag=1&amp;title=Leonard%2027'%203PT%20%20(14%20PTS)%20(J.%20Harden%202%20AST)", "27' 3PT  (14 PTS) (J. Harden 2 AST)")</f>
        <v>27' 3PT  (14 PTS) (J. Harden 2 AST)</v>
      </c>
      <c r="K3985" s="2" t="str">
        <f>HYPERLINK("https://www.nba.com/game/...-vs-...-0022300037/play-by-play?watchFullGame=true", "LAC vs HOU - Q3 11:05.00")</f>
        <v>LAC vs HOU - Q3 11:05.00</v>
      </c>
      <c r="L3985">
        <v>27.44</v>
      </c>
      <c r="M3985">
        <v>67.2</v>
      </c>
      <c r="N3985">
        <v>69.849999999999994</v>
      </c>
      <c r="O3985">
        <v>99</v>
      </c>
      <c r="P3985">
        <v>256</v>
      </c>
    </row>
    <row r="3986" spans="1:16" x14ac:dyDescent="0.25">
      <c r="A3986">
        <v>41300313</v>
      </c>
      <c r="B3986" t="s">
        <v>26</v>
      </c>
      <c r="C3986" t="s">
        <v>32</v>
      </c>
      <c r="D3986" t="s">
        <v>19</v>
      </c>
      <c r="E3986">
        <v>51</v>
      </c>
      <c r="F3986">
        <v>47</v>
      </c>
      <c r="G3986">
        <v>2</v>
      </c>
      <c r="H3986" s="1">
        <v>8.1018518518518516E-4</v>
      </c>
      <c r="I3986" t="s">
        <v>18</v>
      </c>
      <c r="J3986" s="2" t="str">
        <f>HYPERLINK("https://www.nba.com/stats/events?CFID=&amp;CFPARAMS=&amp;GameEventID=239&amp;GameID=0041300313&amp;Season=2013-14&amp;flag=1&amp;title=Leonard%2010'%20Jump%20Shot%20(6%20PTS)", "Leonard 10' Jump Shot (6 PTS)")</f>
        <v>Leonard 10' Jump Shot (6 PTS)</v>
      </c>
      <c r="K3986" s="2" t="str">
        <f>HYPERLINK("https://www.nba.com/game/...-vs-...-0041300313/play-by-play?watchFullGame=true", "SAS vs OKC - Q2 01:10.00")</f>
        <v>SAS vs OKC - Q2 01:10.00</v>
      </c>
      <c r="L3986">
        <v>10</v>
      </c>
      <c r="M3986">
        <v>100</v>
      </c>
      <c r="N3986">
        <v>0</v>
      </c>
      <c r="O3986">
        <v>100</v>
      </c>
      <c r="P3986">
        <v>0</v>
      </c>
    </row>
    <row r="3987" spans="1:16" x14ac:dyDescent="0.25">
      <c r="A3987">
        <v>41800217</v>
      </c>
      <c r="B3987" t="s">
        <v>20</v>
      </c>
      <c r="C3987" t="s">
        <v>32</v>
      </c>
      <c r="D3987" t="s">
        <v>29</v>
      </c>
      <c r="E3987">
        <v>75</v>
      </c>
      <c r="F3987">
        <v>71</v>
      </c>
      <c r="G3987">
        <v>4</v>
      </c>
      <c r="H3987" s="1">
        <v>5.9837962962962961E-3</v>
      </c>
      <c r="I3987" t="s">
        <v>21</v>
      </c>
      <c r="J3987" s="2" t="str">
        <f>HYPERLINK("https://www.nba.com/stats/events?CFID=&amp;CFPARAMS=&amp;GameEventID=500&amp;GameID=0041800217&amp;Season=2018-19&amp;flag=1&amp;title=Leonard%2011'%20Pullup%20Jump%20Shot%20(28%20PTS)", "Leonard 11' Pullup Jump Shot (28 PTS)")</f>
        <v>Leonard 11' Pullup Jump Shot (28 PTS)</v>
      </c>
      <c r="K3987" s="2" t="str">
        <f>HYPERLINK("https://www.nba.com/game/...-vs-...-0041800217/play-by-play?watchFullGame=true", "TOR vs PHI - Q4 08:37.00")</f>
        <v>TOR vs PHI - Q4 08:37.00</v>
      </c>
      <c r="L3987">
        <v>11</v>
      </c>
      <c r="M3987">
        <v>100</v>
      </c>
      <c r="N3987">
        <v>53</v>
      </c>
      <c r="O3987">
        <v>100</v>
      </c>
      <c r="P3987">
        <v>53</v>
      </c>
    </row>
    <row r="3988" spans="1:16" x14ac:dyDescent="0.25">
      <c r="A3988">
        <v>21300952</v>
      </c>
      <c r="B3988">
        <v>2013</v>
      </c>
      <c r="C3988" t="s">
        <v>32</v>
      </c>
      <c r="D3988" t="s">
        <v>19</v>
      </c>
      <c r="E3988">
        <v>43</v>
      </c>
      <c r="F3988">
        <v>68</v>
      </c>
      <c r="G3988">
        <v>3</v>
      </c>
      <c r="H3988" s="1">
        <v>5.208333333333333E-3</v>
      </c>
      <c r="I3988" t="s">
        <v>18</v>
      </c>
      <c r="J3988" s="2" t="str">
        <f>HYPERLINK("https://www.nba.com/stats/events?CFID=&amp;CFPARAMS=&amp;GameEventID=264&amp;GameID=0021300952&amp;Season=2013-14&amp;flag=1&amp;title=Leonard%2013'%20Jump%20Shot%20(14%20PTS)%20(Parker%207%20AST)", "Leonard 13' Jump Shot (14 PTS) (Parker 7 AST)")</f>
        <v>Leonard 13' Jump Shot (14 PTS) (Parker 7 AST)</v>
      </c>
      <c r="K3988" s="2" t="str">
        <f>HYPERLINK("https://www.nba.com/game/...-vs-...-0021300952/play-by-play?watchFullGame=true", "SAS vs CHI - Q3 07:30.00")</f>
        <v>SAS vs CHI - Q3 07:30.00</v>
      </c>
      <c r="L3988">
        <v>13</v>
      </c>
      <c r="M3988">
        <v>100</v>
      </c>
      <c r="N3988">
        <v>85</v>
      </c>
      <c r="O3988">
        <v>100</v>
      </c>
      <c r="P3988">
        <v>85</v>
      </c>
    </row>
    <row r="3989" spans="1:16" x14ac:dyDescent="0.25">
      <c r="A3989">
        <v>41800111</v>
      </c>
      <c r="B3989" t="s">
        <v>20</v>
      </c>
      <c r="C3989" t="s">
        <v>32</v>
      </c>
      <c r="D3989" t="s">
        <v>29</v>
      </c>
      <c r="E3989">
        <v>6</v>
      </c>
      <c r="F3989">
        <v>2</v>
      </c>
      <c r="G3989">
        <v>1</v>
      </c>
      <c r="H3989" s="1">
        <v>7.060185185185185E-3</v>
      </c>
      <c r="I3989" t="s">
        <v>21</v>
      </c>
      <c r="J3989" s="2" t="str">
        <f>HYPERLINK("https://www.nba.com/stats/events?CFID=&amp;CFPARAMS=&amp;GameEventID=25&amp;GameID=0041800111&amp;Season=2018-19&amp;flag=1&amp;title=Leonard%2017'%20Pullup%20Jump%20Shot%20(4%20PTS)", "Leonard 17' Pullup Jump Shot (4 PTS)")</f>
        <v>Leonard 17' Pullup Jump Shot (4 PTS)</v>
      </c>
      <c r="K3989" s="2" t="str">
        <f>HYPERLINK("https://www.nba.com/game/...-vs-...-0041800111/play-by-play?watchFullGame=true", "TOR vs ORL - Q1 10:10.00")</f>
        <v>TOR vs ORL - Q1 10:10.00</v>
      </c>
      <c r="L3989">
        <v>17</v>
      </c>
      <c r="M3989">
        <v>100</v>
      </c>
      <c r="N3989">
        <v>134</v>
      </c>
      <c r="O3989">
        <v>100</v>
      </c>
      <c r="P3989">
        <v>134</v>
      </c>
    </row>
    <row r="3990" spans="1:16" x14ac:dyDescent="0.25">
      <c r="A3990">
        <v>21400191</v>
      </c>
      <c r="B3990">
        <v>2014</v>
      </c>
      <c r="C3990" t="s">
        <v>32</v>
      </c>
      <c r="D3990" t="s">
        <v>19</v>
      </c>
      <c r="E3990">
        <v>10</v>
      </c>
      <c r="F3990">
        <v>4</v>
      </c>
      <c r="G3990">
        <v>1</v>
      </c>
      <c r="H3990" s="1">
        <v>5.8217592592592592E-3</v>
      </c>
      <c r="I3990" t="s">
        <v>18</v>
      </c>
      <c r="J3990" s="2" t="str">
        <f>HYPERLINK("https://www.nba.com/stats/events?CFID=&amp;CFPARAMS=&amp;GameEventID=22&amp;GameID=0021400191&amp;Season=2014-15&amp;flag=1&amp;title=Leonard%2019'%20Jump%20Shot%20(2%20PTS)%20(Duncan%201%20AST)", "Leonard 19' Jump Shot (2 PTS) (Duncan 1 AST)")</f>
        <v>Leonard 19' Jump Shot (2 PTS) (Duncan 1 AST)</v>
      </c>
      <c r="K3990" s="2" t="str">
        <f>HYPERLINK("https://www.nba.com/game/...-vs-...-0021400191/play-by-play?watchFullGame=true", "SAS vs BKN - Q1 08:23.00")</f>
        <v>SAS vs BKN - Q1 08:23.00</v>
      </c>
      <c r="L3990">
        <v>19</v>
      </c>
      <c r="M3990">
        <v>100</v>
      </c>
      <c r="N3990">
        <v>165</v>
      </c>
      <c r="O3990">
        <v>100</v>
      </c>
      <c r="P3990">
        <v>165</v>
      </c>
    </row>
    <row r="3991" spans="1:16" x14ac:dyDescent="0.25">
      <c r="A3991">
        <v>22200525</v>
      </c>
      <c r="B3991">
        <v>2022</v>
      </c>
      <c r="C3991" t="s">
        <v>32</v>
      </c>
      <c r="D3991" t="s">
        <v>19</v>
      </c>
      <c r="E3991">
        <v>112</v>
      </c>
      <c r="F3991">
        <v>104</v>
      </c>
      <c r="G3991">
        <v>4</v>
      </c>
      <c r="H3991" s="1">
        <v>1.8518518518518519E-3</v>
      </c>
      <c r="I3991" t="s">
        <v>23</v>
      </c>
      <c r="J3991" s="2" t="str">
        <f>HYPERLINK("https://www.nba.com/stats/events?CFID=&amp;CFPARAMS=&amp;GameEventID=579&amp;GameID=0022200525&amp;Season=2022-23&amp;flag=1&amp;title=Leonard%2023'%20Jump%20Shot%20(24%20PTS)", "23' Jump Shot (24 PTS)")</f>
        <v>23' Jump Shot (24 PTS)</v>
      </c>
      <c r="K3991" s="2" t="str">
        <f>HYPERLINK("https://www.nba.com/game/...-vs-...-0022200525/play-by-play?watchFullGame=true", "LAC vs BOS - Q4 02:40.00")</f>
        <v>LAC vs BOS - Q4 02:40.00</v>
      </c>
      <c r="L3991">
        <v>23.07</v>
      </c>
      <c r="M3991">
        <v>27.68</v>
      </c>
      <c r="N3991">
        <v>29.9</v>
      </c>
      <c r="O3991">
        <v>100</v>
      </c>
      <c r="P3991">
        <v>208</v>
      </c>
    </row>
    <row r="3992" spans="1:16" x14ac:dyDescent="0.25">
      <c r="A3992">
        <v>21401134</v>
      </c>
      <c r="B3992">
        <v>2014</v>
      </c>
      <c r="C3992" t="s">
        <v>16</v>
      </c>
      <c r="D3992" t="s">
        <v>19</v>
      </c>
      <c r="E3992">
        <v>26</v>
      </c>
      <c r="F3992">
        <v>14</v>
      </c>
      <c r="G3992">
        <v>1</v>
      </c>
      <c r="H3992" s="1">
        <v>4.0625000000000001E-3</v>
      </c>
      <c r="I3992" t="s">
        <v>18</v>
      </c>
      <c r="J3992" s="2" t="str">
        <f>HYPERLINK("https://www.nba.com/stats/events?CFID=&amp;CFPARAMS=&amp;GameEventID=50&amp;GameID=0021401134&amp;Season=2014-15&amp;flag=1&amp;title=Leonard%2024'%203PT%20Jump%20Shot%20(13%20PTS)%20(Parker%204%20AST)", "Leonard 24' 3PT Jump Shot (13 PTS) (Parker 4 AST)")</f>
        <v>Leonard 24' 3PT Jump Shot (13 PTS) (Parker 4 AST)</v>
      </c>
      <c r="K3992" s="2" t="str">
        <f>HYPERLINK("https://www.nba.com/game/...-vs-...-0021401134/play-by-play?watchFullGame=true", "SAS vs DEN - Q1 05:51.00")</f>
        <v>SAS vs DEN - Q1 05:51.00</v>
      </c>
      <c r="L3992">
        <v>24</v>
      </c>
      <c r="M3992">
        <v>100</v>
      </c>
      <c r="N3992">
        <v>220</v>
      </c>
      <c r="O3992">
        <v>100</v>
      </c>
      <c r="P3992">
        <v>220</v>
      </c>
    </row>
    <row r="3993" spans="1:16" x14ac:dyDescent="0.25">
      <c r="A3993">
        <v>22200871</v>
      </c>
      <c r="B3993">
        <v>2022</v>
      </c>
      <c r="C3993" t="s">
        <v>16</v>
      </c>
      <c r="D3993" t="s">
        <v>19</v>
      </c>
      <c r="E3993">
        <v>76</v>
      </c>
      <c r="F3993">
        <v>73</v>
      </c>
      <c r="G3993">
        <v>3</v>
      </c>
      <c r="H3993" s="1">
        <v>6.2384259259259259E-3</v>
      </c>
      <c r="I3993" t="s">
        <v>23</v>
      </c>
      <c r="J3993" s="2" t="str">
        <f>HYPERLINK("https://www.nba.com/stats/events?CFID=&amp;CFPARAMS=&amp;GameEventID=367&amp;GameID=0022200871&amp;Season=2022-23&amp;flag=1&amp;title=Leonard%2025'%203PT%20step%20back%20(24%20PTS)", "25' 3PT step back (24 PTS)")</f>
        <v>25' 3PT step back (24 PTS)</v>
      </c>
      <c r="K3993" s="2" t="str">
        <f>HYPERLINK("https://www.nba.com/game/...-vs-...-0022200871/play-by-play?watchFullGame=true", "LAC vs GSW - Q3 08:59.00")</f>
        <v>LAC vs GSW - Q3 08:59.00</v>
      </c>
      <c r="L3993">
        <v>25.29</v>
      </c>
      <c r="M3993">
        <v>30.27</v>
      </c>
      <c r="N3993">
        <v>29.9</v>
      </c>
      <c r="O3993">
        <v>100</v>
      </c>
      <c r="P3993">
        <v>232</v>
      </c>
    </row>
    <row r="3994" spans="1:16" x14ac:dyDescent="0.25">
      <c r="A3994">
        <v>22001019</v>
      </c>
      <c r="B3994">
        <v>2020</v>
      </c>
      <c r="C3994" t="s">
        <v>32</v>
      </c>
      <c r="D3994" t="s">
        <v>19</v>
      </c>
      <c r="E3994">
        <v>17</v>
      </c>
      <c r="F3994">
        <v>15</v>
      </c>
      <c r="G3994">
        <v>1</v>
      </c>
      <c r="H3994" s="1">
        <v>1.9907407407407408E-3</v>
      </c>
      <c r="I3994" t="s">
        <v>23</v>
      </c>
      <c r="J3994" s="2" t="str">
        <f>HYPERLINK("https://www.nba.com/stats/events?CFID=&amp;CFPARAMS=&amp;GameEventID=100&amp;GameID=0022001019&amp;Season=2020-21&amp;flag=1&amp;title=Leonard%2010'%20turnaround%20fadeaway%20Jump%20Shot%20(7%20PTS)%20(R.%20Rondo%201%20AST)", "10' turnaround fadeaway Jump Shot (7 PTS) (R. Rondo 1 AST)")</f>
        <v>10' turnaround fadeaway Jump Shot (7 PTS) (R. Rondo 1 AST)</v>
      </c>
      <c r="K3994" s="2" t="str">
        <f>HYPERLINK("https://www.nba.com/game/...-vs-...-0022001019/play-by-play?watchFullGame=true", "LAC vs NYK - Q1 02:52.00")</f>
        <v>LAC vs NYK - Q1 02:52.00</v>
      </c>
      <c r="L3994">
        <v>10.09</v>
      </c>
      <c r="M3994">
        <v>94.96</v>
      </c>
      <c r="N3994">
        <v>70.17</v>
      </c>
      <c r="O3994">
        <v>101</v>
      </c>
      <c r="P3994">
        <v>-5</v>
      </c>
    </row>
    <row r="3995" spans="1:16" x14ac:dyDescent="0.25">
      <c r="A3995">
        <v>22000188</v>
      </c>
      <c r="B3995">
        <v>2020</v>
      </c>
      <c r="C3995" t="s">
        <v>32</v>
      </c>
      <c r="D3995" t="s">
        <v>19</v>
      </c>
      <c r="E3995">
        <v>63</v>
      </c>
      <c r="F3995">
        <v>73</v>
      </c>
      <c r="G3995">
        <v>3</v>
      </c>
      <c r="H3995" s="1">
        <v>7.6967592592592591E-3</v>
      </c>
      <c r="I3995" t="s">
        <v>23</v>
      </c>
      <c r="J3995" s="2" t="str">
        <f>HYPERLINK("https://www.nba.com/stats/events?CFID=&amp;CFPARAMS=&amp;GameEventID=330&amp;GameID=0022000188&amp;Season=2020-21&amp;flag=1&amp;title=Leonard%2010'%20turnaround%20fadeaway%20Jump%20Shot%20(18%20PTS)", "10' turnaround fadeaway Jump Shot (18 PTS)")</f>
        <v>10' turnaround fadeaway Jump Shot (18 PTS)</v>
      </c>
      <c r="K3995" s="2" t="str">
        <f>HYPERLINK("https://www.nba.com/game/...-vs-...-0022000188/play-by-play?watchFullGame=true", "LAC vs SAC - Q3 11:05.00")</f>
        <v>LAC vs SAC - Q3 11:05.00</v>
      </c>
      <c r="L3995">
        <v>10.14</v>
      </c>
      <c r="M3995">
        <v>5.73</v>
      </c>
      <c r="N3995">
        <v>29.73</v>
      </c>
      <c r="O3995">
        <v>101</v>
      </c>
      <c r="P3995">
        <v>1</v>
      </c>
    </row>
    <row r="3996" spans="1:16" x14ac:dyDescent="0.25">
      <c r="A3996">
        <v>21500040</v>
      </c>
      <c r="B3996">
        <v>2015</v>
      </c>
      <c r="C3996" t="s">
        <v>32</v>
      </c>
      <c r="D3996" t="s">
        <v>34</v>
      </c>
      <c r="E3996">
        <v>46</v>
      </c>
      <c r="F3996">
        <v>58</v>
      </c>
      <c r="G3996">
        <v>3</v>
      </c>
      <c r="H3996" s="1">
        <v>2.8819444444444444E-3</v>
      </c>
      <c r="I3996" t="s">
        <v>18</v>
      </c>
      <c r="J3996" s="2" t="str">
        <f>HYPERLINK("https://www.nba.com/stats/events?CFID=&amp;CFPARAMS=&amp;GameEventID=385&amp;GameID=0021500040&amp;Season=2015-16&amp;flag=1&amp;title=Leonard%2010'%20Turnaround%20Fadeaway%20(12%20PTS)", "Leonard 10' Turnaround Fadeaway (12 PTS)")</f>
        <v>Leonard 10' Turnaround Fadeaway (12 PTS)</v>
      </c>
      <c r="K3996" s="2" t="str">
        <f>HYPERLINK("https://www.nba.com/game/...-vs-...-0021500040/play-by-play?watchFullGame=true", "SAS vs BOS - Q3 04:09.00")</f>
        <v>SAS vs BOS - Q3 04:09.00</v>
      </c>
      <c r="L3996">
        <v>10</v>
      </c>
      <c r="M3996">
        <v>101</v>
      </c>
      <c r="N3996">
        <v>7</v>
      </c>
      <c r="O3996">
        <v>101</v>
      </c>
      <c r="P3996">
        <v>7</v>
      </c>
    </row>
    <row r="3997" spans="1:16" x14ac:dyDescent="0.25">
      <c r="A3997">
        <v>41600233</v>
      </c>
      <c r="B3997" t="s">
        <v>30</v>
      </c>
      <c r="C3997" t="s">
        <v>32</v>
      </c>
      <c r="D3997" t="s">
        <v>24</v>
      </c>
      <c r="E3997">
        <v>37</v>
      </c>
      <c r="F3997">
        <v>39</v>
      </c>
      <c r="G3997">
        <v>2</v>
      </c>
      <c r="H3997" s="1">
        <v>1.4930555555555556E-3</v>
      </c>
      <c r="I3997" t="s">
        <v>18</v>
      </c>
      <c r="J3997" s="2" t="str">
        <f>HYPERLINK("https://www.nba.com/stats/events?CFID=&amp;CFPARAMS=&amp;GameEventID=230&amp;GameID=0041600233&amp;Season=2016-17&amp;flag=1&amp;title=Leonard%2010'%20Turnaround%20Jump%20Shot%20(6%20PTS)", "Leonard 10' Turnaround Jump Shot (6 PTS)")</f>
        <v>Leonard 10' Turnaround Jump Shot (6 PTS)</v>
      </c>
      <c r="K3997" s="2" t="str">
        <f>HYPERLINK("https://www.nba.com/game/...-vs-...-0041600233/play-by-play?watchFullGame=true", "SAS vs HOU - Q2 02:09.00")</f>
        <v>SAS vs HOU - Q2 02:09.00</v>
      </c>
      <c r="L3997">
        <v>10</v>
      </c>
      <c r="M3997">
        <v>101</v>
      </c>
      <c r="N3997">
        <v>21</v>
      </c>
      <c r="O3997">
        <v>101</v>
      </c>
      <c r="P3997">
        <v>21</v>
      </c>
    </row>
    <row r="3998" spans="1:16" x14ac:dyDescent="0.25">
      <c r="A3998">
        <v>21600272</v>
      </c>
      <c r="B3998">
        <v>2016</v>
      </c>
      <c r="C3998" t="s">
        <v>32</v>
      </c>
      <c r="D3998" t="s">
        <v>33</v>
      </c>
      <c r="E3998">
        <v>79</v>
      </c>
      <c r="F3998">
        <v>76</v>
      </c>
      <c r="G3998">
        <v>4</v>
      </c>
      <c r="H3998" s="1">
        <v>3.8310185185185183E-3</v>
      </c>
      <c r="I3998" t="s">
        <v>18</v>
      </c>
      <c r="J3998" s="2" t="str">
        <f>HYPERLINK("https://www.nba.com/stats/events?CFID=&amp;CFPARAMS=&amp;GameEventID=441&amp;GameID=0021600272&amp;Season=2016-17&amp;flag=1&amp;title=Leonard%2012'%20Fadeaway%20Jumper%20(16%20PTS)", "Leonard 12' Fadeaway Jumper (16 PTS)")</f>
        <v>Leonard 12' Fadeaway Jumper (16 PTS)</v>
      </c>
      <c r="K3998" s="2" t="str">
        <f>HYPERLINK("https://www.nba.com/game/...-vs-...-0021600272/play-by-play?watchFullGame=true", "SAS vs DAL - Q4 05:31.00")</f>
        <v>SAS vs DAL - Q4 05:31.00</v>
      </c>
      <c r="L3998">
        <v>12</v>
      </c>
      <c r="M3998">
        <v>101</v>
      </c>
      <c r="N3998">
        <v>70</v>
      </c>
      <c r="O3998">
        <v>101</v>
      </c>
      <c r="P3998">
        <v>70</v>
      </c>
    </row>
    <row r="3999" spans="1:16" x14ac:dyDescent="0.25">
      <c r="A3999">
        <v>21500061</v>
      </c>
      <c r="B3999">
        <v>2015</v>
      </c>
      <c r="C3999" t="s">
        <v>32</v>
      </c>
      <c r="D3999" t="s">
        <v>34</v>
      </c>
      <c r="E3999">
        <v>19</v>
      </c>
      <c r="F3999">
        <v>10</v>
      </c>
      <c r="G3999">
        <v>1</v>
      </c>
      <c r="H3999" s="1">
        <v>3.0439814814814813E-3</v>
      </c>
      <c r="I3999" t="s">
        <v>18</v>
      </c>
      <c r="J3999" s="2" t="str">
        <f>HYPERLINK("https://www.nba.com/stats/events?CFID=&amp;CFPARAMS=&amp;GameEventID=69&amp;GameID=0021500061&amp;Season=2015-16&amp;flag=1&amp;title=Leonard%2016'%20Turnaround%20Fadeaway%20(4%20PTS)", "Leonard 16' Turnaround Fadeaway (4 PTS)")</f>
        <v>Leonard 16' Turnaround Fadeaway (4 PTS)</v>
      </c>
      <c r="K3999" s="2" t="str">
        <f>HYPERLINK("https://www.nba.com/game/...-vs-...-0021500061/play-by-play?watchFullGame=true", "SAS vs WAS - Q1 04:23.00")</f>
        <v>SAS vs WAS - Q1 04:23.00</v>
      </c>
      <c r="L3999">
        <v>16</v>
      </c>
      <c r="M3999">
        <v>101</v>
      </c>
      <c r="N3999">
        <v>126</v>
      </c>
      <c r="O3999">
        <v>101</v>
      </c>
      <c r="P3999">
        <v>126</v>
      </c>
    </row>
    <row r="4000" spans="1:16" x14ac:dyDescent="0.25">
      <c r="A4000">
        <v>22000002</v>
      </c>
      <c r="B4000">
        <v>2020</v>
      </c>
      <c r="C4000" t="s">
        <v>32</v>
      </c>
      <c r="D4000" t="s">
        <v>19</v>
      </c>
      <c r="E4000">
        <v>94</v>
      </c>
      <c r="F4000">
        <v>109</v>
      </c>
      <c r="G4000">
        <v>4</v>
      </c>
      <c r="H4000" s="1">
        <v>3.3680555555555556E-3</v>
      </c>
      <c r="I4000" t="s">
        <v>23</v>
      </c>
      <c r="J4000" s="2" t="str">
        <f>HYPERLINK("https://www.nba.com/stats/events?CFID=&amp;CFPARAMS=&amp;GameEventID=641&amp;GameID=0022000002&amp;Season=2020-21&amp;flag=1&amp;title=Leonard%2016'%20turnaround%20fadeaway%20Jump%20Shot%20(26%20PTS)%20(N.%20Batum%205%20AST)", "16' turnaround fadeaway Jump Shot (26 PTS) (N. Batum 5 AST)")</f>
        <v>16' turnaround fadeaway Jump Shot (26 PTS) (N. Batum 5 AST)</v>
      </c>
      <c r="K4000" s="2" t="str">
        <f>HYPERLINK("https://www.nba.com/game/...-vs-...-0022000002/play-by-play?watchFullGame=true", "LAC vs LAL - Q4 04:51.00")</f>
        <v>LAC vs LAL - Q4 04:51.00</v>
      </c>
      <c r="L4000">
        <v>16.510000000000002</v>
      </c>
      <c r="M4000">
        <v>80.5</v>
      </c>
      <c r="N4000">
        <v>70.17</v>
      </c>
      <c r="O4000">
        <v>101</v>
      </c>
      <c r="P4000">
        <v>131</v>
      </c>
    </row>
    <row r="4001" spans="1:16" x14ac:dyDescent="0.25">
      <c r="A4001">
        <v>22000077</v>
      </c>
      <c r="B4001">
        <v>2020</v>
      </c>
      <c r="C4001" t="s">
        <v>32</v>
      </c>
      <c r="D4001" t="s">
        <v>19</v>
      </c>
      <c r="E4001">
        <v>91</v>
      </c>
      <c r="F4001">
        <v>81</v>
      </c>
      <c r="G4001">
        <v>4</v>
      </c>
      <c r="H4001" s="1">
        <v>4.7106481481481478E-3</v>
      </c>
      <c r="I4001" t="s">
        <v>23</v>
      </c>
      <c r="J4001" s="2" t="str">
        <f>HYPERLINK("https://www.nba.com/stats/events?CFID=&amp;CFPARAMS=&amp;GameEventID=554&amp;GameID=0022000077&amp;Season=2020-21&amp;flag=1&amp;title=Leonard%2017'%20step%20back%20Jump%20Shot%20(18%20PTS)", "17' step back Jump Shot (18 PTS)")</f>
        <v>17' step back Jump Shot (18 PTS)</v>
      </c>
      <c r="K4001" s="2" t="str">
        <f>HYPERLINK("https://www.nba.com/game/...-vs-...-0022000077/play-by-play?watchFullGame=true", "LAC vs UTA - Q4 06:47.00")</f>
        <v>LAC vs UTA - Q4 06:47.00</v>
      </c>
      <c r="L4001">
        <v>17.2</v>
      </c>
      <c r="M4001">
        <v>79.58</v>
      </c>
      <c r="N4001">
        <v>70.17</v>
      </c>
      <c r="O4001">
        <v>101</v>
      </c>
      <c r="P4001">
        <v>139</v>
      </c>
    </row>
    <row r="4002" spans="1:16" x14ac:dyDescent="0.25">
      <c r="A4002">
        <v>21600037</v>
      </c>
      <c r="B4002">
        <v>2016</v>
      </c>
      <c r="C4002" t="s">
        <v>32</v>
      </c>
      <c r="D4002" t="s">
        <v>29</v>
      </c>
      <c r="E4002">
        <v>93</v>
      </c>
      <c r="F4002">
        <v>98</v>
      </c>
      <c r="G4002">
        <v>4</v>
      </c>
      <c r="H4002" s="1">
        <v>2.3842592592592591E-3</v>
      </c>
      <c r="I4002" t="s">
        <v>18</v>
      </c>
      <c r="J4002" s="2" t="str">
        <f>HYPERLINK("https://www.nba.com/stats/events?CFID=&amp;CFPARAMS=&amp;GameEventID=520&amp;GameID=0021600037&amp;Season=2016-17&amp;flag=1&amp;title=Leonard%2018'%20Pullup%20Jump%20Shot%20(19%20PTS)", "Leonard 18' Pullup Jump Shot (19 PTS)")</f>
        <v>Leonard 18' Pullup Jump Shot (19 PTS)</v>
      </c>
      <c r="K4002" s="2" t="str">
        <f>HYPERLINK("https://www.nba.com/game/...-vs-...-0021600037/play-by-play?watchFullGame=true", "SAS vs MIA - Q4 03:26.00")</f>
        <v>SAS vs MIA - Q4 03:26.00</v>
      </c>
      <c r="L4002">
        <v>18</v>
      </c>
      <c r="M4002">
        <v>101</v>
      </c>
      <c r="N4002">
        <v>149</v>
      </c>
      <c r="O4002">
        <v>101</v>
      </c>
      <c r="P4002">
        <v>149</v>
      </c>
    </row>
    <row r="4003" spans="1:16" x14ac:dyDescent="0.25">
      <c r="A4003">
        <v>21900377</v>
      </c>
      <c r="B4003">
        <v>2019</v>
      </c>
      <c r="C4003" t="s">
        <v>16</v>
      </c>
      <c r="D4003" t="s">
        <v>22</v>
      </c>
      <c r="E4003">
        <v>7</v>
      </c>
      <c r="F4003">
        <v>14</v>
      </c>
      <c r="G4003">
        <v>1</v>
      </c>
      <c r="H4003" s="1">
        <v>5.2430555555555555E-3</v>
      </c>
      <c r="I4003" t="s">
        <v>23</v>
      </c>
      <c r="J4003" s="2" t="str">
        <f>HYPERLINK("https://www.nba.com/stats/events?CFID=&amp;CFPARAMS=&amp;GameEventID=49&amp;GameID=0021900377&amp;Season=2019-20&amp;flag=1&amp;title=Leonard%2026'%203PT%20%20(9%20PTS)%20(T.%20Mann%201%20AST)", "26' 3PT  (9 PTS) (T. Mann 1 AST)")</f>
        <v>26' 3PT  (9 PTS) (T. Mann 1 AST)</v>
      </c>
      <c r="K4003" s="2" t="str">
        <f>HYPERLINK("https://www.nba.com/game/...-vs-...-0021900377/play-by-play?watchFullGame=true", "LAC vs MIN - Q1 07:33.00")</f>
        <v>LAC vs MIN - Q1 07:33.00</v>
      </c>
      <c r="L4003">
        <v>26.26</v>
      </c>
      <c r="M4003">
        <v>69.2</v>
      </c>
      <c r="N4003">
        <v>70.17</v>
      </c>
      <c r="O4003">
        <v>101</v>
      </c>
      <c r="P4003">
        <v>237</v>
      </c>
    </row>
    <row r="4004" spans="1:16" x14ac:dyDescent="0.25">
      <c r="A4004">
        <v>21300032</v>
      </c>
      <c r="B4004">
        <v>2013</v>
      </c>
      <c r="C4004" t="s">
        <v>32</v>
      </c>
      <c r="D4004" t="s">
        <v>34</v>
      </c>
      <c r="E4004">
        <v>55</v>
      </c>
      <c r="F4004">
        <v>56</v>
      </c>
      <c r="G4004">
        <v>3</v>
      </c>
      <c r="H4004" s="1">
        <v>3.2870370370370371E-3</v>
      </c>
      <c r="I4004" t="s">
        <v>18</v>
      </c>
      <c r="J4004" s="2" t="str">
        <f>HYPERLINK("https://www.nba.com/stats/events?CFID=&amp;CFPARAMS=&amp;GameEventID=335&amp;GameID=0021300032&amp;Season=2013-14&amp;flag=1&amp;title=Leonard%2010'%20Turnaround%20Fadeaway%20(13%20PTS)", "Leonard 10' Turnaround Fadeaway (13 PTS)")</f>
        <v>Leonard 10' Turnaround Fadeaway (13 PTS)</v>
      </c>
      <c r="K4004" s="2" t="str">
        <f>HYPERLINK("https://www.nba.com/game/...-vs-...-0021300032/play-by-play?watchFullGame=true", "SAS vs LAL - Q3 04:44.00")</f>
        <v>SAS vs LAL - Q3 04:44.00</v>
      </c>
      <c r="L4004">
        <v>10</v>
      </c>
      <c r="M4004">
        <v>102</v>
      </c>
      <c r="N4004">
        <v>-17</v>
      </c>
      <c r="O4004">
        <v>102</v>
      </c>
      <c r="P4004">
        <v>-17</v>
      </c>
    </row>
    <row r="4005" spans="1:16" x14ac:dyDescent="0.25">
      <c r="A4005">
        <v>21500242</v>
      </c>
      <c r="B4005">
        <v>2015</v>
      </c>
      <c r="C4005" t="s">
        <v>32</v>
      </c>
      <c r="D4005" t="s">
        <v>33</v>
      </c>
      <c r="E4005">
        <v>66</v>
      </c>
      <c r="F4005">
        <v>45</v>
      </c>
      <c r="G4005">
        <v>3</v>
      </c>
      <c r="H4005" s="1">
        <v>5.7407407407407407E-3</v>
      </c>
      <c r="I4005" t="s">
        <v>18</v>
      </c>
      <c r="J4005" s="2" t="str">
        <f>HYPERLINK("https://www.nba.com/stats/events?CFID=&amp;CFPARAMS=&amp;GameEventID=308&amp;GameID=0021500242&amp;Season=2015-16&amp;flag=1&amp;title=Leonard%2010'%20Fadeaway%20Jumper%20(20%20PTS)%20(Aldridge%201%20AST)", "Leonard 10' Fadeaway Jumper (20 PTS) (Aldridge 1 AST)")</f>
        <v>Leonard 10' Fadeaway Jumper (20 PTS) (Aldridge 1 AST)</v>
      </c>
      <c r="K4005" s="2" t="str">
        <f>HYPERLINK("https://www.nba.com/game/...-vs-...-0021500242/play-by-play?watchFullGame=true", "SAS vs ATL - Q3 08:16.00")</f>
        <v>SAS vs ATL - Q3 08:16.00</v>
      </c>
      <c r="L4005">
        <v>10</v>
      </c>
      <c r="M4005">
        <v>102</v>
      </c>
      <c r="N4005">
        <v>7</v>
      </c>
      <c r="O4005">
        <v>102</v>
      </c>
      <c r="P4005">
        <v>7</v>
      </c>
    </row>
    <row r="4006" spans="1:16" x14ac:dyDescent="0.25">
      <c r="A4006">
        <v>41500235</v>
      </c>
      <c r="B4006" t="s">
        <v>25</v>
      </c>
      <c r="C4006" t="s">
        <v>32</v>
      </c>
      <c r="D4006" t="s">
        <v>38</v>
      </c>
      <c r="E4006">
        <v>42</v>
      </c>
      <c r="F4006">
        <v>43</v>
      </c>
      <c r="G4006">
        <v>2</v>
      </c>
      <c r="H4006" s="1">
        <v>7.407407407407407E-4</v>
      </c>
      <c r="I4006" t="s">
        <v>18</v>
      </c>
      <c r="J4006" s="2" t="str">
        <f>HYPERLINK("https://www.nba.com/stats/events?CFID=&amp;CFPARAMS=&amp;GameEventID=231&amp;GameID=0041500235&amp;Season=2015-16&amp;flag=1&amp;title=Leonard%2011'%20Jump%20Bank%20Shot%20(14%20PTS)", "Leonard 11' Jump Bank Shot (14 PTS)")</f>
        <v>Leonard 11' Jump Bank Shot (14 PTS)</v>
      </c>
      <c r="K4006" s="2" t="str">
        <f>HYPERLINK("https://www.nba.com/game/...-vs-...-0041500235/play-by-play?watchFullGame=true", "SAS vs OKC - Q2 01:04.00")</f>
        <v>SAS vs OKC - Q2 01:04.00</v>
      </c>
      <c r="L4006">
        <v>11</v>
      </c>
      <c r="M4006">
        <v>102</v>
      </c>
      <c r="N4006">
        <v>41</v>
      </c>
      <c r="O4006">
        <v>102</v>
      </c>
      <c r="P4006">
        <v>41</v>
      </c>
    </row>
    <row r="4007" spans="1:16" x14ac:dyDescent="0.25">
      <c r="A4007">
        <v>21600213</v>
      </c>
      <c r="B4007">
        <v>2016</v>
      </c>
      <c r="C4007" t="s">
        <v>32</v>
      </c>
      <c r="D4007" t="s">
        <v>38</v>
      </c>
      <c r="E4007">
        <v>69</v>
      </c>
      <c r="F4007">
        <v>70</v>
      </c>
      <c r="G4007">
        <v>3</v>
      </c>
      <c r="H4007" s="1">
        <v>4.43287037037037E-3</v>
      </c>
      <c r="I4007" t="s">
        <v>18</v>
      </c>
      <c r="J4007" s="2" t="str">
        <f>HYPERLINK("https://www.nba.com/stats/events?CFID=&amp;CFPARAMS=&amp;GameEventID=286&amp;GameID=0021600213&amp;Season=2016-17&amp;flag=1&amp;title=Leonard%2013'%20Jump%20Bank%20Shot%20(22%20PTS)", "Leonard 13' Jump Bank Shot (22 PTS)")</f>
        <v>Leonard 13' Jump Bank Shot (22 PTS)</v>
      </c>
      <c r="K4007" s="2" t="str">
        <f>HYPERLINK("https://www.nba.com/game/...-vs-...-0021600213/play-by-play?watchFullGame=true", "SAS vs CHA - Q3 06:23.00")</f>
        <v>SAS vs CHA - Q3 06:23.00</v>
      </c>
      <c r="L4007">
        <v>13</v>
      </c>
      <c r="M4007">
        <v>102</v>
      </c>
      <c r="N4007">
        <v>77</v>
      </c>
      <c r="O4007">
        <v>102</v>
      </c>
      <c r="P4007">
        <v>77</v>
      </c>
    </row>
    <row r="4008" spans="1:16" x14ac:dyDescent="0.25">
      <c r="A4008">
        <v>21400875</v>
      </c>
      <c r="B4008">
        <v>2014</v>
      </c>
      <c r="C4008" t="s">
        <v>32</v>
      </c>
      <c r="D4008" t="s">
        <v>19</v>
      </c>
      <c r="E4008">
        <v>7</v>
      </c>
      <c r="F4008">
        <v>12</v>
      </c>
      <c r="G4008">
        <v>1</v>
      </c>
      <c r="H4008" s="1">
        <v>4.4560185185185189E-3</v>
      </c>
      <c r="I4008" t="s">
        <v>18</v>
      </c>
      <c r="J4008" s="2" t="str">
        <f>HYPERLINK("https://www.nba.com/stats/events?CFID=&amp;CFPARAMS=&amp;GameEventID=52&amp;GameID=0021400875&amp;Season=2014-15&amp;flag=1&amp;title=Leonard%2013'%20Jump%20Shot%20(2%20PTS)", "Leonard 13' Jump Shot (2 PTS)")</f>
        <v>Leonard 13' Jump Shot (2 PTS)</v>
      </c>
      <c r="K4008" s="2" t="str">
        <f>HYPERLINK("https://www.nba.com/game/...-vs-...-0021400875/play-by-play?watchFullGame=true", "SAS vs PHX - Q1 06:25.00")</f>
        <v>SAS vs PHX - Q1 06:25.00</v>
      </c>
      <c r="L4008">
        <v>13</v>
      </c>
      <c r="M4008">
        <v>102</v>
      </c>
      <c r="N4008">
        <v>83</v>
      </c>
      <c r="O4008">
        <v>102</v>
      </c>
      <c r="P4008">
        <v>83</v>
      </c>
    </row>
    <row r="4009" spans="1:16" x14ac:dyDescent="0.25">
      <c r="A4009">
        <v>21500905</v>
      </c>
      <c r="B4009">
        <v>2015</v>
      </c>
      <c r="C4009" t="s">
        <v>32</v>
      </c>
      <c r="D4009" t="s">
        <v>24</v>
      </c>
      <c r="E4009">
        <v>85</v>
      </c>
      <c r="F4009">
        <v>72</v>
      </c>
      <c r="G4009">
        <v>4</v>
      </c>
      <c r="H4009" s="1">
        <v>5.6481481481481478E-3</v>
      </c>
      <c r="I4009" t="s">
        <v>18</v>
      </c>
      <c r="J4009" s="2" t="str">
        <f>HYPERLINK("https://www.nba.com/stats/events?CFID=&amp;CFPARAMS=&amp;GameEventID=371&amp;GameID=0021500905&amp;Season=2015-16&amp;flag=1&amp;title=Leonard%2015'%20Turnaround%20Jump%20Shot%20(21%20PTS)", "Leonard 15' Turnaround Jump Shot (21 PTS)")</f>
        <v>Leonard 15' Turnaround Jump Shot (21 PTS)</v>
      </c>
      <c r="K4009" s="2" t="str">
        <f>HYPERLINK("https://www.nba.com/game/...-vs-...-0021500905/play-by-play?watchFullGame=true", "SAS vs DET - Q4 08:08.00")</f>
        <v>SAS vs DET - Q4 08:08.00</v>
      </c>
      <c r="L4009">
        <v>15</v>
      </c>
      <c r="M4009">
        <v>102</v>
      </c>
      <c r="N4009">
        <v>111</v>
      </c>
      <c r="O4009">
        <v>102</v>
      </c>
      <c r="P4009">
        <v>111</v>
      </c>
    </row>
    <row r="4010" spans="1:16" x14ac:dyDescent="0.25">
      <c r="A4010">
        <v>22400671</v>
      </c>
      <c r="B4010">
        <v>2024</v>
      </c>
      <c r="C4010" t="s">
        <v>32</v>
      </c>
      <c r="D4010" t="s">
        <v>19</v>
      </c>
      <c r="E4010">
        <v>99</v>
      </c>
      <c r="F4010">
        <v>104</v>
      </c>
      <c r="G4010">
        <v>4</v>
      </c>
      <c r="H4010" s="1">
        <v>4.4907407407407405E-3</v>
      </c>
      <c r="I4010" t="s">
        <v>23</v>
      </c>
      <c r="J4010" s="2" t="str">
        <f>HYPERLINK("https://www.nba.com/stats/events?CFID=&amp;CFPARAMS=&amp;GameEventID=568&amp;GameID=0022400671&amp;Season=2024-25&amp;flag=1&amp;title=Leonard%2015'%20pullup%20Jump%20Shot%20(23%20PTS)%20(J.%20Harden%2010%20AST)", "15' pullup Jump Shot (23 PTS) (J. Harden 10 AST)")</f>
        <v>15' pullup Jump Shot (23 PTS) (J. Harden 10 AST)</v>
      </c>
      <c r="K4010" s="2" t="str">
        <f>HYPERLINK("https://www.nba.com/game/...-vs-...-0022400671/play-by-play?watchFullGame=true", "LAC vs SAS - Q4 06:28.00")</f>
        <v>LAC vs SAS - Q4 06:28.00</v>
      </c>
      <c r="L4010">
        <v>15.63</v>
      </c>
      <c r="M4010">
        <v>18.22</v>
      </c>
      <c r="N4010">
        <v>29.66</v>
      </c>
      <c r="O4010">
        <v>102</v>
      </c>
      <c r="P4010">
        <v>119</v>
      </c>
    </row>
    <row r="4011" spans="1:16" x14ac:dyDescent="0.25">
      <c r="A4011">
        <v>22300486</v>
      </c>
      <c r="B4011">
        <v>2023</v>
      </c>
      <c r="C4011" t="s">
        <v>32</v>
      </c>
      <c r="D4011" t="s">
        <v>19</v>
      </c>
      <c r="E4011">
        <v>52</v>
      </c>
      <c r="F4011">
        <v>72</v>
      </c>
      <c r="G4011">
        <v>3</v>
      </c>
      <c r="H4011" s="1">
        <v>4.5833333333333334E-3</v>
      </c>
      <c r="I4011" t="s">
        <v>23</v>
      </c>
      <c r="J4011" s="2" t="str">
        <f>HYPERLINK("https://www.nba.com/stats/events?CFID=&amp;CFPARAMS=&amp;GameEventID=397&amp;GameID=0022300486&amp;Season=2023-24&amp;flag=1&amp;title=Leonard%2016'%20fadeaway%20Jump%20Shot%20(15%20PTS)%20(J.%20Harden%2010%20AST)", "16' fadeaway Jump Shot (15 PTS) (J. Harden 10 AST)")</f>
        <v>16' fadeaway Jump Shot (15 PTS) (J. Harden 10 AST)</v>
      </c>
      <c r="K4011" s="2" t="str">
        <f>HYPERLINK("https://www.nba.com/game/...-vs-...-0022300486/play-by-play?watchFullGame=true", "LAC vs NOP - Q3 06:36.00")</f>
        <v>LAC vs NOP - Q3 06:36.00</v>
      </c>
      <c r="L4011">
        <v>16.79</v>
      </c>
      <c r="M4011">
        <v>19.79</v>
      </c>
      <c r="N4011">
        <v>29.66</v>
      </c>
      <c r="O4011">
        <v>102</v>
      </c>
      <c r="P4011">
        <v>134</v>
      </c>
    </row>
    <row r="4012" spans="1:16" x14ac:dyDescent="0.25">
      <c r="A4012">
        <v>21600625</v>
      </c>
      <c r="B4012">
        <v>2016</v>
      </c>
      <c r="C4012" t="s">
        <v>32</v>
      </c>
      <c r="D4012" t="s">
        <v>19</v>
      </c>
      <c r="E4012">
        <v>25</v>
      </c>
      <c r="F4012">
        <v>25</v>
      </c>
      <c r="G4012">
        <v>1</v>
      </c>
      <c r="H4012" s="1">
        <v>8.564814814814815E-4</v>
      </c>
      <c r="I4012" t="s">
        <v>18</v>
      </c>
      <c r="J4012" s="2" t="str">
        <f>HYPERLINK("https://www.nba.com/stats/events?CFID=&amp;CFPARAMS=&amp;GameEventID=95&amp;GameID=0021600625&amp;Season=2016-17&amp;flag=1&amp;title=Leonard%2017'%20Jump%20Shot%20(6%20PTS)%20(Lee%201%20AST)", "Leonard 17' Jump Shot (6 PTS) (Lee 1 AST)")</f>
        <v>Leonard 17' Jump Shot (6 PTS) (Lee 1 AST)</v>
      </c>
      <c r="K4012" s="2" t="str">
        <f>HYPERLINK("https://www.nba.com/game/...-vs-...-0021600625/play-by-play?watchFullGame=true", "SAS vs MIN - Q1 01:14.00")</f>
        <v>SAS vs MIN - Q1 01:14.00</v>
      </c>
      <c r="L4012">
        <v>17</v>
      </c>
      <c r="M4012">
        <v>102</v>
      </c>
      <c r="N4012">
        <v>134</v>
      </c>
      <c r="O4012">
        <v>102</v>
      </c>
      <c r="P4012">
        <v>134</v>
      </c>
    </row>
    <row r="4013" spans="1:16" x14ac:dyDescent="0.25">
      <c r="A4013">
        <v>21500090</v>
      </c>
      <c r="B4013">
        <v>2015</v>
      </c>
      <c r="C4013" t="s">
        <v>32</v>
      </c>
      <c r="D4013" t="s">
        <v>29</v>
      </c>
      <c r="E4013">
        <v>15</v>
      </c>
      <c r="F4013">
        <v>17</v>
      </c>
      <c r="G4013">
        <v>1</v>
      </c>
      <c r="H4013" s="1">
        <v>2.476851851851852E-3</v>
      </c>
      <c r="I4013" t="s">
        <v>18</v>
      </c>
      <c r="J4013" s="2" t="str">
        <f>HYPERLINK("https://www.nba.com/stats/events?CFID=&amp;CFPARAMS=&amp;GameEventID=89&amp;GameID=0021500090&amp;Season=2015-16&amp;flag=1&amp;title=Leonard%2017'%20Pullup%20Jump%20Shot%20(2%20PTS)%20(Parker%203%20AST)", "Leonard 17' Pullup Jump Shot (2 PTS) (Parker 3 AST)")</f>
        <v>Leonard 17' Pullup Jump Shot (2 PTS) (Parker 3 AST)</v>
      </c>
      <c r="K4013" s="2" t="str">
        <f>HYPERLINK("https://www.nba.com/game/...-vs-...-0021500090/play-by-play?watchFullGame=true", "SAS vs CHA - Q1 03:34.00")</f>
        <v>SAS vs CHA - Q1 03:34.00</v>
      </c>
      <c r="L4013">
        <v>17</v>
      </c>
      <c r="M4013">
        <v>102</v>
      </c>
      <c r="N4013">
        <v>139</v>
      </c>
      <c r="O4013">
        <v>102</v>
      </c>
      <c r="P4013">
        <v>139</v>
      </c>
    </row>
    <row r="4014" spans="1:16" x14ac:dyDescent="0.25">
      <c r="A4014">
        <v>22000488</v>
      </c>
      <c r="B4014">
        <v>2020</v>
      </c>
      <c r="C4014" t="s">
        <v>32</v>
      </c>
      <c r="D4014" t="s">
        <v>19</v>
      </c>
      <c r="E4014">
        <v>61</v>
      </c>
      <c r="F4014">
        <v>42</v>
      </c>
      <c r="G4014">
        <v>2</v>
      </c>
      <c r="H4014" s="1">
        <v>2.7893518518518519E-3</v>
      </c>
      <c r="I4014" t="s">
        <v>23</v>
      </c>
      <c r="J4014" s="2" t="str">
        <f>HYPERLINK("https://www.nba.com/stats/events?CFID=&amp;CFPARAMS=&amp;GameEventID=283&amp;GameID=0022000488&amp;Season=2020-21&amp;flag=1&amp;title=Leonard%2010'%20turnaround%20Jump%20Shot%20(13%20PTS)%20(P.%20George%201%20AST)", "10' turnaround Jump Shot (13 PTS) (P. George 1 AST)")</f>
        <v>10' turnaround Jump Shot (13 PTS) (P. George 1 AST)</v>
      </c>
      <c r="K4014" s="2" t="str">
        <f>HYPERLINK("https://www.nba.com/game/...-vs-...-0022000488/play-by-play?watchFullGame=true", "LAC vs WAS - Q2 04:01.00")</f>
        <v>LAC vs WAS - Q2 04:01.00</v>
      </c>
      <c r="L4014">
        <v>10.36</v>
      </c>
      <c r="M4014">
        <v>93.51</v>
      </c>
      <c r="N4014">
        <v>70.66</v>
      </c>
      <c r="O4014">
        <v>103</v>
      </c>
      <c r="P4014">
        <v>8</v>
      </c>
    </row>
    <row r="4015" spans="1:16" x14ac:dyDescent="0.25">
      <c r="A4015">
        <v>22200538</v>
      </c>
      <c r="B4015">
        <v>2022</v>
      </c>
      <c r="C4015" t="s">
        <v>32</v>
      </c>
      <c r="D4015" t="s">
        <v>19</v>
      </c>
      <c r="E4015">
        <v>76</v>
      </c>
      <c r="F4015">
        <v>69</v>
      </c>
      <c r="G4015">
        <v>3</v>
      </c>
      <c r="H4015" s="1">
        <v>5.115740740740741E-3</v>
      </c>
      <c r="I4015" t="s">
        <v>23</v>
      </c>
      <c r="J4015" s="2" t="str">
        <f>HYPERLINK("https://www.nba.com/stats/events?CFID=&amp;CFPARAMS=&amp;GameEventID=341&amp;GameID=0022200538&amp;Season=2022-23&amp;flag=1&amp;title=Leonard%2010'%20fadeaway%20Jump%20Shot%20(11%20PTS)", "10' fadeaway Jump Shot (11 PTS)")</f>
        <v>10' fadeaway Jump Shot (11 PTS)</v>
      </c>
      <c r="K4015" s="2" t="str">
        <f>HYPERLINK("https://www.nba.com/game/...-vs-...-0022200538/play-by-play?watchFullGame=true", "LAC vs IND - Q3 07:22.00")</f>
        <v>LAC vs IND - Q3 07:22.00</v>
      </c>
      <c r="L4015">
        <v>10.46</v>
      </c>
      <c r="M4015">
        <v>7.57</v>
      </c>
      <c r="N4015">
        <v>29.41</v>
      </c>
      <c r="O4015">
        <v>103</v>
      </c>
      <c r="P4015">
        <v>19</v>
      </c>
    </row>
    <row r="4016" spans="1:16" x14ac:dyDescent="0.25">
      <c r="A4016">
        <v>41800214</v>
      </c>
      <c r="B4016" t="s">
        <v>20</v>
      </c>
      <c r="C4016" t="s">
        <v>32</v>
      </c>
      <c r="D4016" t="s">
        <v>29</v>
      </c>
      <c r="E4016">
        <v>85</v>
      </c>
      <c r="F4016">
        <v>89</v>
      </c>
      <c r="G4016">
        <v>4</v>
      </c>
      <c r="H4016" s="1">
        <v>2.638888888888889E-3</v>
      </c>
      <c r="I4016" t="s">
        <v>21</v>
      </c>
      <c r="J4016" s="2" t="str">
        <f>HYPERLINK("https://www.nba.com/stats/events?CFID=&amp;CFPARAMS=&amp;GameEventID=587&amp;GameID=0041800214&amp;Season=2018-19&amp;flag=1&amp;title=Leonard%2013'%20Pullup%20Jump%20Shot%20(34%20PTS)", "Leonard 13' Pullup Jump Shot (34 PTS)")</f>
        <v>Leonard 13' Pullup Jump Shot (34 PTS)</v>
      </c>
      <c r="K4016" s="2" t="str">
        <f>HYPERLINK("https://www.nba.com/game/...-vs-...-0041800214/play-by-play?watchFullGame=true", "TOR vs PHI - Q4 03:48.00")</f>
        <v>TOR vs PHI - Q4 03:48.00</v>
      </c>
      <c r="L4016">
        <v>13</v>
      </c>
      <c r="M4016">
        <v>103</v>
      </c>
      <c r="N4016">
        <v>73</v>
      </c>
      <c r="O4016">
        <v>103</v>
      </c>
      <c r="P4016">
        <v>73</v>
      </c>
    </row>
    <row r="4017" spans="1:16" x14ac:dyDescent="0.25">
      <c r="A4017">
        <v>21300382</v>
      </c>
      <c r="B4017">
        <v>2013</v>
      </c>
      <c r="C4017" t="s">
        <v>32</v>
      </c>
      <c r="D4017" t="s">
        <v>29</v>
      </c>
      <c r="E4017">
        <v>34</v>
      </c>
      <c r="F4017">
        <v>22</v>
      </c>
      <c r="G4017">
        <v>2</v>
      </c>
      <c r="H4017" s="1">
        <v>6.1111111111111114E-3</v>
      </c>
      <c r="I4017" t="s">
        <v>18</v>
      </c>
      <c r="J4017" s="2" t="str">
        <f>HYPERLINK("https://www.nba.com/stats/events?CFID=&amp;CFPARAMS=&amp;GameEventID=146&amp;GameID=0021300382&amp;Season=2013-14&amp;flag=1&amp;title=Leonard%2016'%20Pullup%20Jump%20Shot%20(4%20PTS)", "Leonard 16' Pullup Jump Shot (4 PTS)")</f>
        <v>Leonard 16' Pullup Jump Shot (4 PTS)</v>
      </c>
      <c r="K4017" s="2" t="str">
        <f>HYPERLINK("https://www.nba.com/game/...-vs-...-0021300382/play-by-play?watchFullGame=true", "SAS vs GSW - Q2 08:48.00")</f>
        <v>SAS vs GSW - Q2 08:48.00</v>
      </c>
      <c r="L4017">
        <v>16</v>
      </c>
      <c r="M4017">
        <v>103</v>
      </c>
      <c r="N4017">
        <v>123</v>
      </c>
      <c r="O4017">
        <v>103</v>
      </c>
      <c r="P4017">
        <v>123</v>
      </c>
    </row>
    <row r="4018" spans="1:16" x14ac:dyDescent="0.25">
      <c r="A4018">
        <v>22000366</v>
      </c>
      <c r="B4018">
        <v>2020</v>
      </c>
      <c r="C4018" t="s">
        <v>32</v>
      </c>
      <c r="D4018" t="s">
        <v>19</v>
      </c>
      <c r="E4018">
        <v>10</v>
      </c>
      <c r="F4018">
        <v>10</v>
      </c>
      <c r="G4018">
        <v>1</v>
      </c>
      <c r="H4018" s="1">
        <v>4.3750000000000004E-3</v>
      </c>
      <c r="I4018" t="s">
        <v>23</v>
      </c>
      <c r="J4018" s="2" t="str">
        <f>HYPERLINK("https://www.nba.com/stats/events?CFID=&amp;CFPARAMS=&amp;GameEventID=61&amp;GameID=0022000366&amp;Season=2020-21&amp;flag=1&amp;title=Leonard%2018'%20step%20back%20Jump%20Shot%20(4%20PTS)", "18' step back Jump Shot (4 PTS)")</f>
        <v>18' step back Jump Shot (4 PTS)</v>
      </c>
      <c r="K4018" s="2" t="str">
        <f>HYPERLINK("https://www.nba.com/game/...-vs-...-0022000366/play-by-play?watchFullGame=true", "LAC vs SAC - Q1 06:18.00")</f>
        <v>LAC vs SAC - Q1 06:18.00</v>
      </c>
      <c r="L4018">
        <v>18.559999999999999</v>
      </c>
      <c r="M4018">
        <v>78.010000000000005</v>
      </c>
      <c r="N4018">
        <v>70.66</v>
      </c>
      <c r="O4018">
        <v>103</v>
      </c>
      <c r="P4018">
        <v>154</v>
      </c>
    </row>
    <row r="4019" spans="1:16" x14ac:dyDescent="0.25">
      <c r="A4019">
        <v>21900224</v>
      </c>
      <c r="B4019">
        <v>2019</v>
      </c>
      <c r="C4019" t="s">
        <v>32</v>
      </c>
      <c r="D4019" t="s">
        <v>22</v>
      </c>
      <c r="E4019">
        <v>96</v>
      </c>
      <c r="F4019">
        <v>93</v>
      </c>
      <c r="G4019">
        <v>4</v>
      </c>
      <c r="H4019" s="1">
        <v>5.324074074074074E-3</v>
      </c>
      <c r="I4019" t="s">
        <v>23</v>
      </c>
      <c r="J4019" s="2" t="str">
        <f>HYPERLINK("https://www.nba.com/stats/events?CFID=&amp;CFPARAMS=&amp;GameEventID=579&amp;GameID=0021900224&amp;Season=2019-20&amp;flag=1&amp;title=Leonard%2019'%20jumpshot%20(21%20PTS)", "19' jumpshot (21 PTS)")</f>
        <v>19' jumpshot (21 PTS)</v>
      </c>
      <c r="K4019" s="2" t="str">
        <f>HYPERLINK("https://www.nba.com/game/...-vs-...-0021900224/play-by-play?watchFullGame=true", "LAC vs HOU - Q4 07:40.00")</f>
        <v>LAC vs HOU - Q4 07:40.00</v>
      </c>
      <c r="L4019">
        <v>19.02</v>
      </c>
      <c r="M4019">
        <v>21.99</v>
      </c>
      <c r="N4019">
        <v>29.34</v>
      </c>
      <c r="O4019">
        <v>103</v>
      </c>
      <c r="P4019">
        <v>154</v>
      </c>
    </row>
    <row r="4020" spans="1:16" x14ac:dyDescent="0.25">
      <c r="A4020">
        <v>21300871</v>
      </c>
      <c r="B4020">
        <v>2013</v>
      </c>
      <c r="C4020" t="s">
        <v>16</v>
      </c>
      <c r="D4020" t="s">
        <v>19</v>
      </c>
      <c r="E4020">
        <v>39</v>
      </c>
      <c r="F4020">
        <v>45</v>
      </c>
      <c r="G4020">
        <v>2</v>
      </c>
      <c r="H4020" s="1">
        <v>7.0601851851851847E-4</v>
      </c>
      <c r="I4020" t="s">
        <v>18</v>
      </c>
      <c r="J4020" s="2" t="str">
        <f>HYPERLINK("https://www.nba.com/stats/events?CFID=&amp;CFPARAMS=&amp;GameEventID=211&amp;GameID=0021300871&amp;Season=2013-14&amp;flag=1&amp;title=Leonard%2024'%203PT%20Jump%20Shot%20(10%20PTS)%20(Ginobili%203%20AST)", "Leonard 24' 3PT Jump Shot (10 PTS) (Ginobili 3 AST)")</f>
        <v>Leonard 24' 3PT Jump Shot (10 PTS) (Ginobili 3 AST)</v>
      </c>
      <c r="K4020" s="2" t="str">
        <f>HYPERLINK("https://www.nba.com/game/...-vs-...-0021300871/play-by-play?watchFullGame=true", "SAS vs CHA - Q2 01:01.00")</f>
        <v>SAS vs CHA - Q2 01:01.00</v>
      </c>
      <c r="L4020">
        <v>24</v>
      </c>
      <c r="M4020">
        <v>103</v>
      </c>
      <c r="N4020">
        <v>219</v>
      </c>
      <c r="O4020">
        <v>103</v>
      </c>
      <c r="P4020">
        <v>219</v>
      </c>
    </row>
    <row r="4021" spans="1:16" x14ac:dyDescent="0.25">
      <c r="A4021">
        <v>22200687</v>
      </c>
      <c r="B4021">
        <v>2022</v>
      </c>
      <c r="C4021" t="s">
        <v>16</v>
      </c>
      <c r="D4021" t="s">
        <v>19</v>
      </c>
      <c r="E4021">
        <v>3</v>
      </c>
      <c r="F4021">
        <v>3</v>
      </c>
      <c r="G4021">
        <v>1</v>
      </c>
      <c r="H4021" s="1">
        <v>7.789351851851852E-3</v>
      </c>
      <c r="I4021" t="s">
        <v>23</v>
      </c>
      <c r="J4021" s="2" t="str">
        <f>HYPERLINK("https://www.nba.com/stats/events?CFID=&amp;CFPARAMS=&amp;GameEventID=11&amp;GameID=0022200687&amp;Season=2022-23&amp;flag=1&amp;title=Leonard%2025'%203PT%20%20(3%20PTS)%20(P.%20George%201%20AST)", "25' 3PT  (3 PTS) (P. George 1 AST)")</f>
        <v>25' 3PT  (3 PTS) (P. George 1 AST)</v>
      </c>
      <c r="K4021" s="2" t="str">
        <f>HYPERLINK("https://www.nba.com/game/...-vs-...-0022200687/play-by-play?watchFullGame=true", "LAC vs SAS - Q1 11:13.00")</f>
        <v>LAC vs SAS - Q1 11:13.00</v>
      </c>
      <c r="L4021">
        <v>25.16</v>
      </c>
      <c r="M4021">
        <v>69.989999999999995</v>
      </c>
      <c r="N4021">
        <v>70.59</v>
      </c>
      <c r="O4021">
        <v>103</v>
      </c>
      <c r="P4021">
        <v>230</v>
      </c>
    </row>
    <row r="4022" spans="1:16" x14ac:dyDescent="0.25">
      <c r="A4022">
        <v>22200239</v>
      </c>
      <c r="B4022">
        <v>2022</v>
      </c>
      <c r="C4022" t="s">
        <v>16</v>
      </c>
      <c r="D4022" t="s">
        <v>19</v>
      </c>
      <c r="E4022">
        <v>74</v>
      </c>
      <c r="F4022">
        <v>56</v>
      </c>
      <c r="G4022">
        <v>3</v>
      </c>
      <c r="H4022" s="1">
        <v>5.6481481481481478E-3</v>
      </c>
      <c r="I4022" t="s">
        <v>23</v>
      </c>
      <c r="J4022" s="2" t="str">
        <f>HYPERLINK("https://www.nba.com/stats/events?CFID=&amp;CFPARAMS=&amp;GameEventID=350&amp;GameID=0022200239&amp;Season=2022-23&amp;flag=1&amp;title=Leonard%2025'%203PT%20pullup%20(9%20PTS)%20(M.%20Morris%20Sr.%202%20AST)", "25' 3PT pullup (9 PTS) (M. Morris Sr. 2 AST)")</f>
        <v>25' 3PT pullup (9 PTS) (M. Morris Sr. 2 AST)</v>
      </c>
      <c r="K4022" s="2" t="str">
        <f>HYPERLINK("https://www.nba.com/game/...-vs-...-0022200239/play-by-play?watchFullGame=true", "LAC vs SAS - Q3 08:08.00")</f>
        <v>LAC vs SAS - Q3 08:08.00</v>
      </c>
      <c r="L4022">
        <v>25.27</v>
      </c>
      <c r="M4022">
        <v>30.14</v>
      </c>
      <c r="N4022">
        <v>29.41</v>
      </c>
      <c r="O4022">
        <v>103</v>
      </c>
      <c r="P4022">
        <v>231</v>
      </c>
    </row>
    <row r="4023" spans="1:16" x14ac:dyDescent="0.25">
      <c r="A4023">
        <v>22000701</v>
      </c>
      <c r="B4023">
        <v>2020</v>
      </c>
      <c r="C4023" t="s">
        <v>16</v>
      </c>
      <c r="D4023" t="s">
        <v>19</v>
      </c>
      <c r="E4023">
        <v>60</v>
      </c>
      <c r="F4023">
        <v>57</v>
      </c>
      <c r="G4023">
        <v>2</v>
      </c>
      <c r="H4023" s="1">
        <v>1.5277777777777779E-3</v>
      </c>
      <c r="I4023" t="s">
        <v>23</v>
      </c>
      <c r="J4023" s="2" t="str">
        <f>HYPERLINK("https://www.nba.com/stats/events?CFID=&amp;CFPARAMS=&amp;GameEventID=280&amp;GameID=0022000701&amp;Season=2020-21&amp;flag=1&amp;title=Leonard%2025'%203PT%20step%20back%20(17%20PTS)", "25' 3PT step back (17 PTS)")</f>
        <v>25' 3PT step back (17 PTS)</v>
      </c>
      <c r="K4023" s="2" t="str">
        <f>HYPERLINK("https://www.nba.com/game/...-vs-...-0022000701/play-by-play?watchFullGame=true", "LAC vs PHI - Q2 02:12.00")</f>
        <v>LAC vs PHI - Q2 02:12.00</v>
      </c>
      <c r="L4023">
        <v>25.4</v>
      </c>
      <c r="M4023">
        <v>30.27</v>
      </c>
      <c r="N4023">
        <v>29.34</v>
      </c>
      <c r="O4023">
        <v>103</v>
      </c>
      <c r="P4023">
        <v>232</v>
      </c>
    </row>
    <row r="4024" spans="1:16" x14ac:dyDescent="0.25">
      <c r="A4024">
        <v>22001002</v>
      </c>
      <c r="B4024">
        <v>2020</v>
      </c>
      <c r="C4024" t="s">
        <v>16</v>
      </c>
      <c r="D4024" t="s">
        <v>19</v>
      </c>
      <c r="E4024">
        <v>8</v>
      </c>
      <c r="F4024">
        <v>4</v>
      </c>
      <c r="G4024">
        <v>1</v>
      </c>
      <c r="H4024" s="1">
        <v>6.4583333333333333E-3</v>
      </c>
      <c r="I4024" t="s">
        <v>23</v>
      </c>
      <c r="J4024" s="2" t="str">
        <f>HYPERLINK("https://www.nba.com/stats/events?CFID=&amp;CFPARAMS=&amp;GameEventID=32&amp;GameID=0022001002&amp;Season=2020-21&amp;flag=1&amp;title=Leonard%2026'%203PT%20pullup%20(3%20PTS)", "26' 3PT pullup (3 PTS)")</f>
        <v>26' 3PT pullup (3 PTS)</v>
      </c>
      <c r="K4024" s="2" t="str">
        <f>HYPERLINK("https://www.nba.com/game/...-vs-...-0022001002/play-by-play?watchFullGame=true", "LAC vs LAL - Q1 09:18.00")</f>
        <v>LAC vs LAL - Q1 09:18.00</v>
      </c>
      <c r="L4024">
        <v>26.08</v>
      </c>
      <c r="M4024">
        <v>68.94</v>
      </c>
      <c r="N4024">
        <v>70.66</v>
      </c>
      <c r="O4024">
        <v>103</v>
      </c>
      <c r="P4024">
        <v>239</v>
      </c>
    </row>
    <row r="4025" spans="1:16" x14ac:dyDescent="0.25">
      <c r="A4025">
        <v>21901291</v>
      </c>
      <c r="B4025">
        <v>2019</v>
      </c>
      <c r="C4025" t="s">
        <v>16</v>
      </c>
      <c r="D4025" t="s">
        <v>22</v>
      </c>
      <c r="E4025">
        <v>74</v>
      </c>
      <c r="F4025">
        <v>74</v>
      </c>
      <c r="G4025">
        <v>3</v>
      </c>
      <c r="H4025" s="1">
        <v>6.7592592592592591E-3</v>
      </c>
      <c r="I4025" t="s">
        <v>23</v>
      </c>
      <c r="J4025" s="2" t="str">
        <f>HYPERLINK("https://www.nba.com/stats/events?CFID=&amp;CFPARAMS=&amp;GameEventID=358&amp;GameID=0021901291&amp;Season=2019-20&amp;flag=1&amp;title=Leonard%2027'%203PT%20%20(30%20PTS)%20(I.%20Zubac%201%20AST)", "27' 3PT  (30 PTS) (I. Zubac 1 AST)")</f>
        <v>27' 3PT  (30 PTS) (I. Zubac 1 AST)</v>
      </c>
      <c r="K4025" s="2" t="str">
        <f>HYPERLINK("https://www.nba.com/game/...-vs-...-0021901291/play-by-play?watchFullGame=true", "LAC vs BKN - Q3 09:44.00")</f>
        <v>LAC vs BKN - Q3 09:44.00</v>
      </c>
      <c r="L4025">
        <v>27.16</v>
      </c>
      <c r="M4025">
        <v>31.75</v>
      </c>
      <c r="N4025">
        <v>29.48</v>
      </c>
      <c r="O4025">
        <v>103</v>
      </c>
      <c r="P4025">
        <v>246</v>
      </c>
    </row>
    <row r="4026" spans="1:16" x14ac:dyDescent="0.25">
      <c r="A4026">
        <v>22300458</v>
      </c>
      <c r="B4026">
        <v>2023</v>
      </c>
      <c r="C4026" t="s">
        <v>16</v>
      </c>
      <c r="D4026" t="s">
        <v>19</v>
      </c>
      <c r="E4026">
        <v>38</v>
      </c>
      <c r="F4026">
        <v>46</v>
      </c>
      <c r="G4026">
        <v>2</v>
      </c>
      <c r="H4026" s="1">
        <v>4.6527777777777774E-3</v>
      </c>
      <c r="I4026" t="s">
        <v>23</v>
      </c>
      <c r="J4026" s="2" t="str">
        <f>HYPERLINK("https://www.nba.com/stats/events?CFID=&amp;CFPARAMS=&amp;GameEventID=205&amp;GameID=0022300458&amp;Season=2023-24&amp;flag=1&amp;title=Leonard%2027'%203PT%20%20(5%20PTS)%20(J.%20Harden%204%20AST)", "27' 3PT  (5 PTS) (J. Harden 4 AST)")</f>
        <v>27' 3PT  (5 PTS) (J. Harden 4 AST)</v>
      </c>
      <c r="K4026" s="2" t="str">
        <f>HYPERLINK("https://www.nba.com/game/...-vs-...-0022300458/play-by-play?watchFullGame=true", "LAC vs MIA - Q2 06:42.00")</f>
        <v>LAC vs MIA - Q2 06:42.00</v>
      </c>
      <c r="L4026">
        <v>27.01</v>
      </c>
      <c r="M4026">
        <v>67.849999999999994</v>
      </c>
      <c r="N4026">
        <v>70.59</v>
      </c>
      <c r="O4026">
        <v>103</v>
      </c>
      <c r="P4026">
        <v>250</v>
      </c>
    </row>
    <row r="4027" spans="1:16" x14ac:dyDescent="0.25">
      <c r="A4027">
        <v>22200902</v>
      </c>
      <c r="B4027">
        <v>2022</v>
      </c>
      <c r="C4027" t="s">
        <v>32</v>
      </c>
      <c r="D4027" t="s">
        <v>19</v>
      </c>
      <c r="E4027">
        <v>157</v>
      </c>
      <c r="F4027">
        <v>154</v>
      </c>
      <c r="G4027">
        <v>5</v>
      </c>
      <c r="H4027" s="1">
        <v>2.9398148148148148E-3</v>
      </c>
      <c r="I4027" t="s">
        <v>23</v>
      </c>
      <c r="J4027" s="2" t="str">
        <f>HYPERLINK("https://www.nba.com/stats/events?CFID=&amp;CFPARAMS=&amp;GameEventID=674&amp;GameID=0022200902&amp;Season=2022-23&amp;flag=1&amp;title=Leonard%2010'%20fadeaway%20Jump%20Shot%20(42%20PTS)%20(R.%20Westbrook%2011%20AST)", "10' fadeaway Jump Shot (42 PTS) (R. Westbrook 11 AST)")</f>
        <v>10' fadeaway Jump Shot (42 PTS) (R. Westbrook 11 AST)</v>
      </c>
      <c r="K4027" s="2" t="str">
        <f>HYPERLINK("https://www.nba.com/game/...-vs-...-0022200902/play-by-play?watchFullGame=true", "LAC vs SAC - Q5 04:14.00")</f>
        <v>LAC vs SAC - Q5 04:14.00</v>
      </c>
      <c r="L4027">
        <v>10.42</v>
      </c>
      <c r="M4027">
        <v>5.31</v>
      </c>
      <c r="N4027">
        <v>29.17</v>
      </c>
      <c r="O4027">
        <v>104</v>
      </c>
      <c r="P4027">
        <v>-3</v>
      </c>
    </row>
    <row r="4028" spans="1:16" x14ac:dyDescent="0.25">
      <c r="A4028">
        <v>22200885</v>
      </c>
      <c r="B4028">
        <v>2022</v>
      </c>
      <c r="C4028" t="s">
        <v>32</v>
      </c>
      <c r="D4028" t="s">
        <v>19</v>
      </c>
      <c r="E4028">
        <v>76</v>
      </c>
      <c r="F4028">
        <v>79</v>
      </c>
      <c r="G4028">
        <v>3</v>
      </c>
      <c r="H4028" s="1">
        <v>2.7893518518518519E-3</v>
      </c>
      <c r="I4028" t="s">
        <v>23</v>
      </c>
      <c r="J4028" s="2" t="str">
        <f>HYPERLINK("https://www.nba.com/stats/events?CFID=&amp;CFPARAMS=&amp;GameEventID=447&amp;GameID=0022200885&amp;Season=2022-23&amp;flag=1&amp;title=Leonard%2010'%20fadeaway%20Jump%20Shot%20(4%20PTS)", "10' fadeaway Jump Shot (4 PTS)")</f>
        <v>10' fadeaway Jump Shot (4 PTS)</v>
      </c>
      <c r="K4028" s="2" t="str">
        <f>HYPERLINK("https://www.nba.com/game/...-vs-...-0022200885/play-by-play?watchFullGame=true", "LAC vs PHX - Q3 04:01.00")</f>
        <v>LAC vs PHX - Q3 04:01.00</v>
      </c>
      <c r="L4028">
        <v>10.91</v>
      </c>
      <c r="M4028">
        <v>9.02</v>
      </c>
      <c r="N4028">
        <v>29.17</v>
      </c>
      <c r="O4028">
        <v>104</v>
      </c>
      <c r="P4028">
        <v>32</v>
      </c>
    </row>
    <row r="4029" spans="1:16" x14ac:dyDescent="0.25">
      <c r="A4029">
        <v>21500945</v>
      </c>
      <c r="B4029">
        <v>2015</v>
      </c>
      <c r="C4029" t="s">
        <v>32</v>
      </c>
      <c r="D4029" t="s">
        <v>31</v>
      </c>
      <c r="E4029">
        <v>4</v>
      </c>
      <c r="F4029">
        <v>5</v>
      </c>
      <c r="G4029">
        <v>1</v>
      </c>
      <c r="H4029" s="1">
        <v>7.1180555555555554E-3</v>
      </c>
      <c r="I4029" t="s">
        <v>18</v>
      </c>
      <c r="J4029" s="2" t="str">
        <f>HYPERLINK("https://www.nba.com/stats/events?CFID=&amp;CFPARAMS=&amp;GameEventID=14&amp;GameID=0021500945&amp;Season=2015-16&amp;flag=1&amp;title=Leonard%2012'%20Step%20Back%20Jump%20Shot%20(2%20PTS)", "Leonard 12' Step Back Jump Shot (2 PTS)")</f>
        <v>Leonard 12' Step Back Jump Shot (2 PTS)</v>
      </c>
      <c r="K4029" s="2" t="str">
        <f>HYPERLINK("https://www.nba.com/game/...-vs-...-0021500945/play-by-play?watchFullGame=true", "SAS vs MIN - Q1 10:15.00")</f>
        <v>SAS vs MIN - Q1 10:15.00</v>
      </c>
      <c r="L4029">
        <v>12</v>
      </c>
      <c r="M4029">
        <v>104</v>
      </c>
      <c r="N4029">
        <v>56</v>
      </c>
      <c r="O4029">
        <v>104</v>
      </c>
      <c r="P4029">
        <v>56</v>
      </c>
    </row>
    <row r="4030" spans="1:16" x14ac:dyDescent="0.25">
      <c r="A4030">
        <v>21600701</v>
      </c>
      <c r="B4030">
        <v>2016</v>
      </c>
      <c r="C4030" t="s">
        <v>32</v>
      </c>
      <c r="D4030" t="s">
        <v>31</v>
      </c>
      <c r="E4030">
        <v>62</v>
      </c>
      <c r="F4030">
        <v>68</v>
      </c>
      <c r="G4030">
        <v>3</v>
      </c>
      <c r="H4030" s="1">
        <v>3.6342592592592594E-3</v>
      </c>
      <c r="I4030" t="s">
        <v>18</v>
      </c>
      <c r="J4030" s="2" t="str">
        <f>HYPERLINK("https://www.nba.com/stats/events?CFID=&amp;CFPARAMS=&amp;GameEventID=352&amp;GameID=0021600701&amp;Season=2016-17&amp;flag=1&amp;title=Leonard%2013'%20Step%20Back%20Jump%20Shot%20(18%20PTS)", "Leonard 13' Step Back Jump Shot (18 PTS)")</f>
        <v>Leonard 13' Step Back Jump Shot (18 PTS)</v>
      </c>
      <c r="K4030" s="2" t="str">
        <f>HYPERLINK("https://www.nba.com/game/...-vs-...-0021600701/play-by-play?watchFullGame=true", "SAS vs NOP - Q3 05:14.00")</f>
        <v>SAS vs NOP - Q3 05:14.00</v>
      </c>
      <c r="L4030">
        <v>13</v>
      </c>
      <c r="M4030">
        <v>104</v>
      </c>
      <c r="N4030">
        <v>80</v>
      </c>
      <c r="O4030">
        <v>104</v>
      </c>
      <c r="P4030">
        <v>80</v>
      </c>
    </row>
    <row r="4031" spans="1:16" x14ac:dyDescent="0.25">
      <c r="A4031">
        <v>41600152</v>
      </c>
      <c r="B4031" t="s">
        <v>30</v>
      </c>
      <c r="C4031" t="s">
        <v>32</v>
      </c>
      <c r="D4031" t="s">
        <v>19</v>
      </c>
      <c r="E4031">
        <v>52</v>
      </c>
      <c r="F4031">
        <v>28</v>
      </c>
      <c r="G4031">
        <v>2</v>
      </c>
      <c r="H4031" s="1">
        <v>2.8703703703703703E-3</v>
      </c>
      <c r="I4031" t="s">
        <v>18</v>
      </c>
      <c r="J4031" s="2" t="str">
        <f>HYPERLINK("https://www.nba.com/stats/events?CFID=&amp;CFPARAMS=&amp;GameEventID=223&amp;GameID=0041600152&amp;Season=2016-17&amp;flag=1&amp;title=Leonard%2016'%20Jump%20Shot%20(14%20PTS)%20(Gasol%201%20AST)", "Leonard 16' Jump Shot (14 PTS) (Gasol 1 AST)")</f>
        <v>Leonard 16' Jump Shot (14 PTS) (Gasol 1 AST)</v>
      </c>
      <c r="K4031" s="2" t="str">
        <f>HYPERLINK("https://www.nba.com/game/...-vs-...-0041600152/play-by-play?watchFullGame=true", "SAS vs MEM - Q2 04:08.00")</f>
        <v>SAS vs MEM - Q2 04:08.00</v>
      </c>
      <c r="L4031">
        <v>16</v>
      </c>
      <c r="M4031">
        <v>104</v>
      </c>
      <c r="N4031">
        <v>116</v>
      </c>
      <c r="O4031">
        <v>104</v>
      </c>
      <c r="P4031">
        <v>116</v>
      </c>
    </row>
    <row r="4032" spans="1:16" x14ac:dyDescent="0.25">
      <c r="A4032">
        <v>41800404</v>
      </c>
      <c r="B4032" t="s">
        <v>20</v>
      </c>
      <c r="C4032" t="s">
        <v>32</v>
      </c>
      <c r="D4032" t="s">
        <v>19</v>
      </c>
      <c r="E4032">
        <v>64</v>
      </c>
      <c r="F4032">
        <v>77</v>
      </c>
      <c r="G4032">
        <v>3</v>
      </c>
      <c r="H4032" s="1">
        <v>4.953703703703703E-4</v>
      </c>
      <c r="I4032" t="s">
        <v>21</v>
      </c>
      <c r="J4032" s="2" t="str">
        <f>HYPERLINK("https://www.nba.com/stats/events?CFID=&amp;CFPARAMS=&amp;GameEventID=487&amp;GameID=0041800404&amp;Season=2018-19&amp;flag=1&amp;title=Leonard%2019'%20Jump%20Shot%20(29%20PTS)", "Leonard 19' Jump Shot (29 PTS)")</f>
        <v>Leonard 19' Jump Shot (29 PTS)</v>
      </c>
      <c r="K4032" s="2" t="str">
        <f>HYPERLINK("https://www.nba.com/game/...-vs-...-0041800404/play-by-play?watchFullGame=true", "TOR vs GSW - Q3 00:42.80")</f>
        <v>TOR vs GSW - Q3 00:42.80</v>
      </c>
      <c r="L4032">
        <v>19</v>
      </c>
      <c r="M4032">
        <v>104</v>
      </c>
      <c r="N4032">
        <v>156</v>
      </c>
      <c r="O4032">
        <v>104</v>
      </c>
      <c r="P4032">
        <v>156</v>
      </c>
    </row>
    <row r="4033" spans="1:16" x14ac:dyDescent="0.25">
      <c r="A4033">
        <v>21501161</v>
      </c>
      <c r="B4033">
        <v>2015</v>
      </c>
      <c r="C4033" t="s">
        <v>32</v>
      </c>
      <c r="D4033" t="s">
        <v>24</v>
      </c>
      <c r="E4033">
        <v>20</v>
      </c>
      <c r="F4033">
        <v>31</v>
      </c>
      <c r="G4033">
        <v>2</v>
      </c>
      <c r="H4033" s="1">
        <v>6.875E-3</v>
      </c>
      <c r="I4033" t="s">
        <v>18</v>
      </c>
      <c r="J4033" s="2" t="str">
        <f>HYPERLINK("https://www.nba.com/stats/events?CFID=&amp;CFPARAMS=&amp;GameEventID=115&amp;GameID=0021501161&amp;Season=2015-16&amp;flag=1&amp;title=Leonard%2011'%20Turnaround%20Jump%20Shot%20(6%20PTS)", "Leonard 11' Turnaround Jump Shot (6 PTS)")</f>
        <v>Leonard 11' Turnaround Jump Shot (6 PTS)</v>
      </c>
      <c r="K4033" s="2" t="str">
        <f>HYPERLINK("https://www.nba.com/game/...-vs-...-0021501161/play-by-play?watchFullGame=true", "SAS vs UTA - Q2 09:54.00")</f>
        <v>SAS vs UTA - Q2 09:54.00</v>
      </c>
      <c r="L4033">
        <v>11</v>
      </c>
      <c r="M4033">
        <v>105</v>
      </c>
      <c r="N4033">
        <v>0</v>
      </c>
      <c r="O4033">
        <v>105</v>
      </c>
      <c r="P4033">
        <v>0</v>
      </c>
    </row>
    <row r="4034" spans="1:16" x14ac:dyDescent="0.25">
      <c r="A4034">
        <v>21400689</v>
      </c>
      <c r="B4034">
        <v>2014</v>
      </c>
      <c r="C4034" t="s">
        <v>32</v>
      </c>
      <c r="D4034" t="s">
        <v>33</v>
      </c>
      <c r="E4034">
        <v>42</v>
      </c>
      <c r="F4034">
        <v>24</v>
      </c>
      <c r="G4034">
        <v>2</v>
      </c>
      <c r="H4034" s="1">
        <v>5.0694444444444441E-3</v>
      </c>
      <c r="I4034" t="s">
        <v>18</v>
      </c>
      <c r="J4034" s="2" t="str">
        <f>HYPERLINK("https://www.nba.com/stats/events?CFID=&amp;CFPARAMS=&amp;GameEventID=152&amp;GameID=0021400689&amp;Season=2014-15&amp;flag=1&amp;title=Leonard%2011'%20Fadeaway%20Jumper%20(7%20PTS)", "Leonard 11' Fadeaway Jumper (7 PTS)")</f>
        <v>Leonard 11' Fadeaway Jumper (7 PTS)</v>
      </c>
      <c r="K4034" s="2" t="str">
        <f>HYPERLINK("https://www.nba.com/game/...-vs-...-0021400689/play-by-play?watchFullGame=true", "SAS vs CHA - Q2 07:18.00")</f>
        <v>SAS vs CHA - Q2 07:18.00</v>
      </c>
      <c r="L4034">
        <v>11</v>
      </c>
      <c r="M4034">
        <v>105</v>
      </c>
      <c r="N4034">
        <v>9</v>
      </c>
      <c r="O4034">
        <v>105</v>
      </c>
      <c r="P4034">
        <v>9</v>
      </c>
    </row>
    <row r="4035" spans="1:16" x14ac:dyDescent="0.25">
      <c r="A4035">
        <v>21500653</v>
      </c>
      <c r="B4035">
        <v>2015</v>
      </c>
      <c r="C4035" t="s">
        <v>32</v>
      </c>
      <c r="D4035" t="s">
        <v>19</v>
      </c>
      <c r="E4035">
        <v>43</v>
      </c>
      <c r="F4035">
        <v>58</v>
      </c>
      <c r="G4035">
        <v>3</v>
      </c>
      <c r="H4035" s="1">
        <v>7.6041666666666671E-3</v>
      </c>
      <c r="I4035" t="s">
        <v>18</v>
      </c>
      <c r="J4035" s="2" t="str">
        <f>HYPERLINK("https://www.nba.com/stats/events?CFID=&amp;CFPARAMS=&amp;GameEventID=255&amp;GameID=0021500653&amp;Season=2015-16&amp;flag=1&amp;title=Leonard%2012'%20Jump%20Shot%20(12%20PTS)", "Leonard 12' Jump Shot (12 PTS)")</f>
        <v>Leonard 12' Jump Shot (12 PTS)</v>
      </c>
      <c r="K4035" s="2" t="str">
        <f>HYPERLINK("https://www.nba.com/game/...-vs-...-0021500653/play-by-play?watchFullGame=true", "SAS vs LAL - Q3 10:57.00")</f>
        <v>SAS vs LAL - Q3 10:57.00</v>
      </c>
      <c r="L4035">
        <v>12</v>
      </c>
      <c r="M4035">
        <v>105</v>
      </c>
      <c r="N4035">
        <v>65</v>
      </c>
      <c r="O4035">
        <v>105</v>
      </c>
      <c r="P4035">
        <v>65</v>
      </c>
    </row>
    <row r="4036" spans="1:16" x14ac:dyDescent="0.25">
      <c r="A4036">
        <v>41400165</v>
      </c>
      <c r="B4036" t="s">
        <v>28</v>
      </c>
      <c r="C4036" t="s">
        <v>32</v>
      </c>
      <c r="D4036" t="s">
        <v>29</v>
      </c>
      <c r="E4036">
        <v>3</v>
      </c>
      <c r="F4036">
        <v>2</v>
      </c>
      <c r="G4036">
        <v>1</v>
      </c>
      <c r="H4036" s="1">
        <v>7.4421296296296293E-3</v>
      </c>
      <c r="I4036" t="s">
        <v>18</v>
      </c>
      <c r="J4036" s="2" t="str">
        <f>HYPERLINK("https://www.nba.com/stats/events?CFID=&amp;CFPARAMS=&amp;GameEventID=14&amp;GameID=0041400165&amp;Season=2014-15&amp;flag=1&amp;title=Leonard%2014'%20Pullup%20Jump%20Shot%20(2%20PTS)%20(Green%201%20AST)", "Leonard 14' Pullup Jump Shot (2 PTS) (Green 1 AST)")</f>
        <v>Leonard 14' Pullup Jump Shot (2 PTS) (Green 1 AST)</v>
      </c>
      <c r="K4036" s="2" t="str">
        <f>HYPERLINK("https://www.nba.com/game/...-vs-...-0041400165/play-by-play?watchFullGame=true", "SAS vs LAC - Q1 10:43.00")</f>
        <v>SAS vs LAC - Q1 10:43.00</v>
      </c>
      <c r="L4036">
        <v>14</v>
      </c>
      <c r="M4036">
        <v>105</v>
      </c>
      <c r="N4036">
        <v>86</v>
      </c>
      <c r="O4036">
        <v>105</v>
      </c>
      <c r="P4036">
        <v>86</v>
      </c>
    </row>
    <row r="4037" spans="1:16" x14ac:dyDescent="0.25">
      <c r="A4037">
        <v>21500090</v>
      </c>
      <c r="B4037">
        <v>2015</v>
      </c>
      <c r="C4037" t="s">
        <v>32</v>
      </c>
      <c r="D4037" t="s">
        <v>29</v>
      </c>
      <c r="E4037">
        <v>69</v>
      </c>
      <c r="F4037">
        <v>71</v>
      </c>
      <c r="G4037">
        <v>3</v>
      </c>
      <c r="H4037" s="1">
        <v>3.5532407407407409E-3</v>
      </c>
      <c r="I4037" t="s">
        <v>18</v>
      </c>
      <c r="J4037" s="2" t="str">
        <f>HYPERLINK("https://www.nba.com/stats/events?CFID=&amp;CFPARAMS=&amp;GameEventID=320&amp;GameID=0021500090&amp;Season=2015-16&amp;flag=1&amp;title=Leonard%2017'%20Pullup%20Jump%20Shot%20(14%20PTS)%20(Mills%202%20AST)", "Leonard 17' Pullup Jump Shot (14 PTS) (Mills 2 AST)")</f>
        <v>Leonard 17' Pullup Jump Shot (14 PTS) (Mills 2 AST)</v>
      </c>
      <c r="K4037" s="2" t="str">
        <f>HYPERLINK("https://www.nba.com/game/...-vs-...-0021500090/play-by-play?watchFullGame=true", "SAS vs CHA - Q3 05:07.00")</f>
        <v>SAS vs CHA - Q3 05:07.00</v>
      </c>
      <c r="L4037">
        <v>17</v>
      </c>
      <c r="M4037">
        <v>105</v>
      </c>
      <c r="N4037">
        <v>136</v>
      </c>
      <c r="O4037">
        <v>105</v>
      </c>
      <c r="P4037">
        <v>136</v>
      </c>
    </row>
    <row r="4038" spans="1:16" x14ac:dyDescent="0.25">
      <c r="A4038">
        <v>22301028</v>
      </c>
      <c r="B4038">
        <v>2023</v>
      </c>
      <c r="C4038" t="s">
        <v>16</v>
      </c>
      <c r="D4038" t="s">
        <v>19</v>
      </c>
      <c r="E4038">
        <v>46</v>
      </c>
      <c r="F4038">
        <v>54</v>
      </c>
      <c r="G4038">
        <v>2</v>
      </c>
      <c r="H4038" s="1">
        <v>3.8657407407407408E-3</v>
      </c>
      <c r="I4038" t="s">
        <v>23</v>
      </c>
      <c r="J4038" s="2" t="str">
        <f>HYPERLINK("https://www.nba.com/stats/events?CFID=&amp;CFPARAMS=&amp;GameEventID=231&amp;GameID=0022301028&amp;Season=2023-24&amp;flag=1&amp;title=Leonard%2025'%203PT%20%20(6%20PTS)%20(J.%20Harden%205%20AST)", "25' 3PT  (6 PTS) (J. Harden 5 AST)")</f>
        <v>25' 3PT  (6 PTS) (J. Harden 5 AST)</v>
      </c>
      <c r="K4038" s="2" t="str">
        <f>HYPERLINK("https://www.nba.com/game/...-vs-...-0022301028/play-by-play?watchFullGame=true", "LAC vs PHI - Q2 05:34.00")</f>
        <v>LAC vs PHI - Q2 05:34.00</v>
      </c>
      <c r="L4038">
        <v>25.06</v>
      </c>
      <c r="M4038">
        <v>70.22</v>
      </c>
      <c r="N4038">
        <v>71.08</v>
      </c>
      <c r="O4038">
        <v>105</v>
      </c>
      <c r="P4038">
        <v>227</v>
      </c>
    </row>
    <row r="4039" spans="1:16" x14ac:dyDescent="0.25">
      <c r="A4039">
        <v>21601011</v>
      </c>
      <c r="B4039">
        <v>2016</v>
      </c>
      <c r="C4039" t="s">
        <v>16</v>
      </c>
      <c r="D4039" t="s">
        <v>19</v>
      </c>
      <c r="E4039">
        <v>43</v>
      </c>
      <c r="F4039">
        <v>40</v>
      </c>
      <c r="G4039">
        <v>2</v>
      </c>
      <c r="H4039" s="1">
        <v>3.2291666666666666E-3</v>
      </c>
      <c r="I4039" t="s">
        <v>18</v>
      </c>
      <c r="J4039" s="2" t="str">
        <f>HYPERLINK("https://www.nba.com/stats/events?CFID=&amp;CFPARAMS=&amp;GameEventID=176&amp;GameID=0021601011&amp;Season=2016-17&amp;flag=1&amp;title=Leonard%2025'%203PT%20Jump%20Shot%20(8%20PTS)%20(Mills%204%20AST)", "Leonard 25' 3PT Jump Shot (8 PTS) (Mills 4 AST)")</f>
        <v>Leonard 25' 3PT Jump Shot (8 PTS) (Mills 4 AST)</v>
      </c>
      <c r="K4039" s="2" t="str">
        <f>HYPERLINK("https://www.nba.com/game/...-vs-...-0021601011/play-by-play?watchFullGame=true", "SAS vs POR - Q2 04:39.00")</f>
        <v>SAS vs POR - Q2 04:39.00</v>
      </c>
      <c r="L4039">
        <v>25</v>
      </c>
      <c r="M4039">
        <v>105</v>
      </c>
      <c r="N4039">
        <v>232</v>
      </c>
      <c r="O4039">
        <v>105</v>
      </c>
      <c r="P4039">
        <v>232</v>
      </c>
    </row>
    <row r="4040" spans="1:16" x14ac:dyDescent="0.25">
      <c r="A4040">
        <v>21400714</v>
      </c>
      <c r="B4040">
        <v>2014</v>
      </c>
      <c r="C4040" t="s">
        <v>16</v>
      </c>
      <c r="D4040" t="s">
        <v>29</v>
      </c>
      <c r="E4040">
        <v>60</v>
      </c>
      <c r="F4040">
        <v>71</v>
      </c>
      <c r="G4040">
        <v>3</v>
      </c>
      <c r="H4040" s="1">
        <v>3.8425925925925928E-3</v>
      </c>
      <c r="I4040" t="s">
        <v>18</v>
      </c>
      <c r="J4040" s="2" t="str">
        <f>HYPERLINK("https://www.nba.com/stats/events?CFID=&amp;CFPARAMS=&amp;GameEventID=315&amp;GameID=0021400714&amp;Season=2014-15&amp;flag=1&amp;title=Leonard%2027'%203PT%20Pullup%20Jump%20Shot%20(23%20PTS)", "Leonard 27' 3PT Pullup Jump Shot (23 PTS)")</f>
        <v>Leonard 27' 3PT Pullup Jump Shot (23 PTS)</v>
      </c>
      <c r="K4040" s="2" t="str">
        <f>HYPERLINK("https://www.nba.com/game/...-vs-...-0021400714/play-by-play?watchFullGame=true", "SAS vs LAC - Q3 05:32.00")</f>
        <v>SAS vs LAC - Q3 05:32.00</v>
      </c>
      <c r="L4040">
        <v>27</v>
      </c>
      <c r="M4040">
        <v>105</v>
      </c>
      <c r="N4040">
        <v>244</v>
      </c>
      <c r="O4040">
        <v>105</v>
      </c>
      <c r="P4040">
        <v>244</v>
      </c>
    </row>
    <row r="4041" spans="1:16" x14ac:dyDescent="0.25">
      <c r="A4041">
        <v>21400931</v>
      </c>
      <c r="B4041">
        <v>2014</v>
      </c>
      <c r="C4041" t="s">
        <v>32</v>
      </c>
      <c r="D4041" t="s">
        <v>29</v>
      </c>
      <c r="E4041">
        <v>64</v>
      </c>
      <c r="F4041">
        <v>50</v>
      </c>
      <c r="G4041">
        <v>3</v>
      </c>
      <c r="H4041" s="1">
        <v>5.3009259259259259E-3</v>
      </c>
      <c r="I4041" t="s">
        <v>18</v>
      </c>
      <c r="J4041" s="2" t="str">
        <f>HYPERLINK("https://www.nba.com/stats/events?CFID=&amp;CFPARAMS=&amp;GameEventID=316&amp;GameID=0021400931&amp;Season=2014-15&amp;flag=1&amp;title=Leonard%2011'%20Pullup%20Jump%20Shot%20(12%20PTS)%20(Parker%201%20AST)", "Leonard 11' Pullup Jump Shot (12 PTS) (Parker 1 AST)")</f>
        <v>Leonard 11' Pullup Jump Shot (12 PTS) (Parker 1 AST)</v>
      </c>
      <c r="K4041" s="2" t="str">
        <f>HYPERLINK("https://www.nba.com/game/...-vs-...-0021400931/play-by-play?watchFullGame=true", "SAS vs CHI - Q3 07:38.00")</f>
        <v>SAS vs CHI - Q3 07:38.00</v>
      </c>
      <c r="L4041">
        <v>11</v>
      </c>
      <c r="M4041">
        <v>106</v>
      </c>
      <c r="N4041">
        <v>34</v>
      </c>
      <c r="O4041">
        <v>106</v>
      </c>
      <c r="P4041">
        <v>34</v>
      </c>
    </row>
    <row r="4042" spans="1:16" x14ac:dyDescent="0.25">
      <c r="A4042">
        <v>22000077</v>
      </c>
      <c r="B4042">
        <v>2020</v>
      </c>
      <c r="C4042" t="s">
        <v>32</v>
      </c>
      <c r="D4042" t="s">
        <v>19</v>
      </c>
      <c r="E4042">
        <v>40</v>
      </c>
      <c r="F4042">
        <v>26</v>
      </c>
      <c r="G4042">
        <v>2</v>
      </c>
      <c r="H4042" s="1">
        <v>5.1504629629629626E-3</v>
      </c>
      <c r="I4042" t="s">
        <v>23</v>
      </c>
      <c r="J4042" s="2" t="str">
        <f>HYPERLINK("https://www.nba.com/stats/events?CFID=&amp;CFPARAMS=&amp;GameEventID=253&amp;GameID=0022000077&amp;Season=2020-21&amp;flag=1&amp;title=Leonard%2012'%20pullup%20Jump%20Shot%20(7%20PTS)", "12' pullup Jump Shot (7 PTS)")</f>
        <v>12' pullup Jump Shot (7 PTS)</v>
      </c>
      <c r="K4042" s="2" t="str">
        <f>HYPERLINK("https://www.nba.com/game/...-vs-...-0022000077/play-by-play?watchFullGame=true", "LAC vs UTA - Q2 07:25.00")</f>
        <v>LAC vs UTA - Q2 07:25.00</v>
      </c>
      <c r="L4042">
        <v>12.56</v>
      </c>
      <c r="M4042">
        <v>12.7</v>
      </c>
      <c r="N4042">
        <v>28.75</v>
      </c>
      <c r="O4042">
        <v>106</v>
      </c>
      <c r="P4042">
        <v>67</v>
      </c>
    </row>
    <row r="4043" spans="1:16" x14ac:dyDescent="0.25">
      <c r="A4043">
        <v>41800403</v>
      </c>
      <c r="B4043" t="s">
        <v>20</v>
      </c>
      <c r="C4043" t="s">
        <v>32</v>
      </c>
      <c r="D4043" t="s">
        <v>29</v>
      </c>
      <c r="E4043">
        <v>94</v>
      </c>
      <c r="F4043">
        <v>109</v>
      </c>
      <c r="G4043">
        <v>4</v>
      </c>
      <c r="H4043" s="1">
        <v>4.2939814814814811E-3</v>
      </c>
      <c r="I4043" t="s">
        <v>21</v>
      </c>
      <c r="J4043" s="2" t="str">
        <f>HYPERLINK("https://www.nba.com/stats/events?CFID=&amp;CFPARAMS=&amp;GameEventID=590&amp;GameID=0041800403&amp;Season=2018-19&amp;flag=1&amp;title=Leonard%2014'%20Pullup%20Jump%20Shot%20(26%20PTS)%20(Lowry%206%20AST)", "Leonard 14' Pullup Jump Shot (26 PTS) (Lowry 6 AST)")</f>
        <v>Leonard 14' Pullup Jump Shot (26 PTS) (Lowry 6 AST)</v>
      </c>
      <c r="K4043" s="2" t="str">
        <f>HYPERLINK("https://www.nba.com/game/...-vs-...-0041800403/play-by-play?watchFullGame=true", "TOR vs GSW - Q4 06:11.00")</f>
        <v>TOR vs GSW - Q4 06:11.00</v>
      </c>
      <c r="L4043">
        <v>14</v>
      </c>
      <c r="M4043">
        <v>106</v>
      </c>
      <c r="N4043">
        <v>92</v>
      </c>
      <c r="O4043">
        <v>106</v>
      </c>
      <c r="P4043">
        <v>92</v>
      </c>
    </row>
    <row r="4044" spans="1:16" x14ac:dyDescent="0.25">
      <c r="A4044">
        <v>21901258</v>
      </c>
      <c r="B4044">
        <v>2019</v>
      </c>
      <c r="C4044" t="s">
        <v>32</v>
      </c>
      <c r="D4044" t="s">
        <v>22</v>
      </c>
      <c r="E4044">
        <v>11</v>
      </c>
      <c r="F4044">
        <v>7</v>
      </c>
      <c r="G4044">
        <v>1</v>
      </c>
      <c r="H4044" s="1">
        <v>5.1504629629629626E-3</v>
      </c>
      <c r="I4044" t="s">
        <v>23</v>
      </c>
      <c r="J4044" s="2" t="str">
        <f>HYPERLINK("https://www.nba.com/stats/events?CFID=&amp;CFPARAMS=&amp;GameEventID=52&amp;GameID=0021901258&amp;Season=2019-20&amp;flag=1&amp;title=Leonard%2016'%20jumpshot%20(2%20PTS)", "16' jumpshot (2 PTS)")</f>
        <v>16' jumpshot (2 PTS)</v>
      </c>
      <c r="K4044" s="2" t="str">
        <f>HYPERLINK("https://www.nba.com/game/...-vs-...-0021901258/play-by-play?watchFullGame=true", "LAC vs PHX - Q1 07:25.00")</f>
        <v>LAC vs PHX - Q1 07:25.00</v>
      </c>
      <c r="L4044">
        <v>15.79</v>
      </c>
      <c r="M4044">
        <v>17.43</v>
      </c>
      <c r="N4044">
        <v>28.75</v>
      </c>
      <c r="O4044">
        <v>106</v>
      </c>
      <c r="P4044">
        <v>111</v>
      </c>
    </row>
    <row r="4045" spans="1:16" x14ac:dyDescent="0.25">
      <c r="A4045">
        <v>21900035</v>
      </c>
      <c r="B4045">
        <v>2019</v>
      </c>
      <c r="C4045" t="s">
        <v>32</v>
      </c>
      <c r="D4045" t="s">
        <v>22</v>
      </c>
      <c r="E4045">
        <v>65</v>
      </c>
      <c r="F4045">
        <v>66</v>
      </c>
      <c r="G4045">
        <v>3</v>
      </c>
      <c r="H4045" s="1">
        <v>5.6134259259259262E-3</v>
      </c>
      <c r="I4045" t="s">
        <v>23</v>
      </c>
      <c r="J4045" s="2" t="str">
        <f>HYPERLINK("https://www.nba.com/stats/events?CFID=&amp;CFPARAMS=&amp;GameEventID=432&amp;GameID=0021900035&amp;Season=2019-20&amp;flag=1&amp;title=[LAC]%20Leonard%20jumpshot:%20Made%20(14%20PTS)", "[LAC] Leonard jumpshot: Made (14 PTS)")</f>
        <v>[LAC] Leonard jumpshot: Made (14 PTS)</v>
      </c>
      <c r="K4045" s="2" t="str">
        <f>HYPERLINK("https://www.nba.com/game/...-vs-...-0021900035/play-by-play?watchFullGame=true", "LAC vs PHX - Q3 08:05.00")</f>
        <v>LAC vs PHX - Q3 08:05.00</v>
      </c>
      <c r="L4045">
        <v>16.29</v>
      </c>
      <c r="M4045">
        <v>81.819999999999993</v>
      </c>
      <c r="N4045">
        <v>71.150000000000006</v>
      </c>
      <c r="O4045">
        <v>106</v>
      </c>
      <c r="P4045">
        <v>118</v>
      </c>
    </row>
    <row r="4046" spans="1:16" x14ac:dyDescent="0.25">
      <c r="A4046">
        <v>21400986</v>
      </c>
      <c r="B4046">
        <v>2014</v>
      </c>
      <c r="C4046" t="s">
        <v>32</v>
      </c>
      <c r="D4046" t="s">
        <v>19</v>
      </c>
      <c r="E4046">
        <v>65</v>
      </c>
      <c r="F4046">
        <v>50</v>
      </c>
      <c r="G4046">
        <v>3</v>
      </c>
      <c r="H4046" s="1">
        <v>7.7777777777777776E-3</v>
      </c>
      <c r="I4046" t="s">
        <v>18</v>
      </c>
      <c r="J4046" s="2" t="str">
        <f>HYPERLINK("https://www.nba.com/stats/events?CFID=&amp;CFPARAMS=&amp;GameEventID=253&amp;GameID=0021400986&amp;Season=2014-15&amp;flag=1&amp;title=Leonard%2017'%20Jump%20Shot%20(13%20PTS)%20(Duncan%206%20AST)", "Leonard 17' Jump Shot (13 PTS) (Duncan 6 AST)")</f>
        <v>Leonard 17' Jump Shot (13 PTS) (Duncan 6 AST)</v>
      </c>
      <c r="K4046" s="2" t="str">
        <f>HYPERLINK("https://www.nba.com/game/...-vs-...-0021400986/play-by-play?watchFullGame=true", "SAS vs MIN - Q3 11:12.00")</f>
        <v>SAS vs MIN - Q3 11:12.00</v>
      </c>
      <c r="L4046">
        <v>17</v>
      </c>
      <c r="M4046">
        <v>106</v>
      </c>
      <c r="N4046">
        <v>131</v>
      </c>
      <c r="O4046">
        <v>106</v>
      </c>
      <c r="P4046">
        <v>131</v>
      </c>
    </row>
    <row r="4047" spans="1:16" x14ac:dyDescent="0.25">
      <c r="A4047">
        <v>21301174</v>
      </c>
      <c r="B4047">
        <v>2013</v>
      </c>
      <c r="C4047" t="s">
        <v>16</v>
      </c>
      <c r="D4047" t="s">
        <v>19</v>
      </c>
      <c r="E4047">
        <v>9</v>
      </c>
      <c r="F4047">
        <v>20</v>
      </c>
      <c r="G4047">
        <v>1</v>
      </c>
      <c r="H4047" s="1">
        <v>4.0393518518518521E-3</v>
      </c>
      <c r="I4047" t="s">
        <v>18</v>
      </c>
      <c r="J4047" s="2" t="str">
        <f>HYPERLINK("https://www.nba.com/stats/events?CFID=&amp;CFPARAMS=&amp;GameEventID=57&amp;GameID=0021301174&amp;Season=2013-14&amp;flag=1&amp;title=Leonard%2025'%203PT%20Jump%20Shot%20(5%20PTS)", "Leonard 25' 3PT Jump Shot (5 PTS)")</f>
        <v>Leonard 25' 3PT Jump Shot (5 PTS)</v>
      </c>
      <c r="K4047" s="2" t="str">
        <f>HYPERLINK("https://www.nba.com/game/...-vs-...-0021301174/play-by-play?watchFullGame=true", "SAS vs DAL - Q1 05:49.00")</f>
        <v>SAS vs DAL - Q1 05:49.00</v>
      </c>
      <c r="L4047">
        <v>25</v>
      </c>
      <c r="M4047">
        <v>106</v>
      </c>
      <c r="N4047">
        <v>224</v>
      </c>
      <c r="O4047">
        <v>106</v>
      </c>
      <c r="P4047">
        <v>224</v>
      </c>
    </row>
    <row r="4048" spans="1:16" x14ac:dyDescent="0.25">
      <c r="A4048">
        <v>21500546</v>
      </c>
      <c r="B4048">
        <v>2015</v>
      </c>
      <c r="C4048" t="s">
        <v>32</v>
      </c>
      <c r="D4048" t="s">
        <v>34</v>
      </c>
      <c r="E4048">
        <v>2</v>
      </c>
      <c r="F4048">
        <v>3</v>
      </c>
      <c r="G4048">
        <v>1</v>
      </c>
      <c r="H4048" s="1">
        <v>6.9907407407407409E-3</v>
      </c>
      <c r="I4048" t="s">
        <v>18</v>
      </c>
      <c r="J4048" s="2" t="str">
        <f>HYPERLINK("https://www.nba.com/stats/events?CFID=&amp;CFPARAMS=&amp;GameEventID=17&amp;GameID=0021500546&amp;Season=2015-16&amp;flag=1&amp;title=Leonard%2011'%20Turnaround%20Fadeaway%20(2%20PTS)", "Leonard 11' Turnaround Fadeaway (2 PTS)")</f>
        <v>Leonard 11' Turnaround Fadeaway (2 PTS)</v>
      </c>
      <c r="K4048" s="2" t="str">
        <f>HYPERLINK("https://www.nba.com/game/...-vs-...-0021500546/play-by-play?watchFullGame=true", "SAS vs NYK - Q1 10:04.00")</f>
        <v>SAS vs NYK - Q1 10:04.00</v>
      </c>
      <c r="L4048">
        <v>11</v>
      </c>
      <c r="M4048">
        <v>107</v>
      </c>
      <c r="N4048">
        <v>-1</v>
      </c>
      <c r="O4048">
        <v>107</v>
      </c>
      <c r="P4048">
        <v>-1</v>
      </c>
    </row>
    <row r="4049" spans="1:16" x14ac:dyDescent="0.25">
      <c r="A4049">
        <v>22300244</v>
      </c>
      <c r="B4049">
        <v>2023</v>
      </c>
      <c r="C4049" t="s">
        <v>32</v>
      </c>
      <c r="D4049" t="s">
        <v>19</v>
      </c>
      <c r="E4049">
        <v>76</v>
      </c>
      <c r="F4049">
        <v>55</v>
      </c>
      <c r="G4049">
        <v>3</v>
      </c>
      <c r="H4049" s="1">
        <v>2.0023148148148148E-3</v>
      </c>
      <c r="I4049" t="s">
        <v>23</v>
      </c>
      <c r="J4049" s="2" t="str">
        <f>HYPERLINK("https://www.nba.com/stats/events?CFID=&amp;CFPARAMS=&amp;GameEventID=471&amp;GameID=0022300244&amp;Season=2023-24&amp;flag=1&amp;title=Leonard%2010'%20pullup%20Jump%20Shot%20(6%20PTS)", "10' pullup Jump Shot (6 PTS)")</f>
        <v>10' pullup Jump Shot (6 PTS)</v>
      </c>
      <c r="K4049" s="2" t="str">
        <f>HYPERLINK("https://www.nba.com/game/...-vs-...-0022300244/play-by-play?watchFullGame=true", "LAC vs DAL - Q3 02:53.00")</f>
        <v>LAC vs DAL - Q3 02:53.00</v>
      </c>
      <c r="L4049">
        <v>10.66</v>
      </c>
      <c r="M4049">
        <v>5.44</v>
      </c>
      <c r="N4049">
        <v>28.68</v>
      </c>
      <c r="O4049">
        <v>107</v>
      </c>
      <c r="P4049">
        <v>-1</v>
      </c>
    </row>
    <row r="4050" spans="1:16" x14ac:dyDescent="0.25">
      <c r="A4050">
        <v>21600782</v>
      </c>
      <c r="B4050">
        <v>2016</v>
      </c>
      <c r="C4050" t="s">
        <v>32</v>
      </c>
      <c r="D4050" t="s">
        <v>34</v>
      </c>
      <c r="E4050">
        <v>89</v>
      </c>
      <c r="F4050">
        <v>96</v>
      </c>
      <c r="G4050">
        <v>4</v>
      </c>
      <c r="H4050" s="1">
        <v>2.662037037037037E-3</v>
      </c>
      <c r="I4050" t="s">
        <v>18</v>
      </c>
      <c r="J4050" s="2" t="str">
        <f>HYPERLINK("https://www.nba.com/stats/events?CFID=&amp;CFPARAMS=&amp;GameEventID=473&amp;GameID=0021600782&amp;Season=2016-17&amp;flag=1&amp;title=Leonard%2011'%20Turnaround%20Fadeaway%20(30%20PTS)", "Leonard 11' Turnaround Fadeaway (30 PTS)")</f>
        <v>Leonard 11' Turnaround Fadeaway (30 PTS)</v>
      </c>
      <c r="K4050" s="2" t="str">
        <f>HYPERLINK("https://www.nba.com/game/...-vs-...-0021600782/play-by-play?watchFullGame=true", "SAS vs PHI - Q4 03:50.00")</f>
        <v>SAS vs PHI - Q4 03:50.00</v>
      </c>
      <c r="L4050">
        <v>11</v>
      </c>
      <c r="M4050">
        <v>107</v>
      </c>
      <c r="N4050">
        <v>23</v>
      </c>
      <c r="O4050">
        <v>107</v>
      </c>
      <c r="P4050">
        <v>23</v>
      </c>
    </row>
    <row r="4051" spans="1:16" x14ac:dyDescent="0.25">
      <c r="A4051">
        <v>41600156</v>
      </c>
      <c r="B4051" t="s">
        <v>30</v>
      </c>
      <c r="C4051" t="s">
        <v>32</v>
      </c>
      <c r="D4051" t="s">
        <v>37</v>
      </c>
      <c r="E4051">
        <v>88</v>
      </c>
      <c r="F4051">
        <v>83</v>
      </c>
      <c r="G4051">
        <v>4</v>
      </c>
      <c r="H4051" s="1">
        <v>3.9814814814814817E-3</v>
      </c>
      <c r="I4051" t="s">
        <v>18</v>
      </c>
      <c r="J4051" s="2" t="str">
        <f>HYPERLINK("https://www.nba.com/stats/events?CFID=&amp;CFPARAMS=&amp;GameEventID=414&amp;GameID=0041600156&amp;Season=2016-17&amp;flag=1&amp;title=Leonard%2011'%20Floating%20Jump%20Shot%20(23%20PTS)", "Leonard 11' Floating Jump Shot (23 PTS)")</f>
        <v>Leonard 11' Floating Jump Shot (23 PTS)</v>
      </c>
      <c r="K4051" s="2" t="str">
        <f>HYPERLINK("https://www.nba.com/game/...-vs-...-0041600156/play-by-play?watchFullGame=true", "SAS vs MEM - Q4 05:44.00")</f>
        <v>SAS vs MEM - Q4 05:44.00</v>
      </c>
      <c r="L4051">
        <v>11</v>
      </c>
      <c r="M4051">
        <v>107</v>
      </c>
      <c r="N4051">
        <v>23</v>
      </c>
      <c r="O4051">
        <v>107</v>
      </c>
      <c r="P4051">
        <v>23</v>
      </c>
    </row>
    <row r="4052" spans="1:16" x14ac:dyDescent="0.25">
      <c r="A4052">
        <v>22300280</v>
      </c>
      <c r="B4052">
        <v>2023</v>
      </c>
      <c r="C4052" t="s">
        <v>32</v>
      </c>
      <c r="D4052" t="s">
        <v>19</v>
      </c>
      <c r="E4052">
        <v>106</v>
      </c>
      <c r="F4052">
        <v>107</v>
      </c>
      <c r="G4052">
        <v>4</v>
      </c>
      <c r="H4052" s="1">
        <v>1.4351851851851852E-3</v>
      </c>
      <c r="I4052" t="s">
        <v>23</v>
      </c>
      <c r="J4052" s="2" t="str">
        <f>HYPERLINK("https://www.nba.com/stats/events?CFID=&amp;CFPARAMS=&amp;GameEventID=607&amp;GameID=0022300280&amp;Season=2023-24&amp;flag=1&amp;title=Leonard%2012'%20pullup%20Jump%20Shot%20(18%20PTS)", "12' pullup Jump Shot (18 PTS)")</f>
        <v>12' pullup Jump Shot (18 PTS)</v>
      </c>
      <c r="K4052" s="2" t="str">
        <f>HYPERLINK("https://www.nba.com/game/...-vs-...-0022300280/play-by-play?watchFullGame=true", "LAC vs GSW - Q4 02:04.00")</f>
        <v>LAC vs GSW - Q4 02:04.00</v>
      </c>
      <c r="L4052">
        <v>12.85</v>
      </c>
      <c r="M4052">
        <v>86.78</v>
      </c>
      <c r="N4052">
        <v>71.319999999999993</v>
      </c>
      <c r="O4052">
        <v>107</v>
      </c>
      <c r="P4052">
        <v>72</v>
      </c>
    </row>
    <row r="4053" spans="1:16" x14ac:dyDescent="0.25">
      <c r="A4053">
        <v>21600825</v>
      </c>
      <c r="B4053">
        <v>2016</v>
      </c>
      <c r="C4053" t="s">
        <v>32</v>
      </c>
      <c r="D4053" t="s">
        <v>38</v>
      </c>
      <c r="E4053">
        <v>52</v>
      </c>
      <c r="F4053">
        <v>51</v>
      </c>
      <c r="G4053">
        <v>3</v>
      </c>
      <c r="H4053" s="1">
        <v>7.9282407407407409E-3</v>
      </c>
      <c r="I4053" t="s">
        <v>18</v>
      </c>
      <c r="J4053" s="2" t="str">
        <f>HYPERLINK("https://www.nba.com/stats/events?CFID=&amp;CFPARAMS=&amp;GameEventID=249&amp;GameID=0021600825&amp;Season=2016-17&amp;flag=1&amp;title=Leonard%2014'%20Jump%20Bank%20Shot%20(15%20PTS)", "Leonard 14' Jump Bank Shot (15 PTS)")</f>
        <v>Leonard 14' Jump Bank Shot (15 PTS)</v>
      </c>
      <c r="K4053" s="2" t="str">
        <f>HYPERLINK("https://www.nba.com/game/...-vs-...-0021600825/play-by-play?watchFullGame=true", "SAS vs IND - Q3 11:25.00")</f>
        <v>SAS vs IND - Q3 11:25.00</v>
      </c>
      <c r="L4053">
        <v>14</v>
      </c>
      <c r="M4053">
        <v>107</v>
      </c>
      <c r="N4053">
        <v>85</v>
      </c>
      <c r="O4053">
        <v>107</v>
      </c>
      <c r="P4053">
        <v>85</v>
      </c>
    </row>
    <row r="4054" spans="1:16" x14ac:dyDescent="0.25">
      <c r="A4054">
        <v>22300160</v>
      </c>
      <c r="B4054">
        <v>2023</v>
      </c>
      <c r="C4054" t="s">
        <v>32</v>
      </c>
      <c r="D4054" t="s">
        <v>19</v>
      </c>
      <c r="E4054">
        <v>60</v>
      </c>
      <c r="F4054">
        <v>57</v>
      </c>
      <c r="G4054">
        <v>3</v>
      </c>
      <c r="H4054" s="1">
        <v>3.9814814814814817E-3</v>
      </c>
      <c r="I4054" t="s">
        <v>23</v>
      </c>
      <c r="J4054" s="2" t="str">
        <f>HYPERLINK("https://www.nba.com/stats/events?CFID=&amp;CFPARAMS=&amp;GameEventID=397&amp;GameID=0022300160&amp;Season=2023-24&amp;flag=1&amp;title=Leonard%2015'%20turnaround%20fadeaway%20Jump%20Shot%20(10%20PTS)", "15' turnaround fadeaway Jump Shot (10 PTS)")</f>
        <v>15' turnaround fadeaway Jump Shot (10 PTS)</v>
      </c>
      <c r="K4054" s="2" t="str">
        <f>HYPERLINK("https://www.nba.com/game/...-vs-...-0022300160/play-by-play?watchFullGame=true", "LAC vs BKN - Q3 05:44.00")</f>
        <v>LAC vs BKN - Q3 05:44.00</v>
      </c>
      <c r="L4054">
        <v>15.06</v>
      </c>
      <c r="M4054">
        <v>16.899999999999999</v>
      </c>
      <c r="N4054">
        <v>28.68</v>
      </c>
      <c r="O4054">
        <v>107</v>
      </c>
      <c r="P4054">
        <v>106</v>
      </c>
    </row>
    <row r="4055" spans="1:16" x14ac:dyDescent="0.25">
      <c r="A4055">
        <v>41500235</v>
      </c>
      <c r="B4055" t="s">
        <v>25</v>
      </c>
      <c r="C4055" t="s">
        <v>32</v>
      </c>
      <c r="D4055" t="s">
        <v>29</v>
      </c>
      <c r="E4055">
        <v>52</v>
      </c>
      <c r="F4055">
        <v>45</v>
      </c>
      <c r="G4055">
        <v>3</v>
      </c>
      <c r="H4055" s="1">
        <v>7.2106481481481483E-3</v>
      </c>
      <c r="I4055" t="s">
        <v>18</v>
      </c>
      <c r="J4055" s="2" t="str">
        <f>HYPERLINK("https://www.nba.com/stats/events?CFID=&amp;CFPARAMS=&amp;GameEventID=254&amp;GameID=0041500235&amp;Season=2015-16&amp;flag=1&amp;title=Leonard%2017'%20Pullup%20Jump%20Shot%20(19%20PTS)", "Leonard 17' Pullup Jump Shot (19 PTS)")</f>
        <v>Leonard 17' Pullup Jump Shot (19 PTS)</v>
      </c>
      <c r="K4055" s="2" t="str">
        <f>HYPERLINK("https://www.nba.com/game/...-vs-...-0041500235/play-by-play?watchFullGame=true", "SAS vs OKC - Q3 10:23.00")</f>
        <v>SAS vs OKC - Q3 10:23.00</v>
      </c>
      <c r="L4055">
        <v>17</v>
      </c>
      <c r="M4055">
        <v>107</v>
      </c>
      <c r="N4055">
        <v>129</v>
      </c>
      <c r="O4055">
        <v>107</v>
      </c>
      <c r="P4055">
        <v>129</v>
      </c>
    </row>
    <row r="4056" spans="1:16" x14ac:dyDescent="0.25">
      <c r="A4056">
        <v>22200255</v>
      </c>
      <c r="B4056">
        <v>2022</v>
      </c>
      <c r="C4056" t="s">
        <v>32</v>
      </c>
      <c r="D4056" t="s">
        <v>19</v>
      </c>
      <c r="E4056">
        <v>13</v>
      </c>
      <c r="F4056">
        <v>11</v>
      </c>
      <c r="G4056">
        <v>1</v>
      </c>
      <c r="H4056" s="1">
        <v>4.8495370370370368E-3</v>
      </c>
      <c r="I4056" t="s">
        <v>23</v>
      </c>
      <c r="J4056" s="2" t="str">
        <f>HYPERLINK("https://www.nba.com/stats/events?CFID=&amp;CFPARAMS=&amp;GameEventID=54&amp;GameID=0022200255&amp;Season=2022-23&amp;flag=1&amp;title=Leonard%2019'%20pullup%20Jump%20Shot%20(2%20PTS)", "19' pullup Jump Shot (2 PTS)")</f>
        <v>19' pullup Jump Shot (2 PTS)</v>
      </c>
      <c r="K4056" s="2" t="str">
        <f>HYPERLINK("https://www.nba.com/game/...-vs-...-0022200255/play-by-play?watchFullGame=true", "LAC vs UTA - Q1 06:59.00")</f>
        <v>LAC vs UTA - Q1 06:59.00</v>
      </c>
      <c r="L4056">
        <v>19.059999999999999</v>
      </c>
      <c r="M4056">
        <v>22.39</v>
      </c>
      <c r="N4056">
        <v>28.68</v>
      </c>
      <c r="O4056">
        <v>107</v>
      </c>
      <c r="P4056">
        <v>158</v>
      </c>
    </row>
    <row r="4057" spans="1:16" x14ac:dyDescent="0.25">
      <c r="A4057">
        <v>22201215</v>
      </c>
      <c r="B4057">
        <v>2022</v>
      </c>
      <c r="C4057" t="s">
        <v>16</v>
      </c>
      <c r="D4057" t="s">
        <v>19</v>
      </c>
      <c r="E4057">
        <v>94</v>
      </c>
      <c r="F4057">
        <v>85</v>
      </c>
      <c r="G4057">
        <v>3</v>
      </c>
      <c r="H4057" s="1">
        <v>3.1944444444444446E-3</v>
      </c>
      <c r="I4057" t="s">
        <v>23</v>
      </c>
      <c r="J4057" s="2" t="str">
        <f>HYPERLINK("https://www.nba.com/stats/events?CFID=&amp;CFPARAMS=&amp;GameEventID=441&amp;GameID=0022201215&amp;Season=2022-23&amp;flag=1&amp;title=Leonard%2024'%203PT%20running%20pullup%20(22%20PTS)", "24' 3PT running pullup (22 PTS)")</f>
        <v>24' 3PT running pullup (22 PTS)</v>
      </c>
      <c r="K4057" s="2" t="str">
        <f>HYPERLINK("https://www.nba.com/game/...-vs-...-0022201215/play-by-play?watchFullGame=true", "LAC vs POR - Q3 04:36.00")</f>
        <v>LAC vs POR - Q3 04:36.00</v>
      </c>
      <c r="L4057">
        <v>24.87</v>
      </c>
      <c r="M4057">
        <v>29.48</v>
      </c>
      <c r="N4057">
        <v>28.68</v>
      </c>
      <c r="O4057">
        <v>107</v>
      </c>
      <c r="P4057">
        <v>225</v>
      </c>
    </row>
    <row r="4058" spans="1:16" x14ac:dyDescent="0.25">
      <c r="A4058">
        <v>21900212</v>
      </c>
      <c r="B4058">
        <v>2019</v>
      </c>
      <c r="C4058" t="s">
        <v>16</v>
      </c>
      <c r="D4058" t="s">
        <v>22</v>
      </c>
      <c r="E4058">
        <v>3</v>
      </c>
      <c r="F4058">
        <v>0</v>
      </c>
      <c r="G4058">
        <v>1</v>
      </c>
      <c r="H4058" s="1">
        <v>8.0208333333333329E-3</v>
      </c>
      <c r="I4058" t="s">
        <v>23</v>
      </c>
      <c r="J4058" s="2" t="str">
        <f>HYPERLINK("https://www.nba.com/stats/events?CFID=&amp;CFPARAMS=&amp;GameEventID=7&amp;GameID=0021900212&amp;Season=2019-20&amp;flag=1&amp;title=Leonard%2026'%203PT%20%20(3%20PTS)%20(I.%20Zubac%201%20AST)", "26' 3PT  (3 PTS) (I. Zubac 1 AST)")</f>
        <v>26' 3PT  (3 PTS) (I. Zubac 1 AST)</v>
      </c>
      <c r="K4058" s="2" t="str">
        <f>HYPERLINK("https://www.nba.com/game/...-vs-...-0021900212/play-by-play?watchFullGame=true", "LAC vs BOS - Q1 11:33.00")</f>
        <v>LAC vs BOS - Q1 11:33.00</v>
      </c>
      <c r="L4058">
        <v>25.68</v>
      </c>
      <c r="M4058">
        <v>29.83</v>
      </c>
      <c r="N4058">
        <v>28.58</v>
      </c>
      <c r="O4058">
        <v>107</v>
      </c>
      <c r="P4058">
        <v>228</v>
      </c>
    </row>
    <row r="4059" spans="1:16" x14ac:dyDescent="0.25">
      <c r="A4059">
        <v>21501043</v>
      </c>
      <c r="B4059">
        <v>2015</v>
      </c>
      <c r="C4059" t="s">
        <v>16</v>
      </c>
      <c r="D4059" t="s">
        <v>19</v>
      </c>
      <c r="E4059">
        <v>2</v>
      </c>
      <c r="F4059">
        <v>5</v>
      </c>
      <c r="G4059">
        <v>1</v>
      </c>
      <c r="H4059" s="1">
        <v>7.5578703703703702E-3</v>
      </c>
      <c r="I4059" t="s">
        <v>18</v>
      </c>
      <c r="J4059" s="2" t="str">
        <f>HYPERLINK("https://www.nba.com/stats/events?CFID=&amp;CFPARAMS=&amp;GameEventID=13&amp;GameID=0021501043&amp;Season=2015-16&amp;flag=1&amp;title=Leonard%2026'%203PT%20Jump%20Shot%20(3%20PTS)%20(Parker%202%20AST)", "Leonard 26' 3PT Jump Shot (3 PTS) (Parker 2 AST)")</f>
        <v>Leonard 26' 3PT Jump Shot (3 PTS) (Parker 2 AST)</v>
      </c>
      <c r="K4059" s="2" t="str">
        <f>HYPERLINK("https://www.nba.com/game/...-vs-...-0021501043/play-by-play?watchFullGame=true", "SAS vs CHA - Q1 10:53.00")</f>
        <v>SAS vs CHA - Q1 10:53.00</v>
      </c>
      <c r="L4059">
        <v>26</v>
      </c>
      <c r="M4059">
        <v>107</v>
      </c>
      <c r="N4059">
        <v>232</v>
      </c>
      <c r="O4059">
        <v>107</v>
      </c>
      <c r="P4059">
        <v>232</v>
      </c>
    </row>
    <row r="4060" spans="1:16" x14ac:dyDescent="0.25">
      <c r="A4060">
        <v>21401098</v>
      </c>
      <c r="B4060">
        <v>2014</v>
      </c>
      <c r="C4060" t="s">
        <v>32</v>
      </c>
      <c r="D4060" t="s">
        <v>33</v>
      </c>
      <c r="E4060">
        <v>18</v>
      </c>
      <c r="F4060">
        <v>11</v>
      </c>
      <c r="G4060">
        <v>1</v>
      </c>
      <c r="H4060" s="1">
        <v>3.5300925925925925E-3</v>
      </c>
      <c r="I4060" t="s">
        <v>18</v>
      </c>
      <c r="J4060" s="2" t="str">
        <f>HYPERLINK("https://www.nba.com/stats/events?CFID=&amp;CFPARAMS=&amp;GameEventID=60&amp;GameID=0021401098&amp;Season=2014-15&amp;flag=1&amp;title=Leonard%2011'%20Fadeaway%20Jumper%20(6%20PTS)", "Leonard 11' Fadeaway Jumper (6 PTS)")</f>
        <v>Leonard 11' Fadeaway Jumper (6 PTS)</v>
      </c>
      <c r="K4060" s="2" t="str">
        <f>HYPERLINK("https://www.nba.com/game/...-vs-...-0021401098/play-by-play?watchFullGame=true", "SAS vs MEM - Q1 05:05.00")</f>
        <v>SAS vs MEM - Q1 05:05.00</v>
      </c>
      <c r="L4060">
        <v>11</v>
      </c>
      <c r="M4060">
        <v>108</v>
      </c>
      <c r="N4060">
        <v>12</v>
      </c>
      <c r="O4060">
        <v>108</v>
      </c>
      <c r="P4060">
        <v>12</v>
      </c>
    </row>
    <row r="4061" spans="1:16" x14ac:dyDescent="0.25">
      <c r="A4061">
        <v>22200829</v>
      </c>
      <c r="B4061">
        <v>2022</v>
      </c>
      <c r="C4061" t="s">
        <v>32</v>
      </c>
      <c r="D4061" t="s">
        <v>19</v>
      </c>
      <c r="E4061">
        <v>44</v>
      </c>
      <c r="F4061">
        <v>58</v>
      </c>
      <c r="G4061">
        <v>2</v>
      </c>
      <c r="H4061" s="1">
        <v>2.2685185185185187E-3</v>
      </c>
      <c r="I4061" t="s">
        <v>23</v>
      </c>
      <c r="J4061" s="2" t="str">
        <f>HYPERLINK("https://www.nba.com/stats/events?CFID=&amp;CFPARAMS=&amp;GameEventID=279&amp;GameID=0022200829&amp;Season=2022-23&amp;flag=1&amp;title=Leonard%2015'%20pullup%20Jump%20Shot%20(2%20PTS)%20(P.%20George%202%20AST)", "15' pullup Jump Shot (2 PTS) (P. George 2 AST)")</f>
        <v>15' pullup Jump Shot (2 PTS) (P. George 2 AST)</v>
      </c>
      <c r="K4061" s="2" t="str">
        <f>HYPERLINK("https://www.nba.com/game/...-vs-...-0022200829/play-by-play?watchFullGame=true", "LAC vs DAL - Q2 03:16.00")</f>
        <v>LAC vs DAL - Q2 03:16.00</v>
      </c>
      <c r="L4061">
        <v>15.23</v>
      </c>
      <c r="M4061">
        <v>82.97</v>
      </c>
      <c r="N4061">
        <v>71.569999999999993</v>
      </c>
      <c r="O4061">
        <v>108</v>
      </c>
      <c r="P4061">
        <v>108</v>
      </c>
    </row>
    <row r="4062" spans="1:16" x14ac:dyDescent="0.25">
      <c r="A4062">
        <v>22000188</v>
      </c>
      <c r="B4062">
        <v>2020</v>
      </c>
      <c r="C4062" t="s">
        <v>32</v>
      </c>
      <c r="D4062" t="s">
        <v>19</v>
      </c>
      <c r="E4062">
        <v>51</v>
      </c>
      <c r="F4062">
        <v>55</v>
      </c>
      <c r="G4062">
        <v>2</v>
      </c>
      <c r="H4062" s="1">
        <v>3.2060185185185186E-3</v>
      </c>
      <c r="I4062" t="s">
        <v>23</v>
      </c>
      <c r="J4062" s="2" t="str">
        <f>HYPERLINK("https://www.nba.com/stats/events?CFID=&amp;CFPARAMS=&amp;GameEventID=249&amp;GameID=0022000188&amp;Season=2020-21&amp;flag=1&amp;title=Leonard%2019'%20pullup%20Jump%20Shot%20(14%20PTS)", "19' pullup Jump Shot (14 PTS)")</f>
        <v>19' pullup Jump Shot (14 PTS)</v>
      </c>
      <c r="K4062" s="2" t="str">
        <f>HYPERLINK("https://www.nba.com/game/...-vs-...-0022000188/play-by-play?watchFullGame=true", "LAC vs SAC - Q2 04:37.00")</f>
        <v>LAC vs SAC - Q2 04:37.00</v>
      </c>
      <c r="L4062">
        <v>19.04</v>
      </c>
      <c r="M4062">
        <v>77.739999999999995</v>
      </c>
      <c r="N4062">
        <v>71.64</v>
      </c>
      <c r="O4062">
        <v>108</v>
      </c>
      <c r="P4062">
        <v>157</v>
      </c>
    </row>
    <row r="4063" spans="1:16" x14ac:dyDescent="0.25">
      <c r="A4063">
        <v>22200480</v>
      </c>
      <c r="B4063">
        <v>2022</v>
      </c>
      <c r="C4063" t="s">
        <v>32</v>
      </c>
      <c r="D4063" t="s">
        <v>19</v>
      </c>
      <c r="E4063">
        <v>99</v>
      </c>
      <c r="F4063">
        <v>92</v>
      </c>
      <c r="G4063">
        <v>4</v>
      </c>
      <c r="H4063" s="1">
        <v>5.7407407407407407E-3</v>
      </c>
      <c r="I4063" t="s">
        <v>23</v>
      </c>
      <c r="J4063" s="2" t="str">
        <f>HYPERLINK("https://www.nba.com/stats/events?CFID=&amp;CFPARAMS=&amp;GameEventID=491&amp;GameID=0022200480&amp;Season=2022-23&amp;flag=1&amp;title=Leonard%2022'%20pullup%20Jump%20Shot%20(21%20PTS)%20(N.%20Powell%204%20AST)", "22' pullup Jump Shot (21 PTS) (N. Powell 4 AST)")</f>
        <v>22' pullup Jump Shot (21 PTS) (N. Powell 4 AST)</v>
      </c>
      <c r="K4063" s="2" t="str">
        <f>HYPERLINK("https://www.nba.com/game/...-vs-...-0022200480/play-by-play?watchFullGame=true", "LAC vs PHI - Q4 08:16.00")</f>
        <v>LAC vs PHI - Q4 08:16.00</v>
      </c>
      <c r="L4063">
        <v>22.28</v>
      </c>
      <c r="M4063">
        <v>26.33</v>
      </c>
      <c r="N4063">
        <v>28.43</v>
      </c>
      <c r="O4063">
        <v>108</v>
      </c>
      <c r="P4063">
        <v>195</v>
      </c>
    </row>
    <row r="4064" spans="1:16" x14ac:dyDescent="0.25">
      <c r="A4064">
        <v>41800114</v>
      </c>
      <c r="B4064" t="s">
        <v>20</v>
      </c>
      <c r="C4064" t="s">
        <v>16</v>
      </c>
      <c r="D4064" t="s">
        <v>19</v>
      </c>
      <c r="E4064">
        <v>41</v>
      </c>
      <c r="F4064">
        <v>50</v>
      </c>
      <c r="G4064">
        <v>2</v>
      </c>
      <c r="H4064" s="1">
        <v>2.1064814814814813E-3</v>
      </c>
      <c r="I4064" t="s">
        <v>21</v>
      </c>
      <c r="J4064" s="2" t="str">
        <f>HYPERLINK("https://www.nba.com/stats/events?CFID=&amp;CFPARAMS=&amp;GameEventID=253&amp;GameID=0041800114&amp;Season=2018-19&amp;flag=1&amp;title=Leonard%2026'%203PT%20Jump%20Shot%20(16%20PTS)%20(Green%201%20AST)", "Leonard 26' 3PT Jump Shot (16 PTS) (Green 1 AST)")</f>
        <v>Leonard 26' 3PT Jump Shot (16 PTS) (Green 1 AST)</v>
      </c>
      <c r="K4064" s="2" t="str">
        <f>HYPERLINK("https://www.nba.com/game/...-vs-...-0041800114/play-by-play?watchFullGame=true", "TOR vs ORL - Q2 03:02.00")</f>
        <v>TOR vs ORL - Q2 03:02.00</v>
      </c>
      <c r="L4064">
        <v>26</v>
      </c>
      <c r="M4064">
        <v>108</v>
      </c>
      <c r="N4064">
        <v>232</v>
      </c>
      <c r="O4064">
        <v>108</v>
      </c>
      <c r="P4064">
        <v>232</v>
      </c>
    </row>
    <row r="4065" spans="1:16" x14ac:dyDescent="0.25">
      <c r="A4065">
        <v>22201129</v>
      </c>
      <c r="B4065">
        <v>2022</v>
      </c>
      <c r="C4065" t="s">
        <v>16</v>
      </c>
      <c r="D4065" t="s">
        <v>19</v>
      </c>
      <c r="E4065">
        <v>14</v>
      </c>
      <c r="F4065">
        <v>8</v>
      </c>
      <c r="G4065">
        <v>1</v>
      </c>
      <c r="H4065" s="1">
        <v>6.4236111111111108E-3</v>
      </c>
      <c r="I4065" t="s">
        <v>23</v>
      </c>
      <c r="J4065" s="2" t="str">
        <f>HYPERLINK("https://www.nba.com/stats/events?CFID=&amp;CFPARAMS=&amp;GameEventID=33&amp;GameID=0022201129&amp;Season=2022-23&amp;flag=1&amp;title=Leonard%2025'%203PT%20%20(3%20PTS)%20(E.%20Gordon%201%20AST)", "25' 3PT  (3 PTS) (E. Gordon 1 AST)")</f>
        <v>25' 3PT  (3 PTS) (E. Gordon 1 AST)</v>
      </c>
      <c r="K4065" s="2" t="str">
        <f>HYPERLINK("https://www.nba.com/game/...-vs-...-0022201129/play-by-play?watchFullGame=true", "LAC vs CHI - Q1 09:15.00")</f>
        <v>LAC vs CHI - Q1 09:15.00</v>
      </c>
      <c r="L4065">
        <v>25.81</v>
      </c>
      <c r="M4065">
        <v>30.54</v>
      </c>
      <c r="N4065">
        <v>28.43</v>
      </c>
      <c r="O4065">
        <v>108</v>
      </c>
      <c r="P4065">
        <v>235</v>
      </c>
    </row>
    <row r="4066" spans="1:16" x14ac:dyDescent="0.25">
      <c r="A4066">
        <v>22000251</v>
      </c>
      <c r="B4066">
        <v>2020</v>
      </c>
      <c r="C4066" t="s">
        <v>32</v>
      </c>
      <c r="D4066" t="s">
        <v>19</v>
      </c>
      <c r="E4066">
        <v>43</v>
      </c>
      <c r="F4066">
        <v>33</v>
      </c>
      <c r="G4066">
        <v>2</v>
      </c>
      <c r="H4066" s="1">
        <v>3.2986111111111111E-3</v>
      </c>
      <c r="I4066" t="s">
        <v>23</v>
      </c>
      <c r="J4066" s="2" t="str">
        <f>HYPERLINK("https://www.nba.com/stats/events?CFID=&amp;CFPARAMS=&amp;GameEventID=252&amp;GameID=0022000251&amp;Season=2020-21&amp;flag=1&amp;title=Leonard%2011'%20pullup%20Jump%20Shot%20(16%20PTS)", "11' pullup Jump Shot (16 PTS)")</f>
        <v>11' pullup Jump Shot (16 PTS)</v>
      </c>
      <c r="K4066" s="2" t="str">
        <f>HYPERLINK("https://www.nba.com/game/...-vs-...-0022000251/play-by-play?watchFullGame=true", "LAC vs OKC - Q2 04:45.00")</f>
        <v>LAC vs OKC - Q2 04:45.00</v>
      </c>
      <c r="L4066">
        <v>11.06</v>
      </c>
      <c r="M4066">
        <v>96.14</v>
      </c>
      <c r="N4066">
        <v>71.88</v>
      </c>
      <c r="O4066">
        <v>109</v>
      </c>
      <c r="P4066">
        <v>-16</v>
      </c>
    </row>
    <row r="4067" spans="1:16" x14ac:dyDescent="0.25">
      <c r="A4067">
        <v>22400671</v>
      </c>
      <c r="B4067">
        <v>2024</v>
      </c>
      <c r="C4067" t="s">
        <v>32</v>
      </c>
      <c r="D4067" t="s">
        <v>19</v>
      </c>
      <c r="E4067">
        <v>9</v>
      </c>
      <c r="F4067">
        <v>9</v>
      </c>
      <c r="G4067">
        <v>1</v>
      </c>
      <c r="H4067" s="1">
        <v>5.5439814814814813E-3</v>
      </c>
      <c r="I4067" t="s">
        <v>23</v>
      </c>
      <c r="J4067" s="2" t="str">
        <f>HYPERLINK("https://www.nba.com/stats/events?CFID=&amp;CFPARAMS=&amp;GameEventID=49&amp;GameID=0022400671&amp;Season=2024-25&amp;flag=1&amp;title=Leonard%2010'%20fadeaway%20Jump%20Shot%20(2%20PTS)", "10' fadeaway Jump Shot (2 PTS)")</f>
        <v>10' fadeaway Jump Shot (2 PTS)</v>
      </c>
      <c r="K4067" s="2" t="str">
        <f>HYPERLINK("https://www.nba.com/game/...-vs-...-0022400671/play-by-play?watchFullGame=true", "LAC vs SAS - Q1 07:59.00")</f>
        <v>LAC vs SAS - Q1 07:59.00</v>
      </c>
      <c r="L4067">
        <v>10.95</v>
      </c>
      <c r="M4067">
        <v>95.35</v>
      </c>
      <c r="N4067">
        <v>71.81</v>
      </c>
      <c r="O4067">
        <v>109</v>
      </c>
      <c r="P4067">
        <v>-9</v>
      </c>
    </row>
    <row r="4068" spans="1:16" x14ac:dyDescent="0.25">
      <c r="A4068">
        <v>21600782</v>
      </c>
      <c r="B4068">
        <v>2016</v>
      </c>
      <c r="C4068" t="s">
        <v>32</v>
      </c>
      <c r="D4068" t="s">
        <v>34</v>
      </c>
      <c r="E4068">
        <v>62</v>
      </c>
      <c r="F4068">
        <v>72</v>
      </c>
      <c r="G4068">
        <v>3</v>
      </c>
      <c r="H4068" s="1">
        <v>3.472222222222222E-3</v>
      </c>
      <c r="I4068" t="s">
        <v>18</v>
      </c>
      <c r="J4068" s="2" t="str">
        <f>HYPERLINK("https://www.nba.com/stats/events?CFID=&amp;CFPARAMS=&amp;GameEventID=311&amp;GameID=0021600782&amp;Season=2016-17&amp;flag=1&amp;title=Leonard%2011'%20Turnaround%20Fadeaway%20(22%20PTS)%20(Ginobili%202%20AST)", "Leonard 11' Turnaround Fadeaway (22 PTS) (Ginobili 2 AST)")</f>
        <v>Leonard 11' Turnaround Fadeaway (22 PTS) (Ginobili 2 AST)</v>
      </c>
      <c r="K4068" s="2" t="str">
        <f>HYPERLINK("https://www.nba.com/game/...-vs-...-0021600782/play-by-play?watchFullGame=true", "SAS vs PHI - Q3 05:00.00")</f>
        <v>SAS vs PHI - Q3 05:00.00</v>
      </c>
      <c r="L4068">
        <v>11</v>
      </c>
      <c r="M4068">
        <v>109</v>
      </c>
      <c r="N4068">
        <v>-5</v>
      </c>
      <c r="O4068">
        <v>109</v>
      </c>
      <c r="P4068">
        <v>-5</v>
      </c>
    </row>
    <row r="4069" spans="1:16" x14ac:dyDescent="0.25">
      <c r="A4069">
        <v>22200408</v>
      </c>
      <c r="B4069">
        <v>2022</v>
      </c>
      <c r="C4069" t="s">
        <v>32</v>
      </c>
      <c r="D4069" t="s">
        <v>19</v>
      </c>
      <c r="E4069">
        <v>8</v>
      </c>
      <c r="F4069">
        <v>10</v>
      </c>
      <c r="G4069">
        <v>1</v>
      </c>
      <c r="H4069" s="1">
        <v>5.6944444444444447E-3</v>
      </c>
      <c r="I4069" t="s">
        <v>23</v>
      </c>
      <c r="J4069" s="2" t="str">
        <f>HYPERLINK("https://www.nba.com/stats/events?CFID=&amp;CFPARAMS=&amp;GameEventID=48&amp;GameID=0022200408&amp;Season=2022-23&amp;flag=1&amp;title=Leonard%2010'%20turnaround%20fadeaway%20Jump%20Shot%20(3%20PTS)", "10' turnaround fadeaway Jump Shot (3 PTS)")</f>
        <v>10' turnaround fadeaway Jump Shot (3 PTS)</v>
      </c>
      <c r="K4069" s="2" t="str">
        <f>HYPERLINK("https://www.nba.com/game/...-vs-...-0022200408/play-by-play?watchFullGame=true", "LAC vs BOS - Q1 08:12.00")</f>
        <v>LAC vs BOS - Q1 08:12.00</v>
      </c>
      <c r="L4069">
        <v>10.92</v>
      </c>
      <c r="M4069">
        <v>94.92</v>
      </c>
      <c r="N4069">
        <v>71.81</v>
      </c>
      <c r="O4069">
        <v>109</v>
      </c>
      <c r="P4069">
        <v>-5</v>
      </c>
    </row>
    <row r="4070" spans="1:16" x14ac:dyDescent="0.25">
      <c r="A4070">
        <v>21600575</v>
      </c>
      <c r="B4070">
        <v>2016</v>
      </c>
      <c r="C4070" t="s">
        <v>32</v>
      </c>
      <c r="D4070" t="s">
        <v>19</v>
      </c>
      <c r="E4070">
        <v>68</v>
      </c>
      <c r="F4070">
        <v>62</v>
      </c>
      <c r="G4070">
        <v>3</v>
      </c>
      <c r="H4070" s="1">
        <v>5.0694444444444441E-3</v>
      </c>
      <c r="I4070" t="s">
        <v>18</v>
      </c>
      <c r="J4070" s="2" t="str">
        <f>HYPERLINK("https://www.nba.com/stats/events?CFID=&amp;CFPARAMS=&amp;GameEventID=294&amp;GameID=0021600575&amp;Season=2016-17&amp;flag=1&amp;title=Leonard%2011'%20Jump%20Shot%20(20%20PTS)", "Leonard 11' Jump Shot (20 PTS)")</f>
        <v>Leonard 11' Jump Shot (20 PTS)</v>
      </c>
      <c r="K4070" s="2" t="str">
        <f>HYPERLINK("https://www.nba.com/game/...-vs-...-0021600575/play-by-play?watchFullGame=true", "SAS vs MIL - Q3 07:18.00")</f>
        <v>SAS vs MIL - Q3 07:18.00</v>
      </c>
      <c r="L4070">
        <v>11</v>
      </c>
      <c r="M4070">
        <v>109</v>
      </c>
      <c r="N4070">
        <v>7</v>
      </c>
      <c r="O4070">
        <v>109</v>
      </c>
      <c r="P4070">
        <v>7</v>
      </c>
    </row>
    <row r="4071" spans="1:16" x14ac:dyDescent="0.25">
      <c r="A4071">
        <v>22300658</v>
      </c>
      <c r="B4071">
        <v>2023</v>
      </c>
      <c r="C4071" t="s">
        <v>32</v>
      </c>
      <c r="D4071" t="s">
        <v>19</v>
      </c>
      <c r="E4071">
        <v>9</v>
      </c>
      <c r="F4071">
        <v>6</v>
      </c>
      <c r="G4071">
        <v>1</v>
      </c>
      <c r="H4071" s="1">
        <v>5.7407407407407407E-3</v>
      </c>
      <c r="I4071" t="s">
        <v>23</v>
      </c>
      <c r="J4071" s="2" t="str">
        <f>HYPERLINK("https://www.nba.com/stats/events?CFID=&amp;CFPARAMS=&amp;GameEventID=46&amp;GameID=0022300658&amp;Season=2023-24&amp;flag=1&amp;title=Leonard%2011'%20driving%20floating%20Jump%20Shot%20(4%20PTS)%20(J.%20Harden%202%20AST)", "11' driving floating Jump Shot (4 PTS) (J. Harden 2 AST)")</f>
        <v>11' driving floating Jump Shot (4 PTS) (J. Harden 2 AST)</v>
      </c>
      <c r="K4071" s="2" t="str">
        <f>HYPERLINK("https://www.nba.com/game/...-vs-...-0022300658/play-by-play?watchFullGame=true", "LAC vs CLE - Q1 08:16.00")</f>
        <v>LAC vs CLE - Q1 08:16.00</v>
      </c>
      <c r="L4071">
        <v>11.01</v>
      </c>
      <c r="M4071">
        <v>92.85</v>
      </c>
      <c r="N4071">
        <v>71.81</v>
      </c>
      <c r="O4071">
        <v>109</v>
      </c>
      <c r="P4071">
        <v>15</v>
      </c>
    </row>
    <row r="4072" spans="1:16" x14ac:dyDescent="0.25">
      <c r="A4072">
        <v>41600151</v>
      </c>
      <c r="B4072" t="s">
        <v>30</v>
      </c>
      <c r="C4072" t="s">
        <v>32</v>
      </c>
      <c r="D4072" t="s">
        <v>29</v>
      </c>
      <c r="E4072">
        <v>11</v>
      </c>
      <c r="F4072">
        <v>22</v>
      </c>
      <c r="G4072">
        <v>1</v>
      </c>
      <c r="H4072" s="1">
        <v>3.0902777777777777E-3</v>
      </c>
      <c r="I4072" t="s">
        <v>18</v>
      </c>
      <c r="J4072" s="2" t="str">
        <f>HYPERLINK("https://www.nba.com/stats/events?CFID=&amp;CFPARAMS=&amp;GameEventID=56&amp;GameID=0041600151&amp;Season=2016-17&amp;flag=1&amp;title=Leonard%2012'%20Pullup%20Jump%20Shot%20(7%20PTS)", "Leonard 12' Pullup Jump Shot (7 PTS)")</f>
        <v>Leonard 12' Pullup Jump Shot (7 PTS)</v>
      </c>
      <c r="K4072" s="2" t="str">
        <f>HYPERLINK("https://www.nba.com/game/...-vs-...-0041600151/play-by-play?watchFullGame=true", "SAS vs MEM - Q1 04:27.00")</f>
        <v>SAS vs MEM - Q1 04:27.00</v>
      </c>
      <c r="L4072">
        <v>12</v>
      </c>
      <c r="M4072">
        <v>109</v>
      </c>
      <c r="N4072">
        <v>61</v>
      </c>
      <c r="O4072">
        <v>109</v>
      </c>
      <c r="P4072">
        <v>61</v>
      </c>
    </row>
    <row r="4073" spans="1:16" x14ac:dyDescent="0.25">
      <c r="A4073">
        <v>22300873</v>
      </c>
      <c r="B4073">
        <v>2023</v>
      </c>
      <c r="C4073" t="s">
        <v>32</v>
      </c>
      <c r="D4073" t="s">
        <v>19</v>
      </c>
      <c r="E4073">
        <v>48</v>
      </c>
      <c r="F4073">
        <v>51</v>
      </c>
      <c r="G4073">
        <v>3</v>
      </c>
      <c r="H4073" s="1">
        <v>6.898148148148148E-3</v>
      </c>
      <c r="I4073" t="s">
        <v>23</v>
      </c>
      <c r="J4073" s="2" t="str">
        <f>HYPERLINK("https://www.nba.com/stats/events?CFID=&amp;CFPARAMS=&amp;GameEventID=296&amp;GameID=0022300873&amp;Season=2023-24&amp;flag=1&amp;title=Leonard%2013'%20pullup%20Jump%20Shot%20(17%20PTS)", "13' pullup Jump Shot (17 PTS)")</f>
        <v>13' pullup Jump Shot (17 PTS)</v>
      </c>
      <c r="K4073" s="2" t="str">
        <f>HYPERLINK("https://www.nba.com/game/...-vs-...-0022300873/play-by-play?watchFullGame=true", "LAC vs MIN - Q3 09:56.00")</f>
        <v>LAC vs MIN - Q3 09:56.00</v>
      </c>
      <c r="L4073">
        <v>13.53</v>
      </c>
      <c r="M4073">
        <v>85.89</v>
      </c>
      <c r="N4073">
        <v>71.81</v>
      </c>
      <c r="O4073">
        <v>109</v>
      </c>
      <c r="P4073">
        <v>80</v>
      </c>
    </row>
    <row r="4074" spans="1:16" x14ac:dyDescent="0.25">
      <c r="A4074">
        <v>22000554</v>
      </c>
      <c r="B4074">
        <v>2020</v>
      </c>
      <c r="C4074" t="s">
        <v>32</v>
      </c>
      <c r="D4074" t="s">
        <v>19</v>
      </c>
      <c r="E4074">
        <v>31</v>
      </c>
      <c r="F4074">
        <v>29</v>
      </c>
      <c r="G4074">
        <v>2</v>
      </c>
      <c r="H4074" s="1">
        <v>6.898148148148148E-3</v>
      </c>
      <c r="I4074" t="s">
        <v>23</v>
      </c>
      <c r="J4074" s="2" t="str">
        <f>HYPERLINK("https://www.nba.com/stats/events?CFID=&amp;CFPARAMS=&amp;GameEventID=189&amp;GameID=0022000554&amp;Season=2020-21&amp;flag=1&amp;title=Leonard%2014'%20step%20back%20Jump%20Shot%20(7%20PTS)", "14' step back Jump Shot (7 PTS)")</f>
        <v>14' step back Jump Shot (7 PTS)</v>
      </c>
      <c r="K4074" s="2" t="str">
        <f>HYPERLINK("https://www.nba.com/game/...-vs-...-0022000554/play-by-play?watchFullGame=true", "LAC vs WAS - Q2 09:56.00")</f>
        <v>LAC vs WAS - Q2 09:56.00</v>
      </c>
      <c r="L4074">
        <v>14.7</v>
      </c>
      <c r="M4074">
        <v>16.11</v>
      </c>
      <c r="N4074">
        <v>28.26</v>
      </c>
      <c r="O4074">
        <v>109</v>
      </c>
      <c r="P4074">
        <v>99</v>
      </c>
    </row>
    <row r="4075" spans="1:16" x14ac:dyDescent="0.25">
      <c r="A4075">
        <v>21900292</v>
      </c>
      <c r="B4075">
        <v>2019</v>
      </c>
      <c r="C4075" t="s">
        <v>32</v>
      </c>
      <c r="D4075" t="s">
        <v>22</v>
      </c>
      <c r="E4075">
        <v>15</v>
      </c>
      <c r="F4075">
        <v>10</v>
      </c>
      <c r="G4075">
        <v>1</v>
      </c>
      <c r="H4075" s="1">
        <v>5.2662037037037035E-3</v>
      </c>
      <c r="I4075" t="s">
        <v>23</v>
      </c>
      <c r="J4075" s="2" t="str">
        <f>HYPERLINK("https://www.nba.com/stats/events?CFID=&amp;CFPARAMS=&amp;GameEventID=58&amp;GameID=0021900292&amp;Season=2019-20&amp;flag=1&amp;title=Leonard%2018'%20jumpshot%20(8%20PTS)", "18' jumpshot (8 PTS)")</f>
        <v>18' jumpshot (8 PTS)</v>
      </c>
      <c r="K4075" s="2" t="str">
        <f>HYPERLINK("https://www.nba.com/game/...-vs-...-0021900292/play-by-play?watchFullGame=true", "LAC vs WAS - Q1 07:35.00")</f>
        <v>LAC vs WAS - Q1 07:35.00</v>
      </c>
      <c r="L4075">
        <v>18.239999999999998</v>
      </c>
      <c r="M4075">
        <v>79.42</v>
      </c>
      <c r="N4075">
        <v>71.739999999999995</v>
      </c>
      <c r="O4075">
        <v>109</v>
      </c>
      <c r="P4075">
        <v>141</v>
      </c>
    </row>
    <row r="4076" spans="1:16" x14ac:dyDescent="0.25">
      <c r="A4076">
        <v>21600874</v>
      </c>
      <c r="B4076">
        <v>2016</v>
      </c>
      <c r="C4076" t="s">
        <v>32</v>
      </c>
      <c r="D4076" t="s">
        <v>19</v>
      </c>
      <c r="E4076">
        <v>9</v>
      </c>
      <c r="F4076">
        <v>17</v>
      </c>
      <c r="G4076">
        <v>1</v>
      </c>
      <c r="H4076" s="1">
        <v>4.0277777777777777E-3</v>
      </c>
      <c r="I4076" t="s">
        <v>18</v>
      </c>
      <c r="J4076" s="2" t="str">
        <f>HYPERLINK("https://www.nba.com/stats/events?CFID=&amp;CFPARAMS=&amp;GameEventID=46&amp;GameID=0021600874&amp;Season=2016-17&amp;flag=1&amp;title=Leonard%2019'%20Jump%20Shot%20(9%20PTS)%20(Parker%206%20AST)", "Leonard 19' Jump Shot (9 PTS) (Parker 6 AST)")</f>
        <v>Leonard 19' Jump Shot (9 PTS) (Parker 6 AST)</v>
      </c>
      <c r="K4076" s="2" t="str">
        <f>HYPERLINK("https://www.nba.com/game/...-vs-...-0021600874/play-by-play?watchFullGame=true", "SAS vs LAL - Q1 05:48.00")</f>
        <v>SAS vs LAL - Q1 05:48.00</v>
      </c>
      <c r="L4076">
        <v>19</v>
      </c>
      <c r="M4076">
        <v>109</v>
      </c>
      <c r="N4076">
        <v>158</v>
      </c>
      <c r="O4076">
        <v>109</v>
      </c>
      <c r="P4076">
        <v>158</v>
      </c>
    </row>
    <row r="4077" spans="1:16" x14ac:dyDescent="0.25">
      <c r="A4077">
        <v>22301064</v>
      </c>
      <c r="B4077">
        <v>2023</v>
      </c>
      <c r="C4077" t="s">
        <v>32</v>
      </c>
      <c r="D4077" t="s">
        <v>19</v>
      </c>
      <c r="E4077">
        <v>97</v>
      </c>
      <c r="F4077">
        <v>98</v>
      </c>
      <c r="G4077">
        <v>4</v>
      </c>
      <c r="H4077" s="1">
        <v>4.0046296296296298E-4</v>
      </c>
      <c r="I4077" t="s">
        <v>23</v>
      </c>
      <c r="J4077" s="2" t="str">
        <f>HYPERLINK("https://www.nba.com/stats/events?CFID=&amp;CFPARAMS=&amp;GameEventID=621&amp;GameID=0022301064&amp;Season=2023-24&amp;flag=1&amp;title=Leonard%2019'%20turnaround%20fadeaway%20Jump%20Shot%20(29%20PTS)", "19' turnaround fadeaway Jump Shot (29 PTS)")</f>
        <v>19' turnaround fadeaway Jump Shot (29 PTS)</v>
      </c>
      <c r="K4077" s="2" t="str">
        <f>HYPERLINK("https://www.nba.com/game/...-vs-...-0022301064/play-by-play?watchFullGame=true", "LAC vs ORL - Q4 00:34.60")</f>
        <v>LAC vs ORL - Q4 00:34.60</v>
      </c>
      <c r="L4077">
        <v>19.3</v>
      </c>
      <c r="M4077">
        <v>77.48</v>
      </c>
      <c r="N4077">
        <v>71.81</v>
      </c>
      <c r="O4077">
        <v>109</v>
      </c>
      <c r="P4077">
        <v>159</v>
      </c>
    </row>
    <row r="4078" spans="1:16" x14ac:dyDescent="0.25">
      <c r="A4078">
        <v>41800404</v>
      </c>
      <c r="B4078" t="s">
        <v>20</v>
      </c>
      <c r="C4078" t="s">
        <v>16</v>
      </c>
      <c r="D4078" t="s">
        <v>19</v>
      </c>
      <c r="E4078">
        <v>46</v>
      </c>
      <c r="F4078">
        <v>48</v>
      </c>
      <c r="G4078">
        <v>3</v>
      </c>
      <c r="H4078" s="1">
        <v>7.8009259259259256E-3</v>
      </c>
      <c r="I4078" t="s">
        <v>21</v>
      </c>
      <c r="J4078" s="2" t="str">
        <f>HYPERLINK("https://www.nba.com/stats/events?CFID=&amp;CFPARAMS=&amp;GameEventID=329&amp;GameID=0041800404&amp;Season=2018-19&amp;flag=1&amp;title=Leonard%2026'%203PT%20Jump%20Shot%20(20%20PTS)", "Leonard 26' 3PT Jump Shot (20 PTS)")</f>
        <v>Leonard 26' 3PT Jump Shot (20 PTS)</v>
      </c>
      <c r="K4078" s="2" t="str">
        <f>HYPERLINK("https://www.nba.com/game/...-vs-...-0041800404/play-by-play?watchFullGame=true", "TOR vs GSW - Q3 11:14.00")</f>
        <v>TOR vs GSW - Q3 11:14.00</v>
      </c>
      <c r="L4078">
        <v>26</v>
      </c>
      <c r="M4078">
        <v>109</v>
      </c>
      <c r="N4078">
        <v>231</v>
      </c>
      <c r="O4078">
        <v>109</v>
      </c>
      <c r="P4078">
        <v>231</v>
      </c>
    </row>
    <row r="4079" spans="1:16" x14ac:dyDescent="0.25">
      <c r="A4079">
        <v>21600801</v>
      </c>
      <c r="B4079">
        <v>2016</v>
      </c>
      <c r="C4079" t="s">
        <v>16</v>
      </c>
      <c r="D4079" t="s">
        <v>19</v>
      </c>
      <c r="E4079">
        <v>85</v>
      </c>
      <c r="F4079">
        <v>98</v>
      </c>
      <c r="G4079">
        <v>4</v>
      </c>
      <c r="H4079" s="1">
        <v>2.9629629629629628E-3</v>
      </c>
      <c r="I4079" t="s">
        <v>18</v>
      </c>
      <c r="J4079" s="2" t="str">
        <f>HYPERLINK("https://www.nba.com/stats/events?CFID=&amp;CFPARAMS=&amp;GameEventID=436&amp;GameID=0021600801&amp;Season=2016-17&amp;flag=1&amp;title=Leonard%2026'%203PT%20Jump%20Shot%20(30%20PTS)%20(Parker%2012%20AST)", "Leonard 26' 3PT Jump Shot (30 PTS) (Parker 12 AST)")</f>
        <v>Leonard 26' 3PT Jump Shot (30 PTS) (Parker 12 AST)</v>
      </c>
      <c r="K4079" s="2" t="str">
        <f>HYPERLINK("https://www.nba.com/game/...-vs-...-0021600801/play-by-play?watchFullGame=true", "SAS vs DET - Q4 04:16.00")</f>
        <v>SAS vs DET - Q4 04:16.00</v>
      </c>
      <c r="L4079">
        <v>26</v>
      </c>
      <c r="M4079">
        <v>109</v>
      </c>
      <c r="N4079">
        <v>232</v>
      </c>
      <c r="O4079">
        <v>109</v>
      </c>
      <c r="P4079">
        <v>232</v>
      </c>
    </row>
    <row r="4080" spans="1:16" x14ac:dyDescent="0.25">
      <c r="A4080">
        <v>21400921</v>
      </c>
      <c r="B4080">
        <v>2014</v>
      </c>
      <c r="C4080" t="s">
        <v>32</v>
      </c>
      <c r="D4080" t="s">
        <v>29</v>
      </c>
      <c r="E4080">
        <v>85</v>
      </c>
      <c r="F4080">
        <v>75</v>
      </c>
      <c r="G4080">
        <v>3</v>
      </c>
      <c r="H4080" s="1">
        <v>2.7777777777777779E-3</v>
      </c>
      <c r="I4080" t="s">
        <v>18</v>
      </c>
      <c r="J4080" s="2" t="str">
        <f>HYPERLINK("https://www.nba.com/stats/events?CFID=&amp;CFPARAMS=&amp;GameEventID=344&amp;GameID=0021400921&amp;Season=2014-15&amp;flag=1&amp;title=Leonard%2017'%20Pullup%20Jump%20Shot%20(17%20PTS)%20(Ginobili%201%20AST)", "Leonard 17' Pullup Jump Shot (17 PTS) (Ginobili 1 AST)")</f>
        <v>Leonard 17' Pullup Jump Shot (17 PTS) (Ginobili 1 AST)</v>
      </c>
      <c r="K4080" s="2" t="str">
        <f>HYPERLINK("https://www.nba.com/game/...-vs-...-0021400921/play-by-play?watchFullGame=true", "SAS vs DEN - Q3 04:00.00")</f>
        <v>SAS vs DEN - Q3 04:00.00</v>
      </c>
      <c r="L4080">
        <v>17</v>
      </c>
      <c r="M4080">
        <v>110</v>
      </c>
      <c r="N4080">
        <v>134</v>
      </c>
      <c r="O4080">
        <v>110</v>
      </c>
      <c r="P4080">
        <v>134</v>
      </c>
    </row>
    <row r="4081" spans="1:16" x14ac:dyDescent="0.25">
      <c r="A4081">
        <v>21401134</v>
      </c>
      <c r="B4081">
        <v>2014</v>
      </c>
      <c r="C4081" t="s">
        <v>32</v>
      </c>
      <c r="D4081" t="s">
        <v>29</v>
      </c>
      <c r="E4081">
        <v>16</v>
      </c>
      <c r="F4081">
        <v>9</v>
      </c>
      <c r="G4081">
        <v>1</v>
      </c>
      <c r="H4081" s="1">
        <v>5.7175925925925927E-3</v>
      </c>
      <c r="I4081" t="s">
        <v>18</v>
      </c>
      <c r="J4081" s="2" t="str">
        <f>HYPERLINK("https://www.nba.com/stats/events?CFID=&amp;CFPARAMS=&amp;GameEventID=27&amp;GameID=0021401134&amp;Season=2014-15&amp;flag=1&amp;title=Leonard%2018'%20Pullup%20Jump%20Shot%20(8%20PTS)%20(Parker%203%20AST)", "Leonard 18' Pullup Jump Shot (8 PTS) (Parker 3 AST)")</f>
        <v>Leonard 18' Pullup Jump Shot (8 PTS) (Parker 3 AST)</v>
      </c>
      <c r="K4081" s="2" t="str">
        <f>HYPERLINK("https://www.nba.com/game/...-vs-...-0021401134/play-by-play?watchFullGame=true", "SAS vs DEN - Q1 08:14.00")</f>
        <v>SAS vs DEN - Q1 08:14.00</v>
      </c>
      <c r="L4081">
        <v>18</v>
      </c>
      <c r="M4081">
        <v>110</v>
      </c>
      <c r="N4081">
        <v>145</v>
      </c>
      <c r="O4081">
        <v>110</v>
      </c>
      <c r="P4081">
        <v>145</v>
      </c>
    </row>
    <row r="4082" spans="1:16" x14ac:dyDescent="0.25">
      <c r="A4082">
        <v>21600272</v>
      </c>
      <c r="B4082">
        <v>2016</v>
      </c>
      <c r="C4082" t="s">
        <v>16</v>
      </c>
      <c r="D4082" t="s">
        <v>19</v>
      </c>
      <c r="E4082">
        <v>79</v>
      </c>
      <c r="F4082">
        <v>80</v>
      </c>
      <c r="G4082">
        <v>4</v>
      </c>
      <c r="H4082" s="1">
        <v>3.0439814814814813E-3</v>
      </c>
      <c r="I4082" t="s">
        <v>18</v>
      </c>
      <c r="J4082" s="2" t="str">
        <f>HYPERLINK("https://www.nba.com/stats/events?CFID=&amp;CFPARAMS=&amp;GameEventID=454&amp;GameID=0021600272&amp;Season=2016-17&amp;flag=1&amp;title=Leonard%2024'%203PT%20Jump%20Shot%20(19%20PTS)%20(Simmons%203%20AST)", "Leonard 24' 3PT Jump Shot (19 PTS) (Simmons 3 AST)")</f>
        <v>Leonard 24' 3PT Jump Shot (19 PTS) (Simmons 3 AST)</v>
      </c>
      <c r="K4082" s="2" t="str">
        <f>HYPERLINK("https://www.nba.com/game/...-vs-...-0021600272/play-by-play?watchFullGame=true", "SAS vs DAL - Q4 04:23.00")</f>
        <v>SAS vs DAL - Q4 04:23.00</v>
      </c>
      <c r="L4082">
        <v>24</v>
      </c>
      <c r="M4082">
        <v>110</v>
      </c>
      <c r="N4082">
        <v>218</v>
      </c>
      <c r="O4082">
        <v>110</v>
      </c>
      <c r="P4082">
        <v>218</v>
      </c>
    </row>
    <row r="4083" spans="1:16" x14ac:dyDescent="0.25">
      <c r="A4083">
        <v>21500280</v>
      </c>
      <c r="B4083">
        <v>2015</v>
      </c>
      <c r="C4083" t="s">
        <v>16</v>
      </c>
      <c r="D4083" t="s">
        <v>17</v>
      </c>
      <c r="E4083">
        <v>36</v>
      </c>
      <c r="F4083">
        <v>51</v>
      </c>
      <c r="G4083">
        <v>3</v>
      </c>
      <c r="H4083" s="1">
        <v>7.3148148148148148E-3</v>
      </c>
      <c r="I4083" t="s">
        <v>18</v>
      </c>
      <c r="J4083" s="2" t="str">
        <f>HYPERLINK("https://www.nba.com/stats/events?CFID=&amp;CFPARAMS=&amp;GameEventID=253&amp;GameID=0021500280&amp;Season=2015-16&amp;flag=1&amp;title=Leonard%2025'%203PT%20Running%20Jump%20Shot%20(13%20PTS)%20(Parker%203%20AST)", "Leonard 25' 3PT Running Jump Shot (13 PTS) (Parker 3 AST)")</f>
        <v>Leonard 25' 3PT Running Jump Shot (13 PTS) (Parker 3 AST)</v>
      </c>
      <c r="K4083" s="2" t="str">
        <f>HYPERLINK("https://www.nba.com/game/...-vs-...-0021500280/play-by-play?watchFullGame=true", "SAS vs MEM - Q3 10:32.00")</f>
        <v>SAS vs MEM - Q3 10:32.00</v>
      </c>
      <c r="L4083">
        <v>25</v>
      </c>
      <c r="M4083">
        <v>110</v>
      </c>
      <c r="N4083">
        <v>223</v>
      </c>
      <c r="O4083">
        <v>110</v>
      </c>
      <c r="P4083">
        <v>223</v>
      </c>
    </row>
    <row r="4084" spans="1:16" x14ac:dyDescent="0.25">
      <c r="A4084">
        <v>21300338</v>
      </c>
      <c r="B4084">
        <v>2013</v>
      </c>
      <c r="C4084" t="s">
        <v>16</v>
      </c>
      <c r="D4084" t="s">
        <v>19</v>
      </c>
      <c r="E4084">
        <v>8</v>
      </c>
      <c r="F4084">
        <v>4</v>
      </c>
      <c r="G4084">
        <v>1</v>
      </c>
      <c r="H4084" s="1">
        <v>7.1875000000000003E-3</v>
      </c>
      <c r="I4084" t="s">
        <v>18</v>
      </c>
      <c r="J4084" s="2" t="str">
        <f>HYPERLINK("https://www.nba.com/stats/events?CFID=&amp;CFPARAMS=&amp;GameEventID=10&amp;GameID=0021300338&amp;Season=2013-14&amp;flag=1&amp;title=Leonard%2025'%203PT%20Jump%20Shot%20(6%20PTS)", "Leonard 25' 3PT Jump Shot (6 PTS)")</f>
        <v>Leonard 25' 3PT Jump Shot (6 PTS)</v>
      </c>
      <c r="K4084" s="2" t="str">
        <f>HYPERLINK("https://www.nba.com/game/...-vs-...-0021300338/play-by-play?watchFullGame=true", "SAS vs MIN - Q1 10:21.00")</f>
        <v>SAS vs MIN - Q1 10:21.00</v>
      </c>
      <c r="L4084">
        <v>25</v>
      </c>
      <c r="M4084">
        <v>110</v>
      </c>
      <c r="N4084">
        <v>224</v>
      </c>
      <c r="O4084">
        <v>110</v>
      </c>
      <c r="P4084">
        <v>224</v>
      </c>
    </row>
    <row r="4085" spans="1:16" x14ac:dyDescent="0.25">
      <c r="A4085">
        <v>41500154</v>
      </c>
      <c r="B4085" t="s">
        <v>25</v>
      </c>
      <c r="C4085" t="s">
        <v>16</v>
      </c>
      <c r="D4085" t="s">
        <v>19</v>
      </c>
      <c r="E4085">
        <v>34</v>
      </c>
      <c r="F4085">
        <v>34</v>
      </c>
      <c r="G4085">
        <v>2</v>
      </c>
      <c r="H4085" s="1">
        <v>3.460648148148148E-3</v>
      </c>
      <c r="I4085" t="s">
        <v>18</v>
      </c>
      <c r="J4085" s="2" t="str">
        <f>HYPERLINK("https://www.nba.com/stats/events?CFID=&amp;CFPARAMS=&amp;GameEventID=184&amp;GameID=0041500154&amp;Season=2015-16&amp;flag=1&amp;title=Leonard%2026'%203PT%20Jump%20Shot%20(5%20PTS)%20(Diaw%201%20AST)", "Leonard 26' 3PT Jump Shot (5 PTS) (Diaw 1 AST)")</f>
        <v>Leonard 26' 3PT Jump Shot (5 PTS) (Diaw 1 AST)</v>
      </c>
      <c r="K4085" s="2" t="str">
        <f>HYPERLINK("https://www.nba.com/game/...-vs-...-0041500154/play-by-play?watchFullGame=true", "SAS vs MEM - Q2 04:59.00")</f>
        <v>SAS vs MEM - Q2 04:59.00</v>
      </c>
      <c r="L4085">
        <v>26</v>
      </c>
      <c r="M4085">
        <v>110</v>
      </c>
      <c r="N4085">
        <v>232</v>
      </c>
      <c r="O4085">
        <v>110</v>
      </c>
      <c r="P4085">
        <v>232</v>
      </c>
    </row>
    <row r="4086" spans="1:16" x14ac:dyDescent="0.25">
      <c r="A4086">
        <v>22301215</v>
      </c>
      <c r="B4086">
        <v>2023</v>
      </c>
      <c r="C4086" t="s">
        <v>16</v>
      </c>
      <c r="D4086" t="s">
        <v>19</v>
      </c>
      <c r="E4086">
        <v>70</v>
      </c>
      <c r="F4086">
        <v>72</v>
      </c>
      <c r="G4086">
        <v>3</v>
      </c>
      <c r="H4086" s="1">
        <v>4.9537037037037041E-3</v>
      </c>
      <c r="I4086" t="s">
        <v>23</v>
      </c>
      <c r="J4086" s="2" t="str">
        <f>HYPERLINK("https://www.nba.com/stats/events?CFID=&amp;CFPARAMS=&amp;GameEventID=377&amp;GameID=0022301215&amp;Season=2023-24&amp;flag=1&amp;title=Leonard%2029'%203PT%20pullup%20(9%20PTS)", "29' 3PT pullup (9 PTS)")</f>
        <v>29' 3PT pullup (9 PTS)</v>
      </c>
      <c r="K4086" s="2" t="str">
        <f>HYPERLINK("https://www.nba.com/game/...-vs-...-0022301215/play-by-play?watchFullGame=true", "LAC vs DEN - Q3 07:08.00")</f>
        <v>LAC vs DEN - Q3 07:08.00</v>
      </c>
      <c r="L4086">
        <v>29.43</v>
      </c>
      <c r="M4086">
        <v>34.61</v>
      </c>
      <c r="N4086">
        <v>27.94</v>
      </c>
      <c r="O4086">
        <v>110</v>
      </c>
      <c r="P4086">
        <v>273</v>
      </c>
    </row>
    <row r="4087" spans="1:16" x14ac:dyDescent="0.25">
      <c r="A4087">
        <v>21401084</v>
      </c>
      <c r="B4087">
        <v>2014</v>
      </c>
      <c r="C4087" t="s">
        <v>32</v>
      </c>
      <c r="D4087" t="s">
        <v>19</v>
      </c>
      <c r="E4087">
        <v>52</v>
      </c>
      <c r="F4087">
        <v>31</v>
      </c>
      <c r="G4087">
        <v>2</v>
      </c>
      <c r="H4087" s="1">
        <v>2.3726851851851851E-3</v>
      </c>
      <c r="I4087" t="s">
        <v>18</v>
      </c>
      <c r="J4087" s="2" t="str">
        <f>HYPERLINK("https://www.nba.com/stats/events?CFID=&amp;CFPARAMS=&amp;GameEventID=208&amp;GameID=0021401084&amp;Season=2014-15&amp;flag=1&amp;title=Leonard%2011'%20Jump%20Shot%20(11%20PTS)%20(Splitter%202%20AST)", "Leonard 11' Jump Shot (11 PTS) (Splitter 2 AST)")</f>
        <v>Leonard 11' Jump Shot (11 PTS) (Splitter 2 AST)</v>
      </c>
      <c r="K4087" s="2" t="str">
        <f>HYPERLINK("https://www.nba.com/game/...-vs-...-0021401084/play-by-play?watchFullGame=true", "SAS vs DAL - Q2 03:25.00")</f>
        <v>SAS vs DAL - Q2 03:25.00</v>
      </c>
      <c r="L4087">
        <v>11</v>
      </c>
      <c r="M4087">
        <v>111</v>
      </c>
      <c r="N4087">
        <v>14</v>
      </c>
      <c r="O4087">
        <v>111</v>
      </c>
      <c r="P4087">
        <v>14</v>
      </c>
    </row>
    <row r="4088" spans="1:16" x14ac:dyDescent="0.25">
      <c r="A4088">
        <v>22000501</v>
      </c>
      <c r="B4088">
        <v>2020</v>
      </c>
      <c r="C4088" t="s">
        <v>32</v>
      </c>
      <c r="D4088" t="s">
        <v>19</v>
      </c>
      <c r="E4088">
        <v>9</v>
      </c>
      <c r="F4088">
        <v>12</v>
      </c>
      <c r="G4088">
        <v>1</v>
      </c>
      <c r="H4088" s="1">
        <v>4.4560185185185189E-3</v>
      </c>
      <c r="I4088" t="s">
        <v>23</v>
      </c>
      <c r="J4088" s="2" t="str">
        <f>HYPERLINK("https://www.nba.com/stats/events?CFID=&amp;CFPARAMS=&amp;GameEventID=57&amp;GameID=0022000501&amp;Season=2020-21&amp;flag=1&amp;title=Leonard%2011'%20turnaround%20Jump%20Shot%20(4%20PTS)%20(P.%20Beverley%201%20AST)", "11' turnaround Jump Shot (4 PTS) (P. Beverley 1 AST)")</f>
        <v>11' turnaround Jump Shot (4 PTS) (P. Beverley 1 AST)</v>
      </c>
      <c r="K4088" s="2" t="str">
        <f>HYPERLINK("https://www.nba.com/game/...-vs-...-0022000501/play-by-play?watchFullGame=true", "LAC vs MEM - Q1 06:25.00")</f>
        <v>LAC vs MEM - Q1 06:25.00</v>
      </c>
      <c r="L4088">
        <v>11.25</v>
      </c>
      <c r="M4088">
        <v>92.2</v>
      </c>
      <c r="N4088">
        <v>72.13</v>
      </c>
      <c r="O4088">
        <v>111</v>
      </c>
      <c r="P4088">
        <v>21</v>
      </c>
    </row>
    <row r="4089" spans="1:16" x14ac:dyDescent="0.25">
      <c r="A4089">
        <v>41200407</v>
      </c>
      <c r="B4089" t="s">
        <v>27</v>
      </c>
      <c r="C4089" t="s">
        <v>32</v>
      </c>
      <c r="D4089" t="s">
        <v>19</v>
      </c>
      <c r="E4089">
        <v>52</v>
      </c>
      <c r="F4089">
        <v>52</v>
      </c>
      <c r="G4089">
        <v>3</v>
      </c>
      <c r="H4089" s="1">
        <v>6.3425925925925924E-3</v>
      </c>
      <c r="I4089" t="s">
        <v>18</v>
      </c>
      <c r="J4089" s="2" t="str">
        <f>HYPERLINK("https://www.nba.com/stats/events?CFID=&amp;CFPARAMS=&amp;GameEventID=297&amp;GameID=0041200407&amp;Season=2012-13&amp;flag=1&amp;title=Leonard%2013'%20Jump%20Shot%20(11%20PTS)%20(Ginobili%202%20AST)", "Leonard 13' Jump Shot (11 PTS) (Ginobili 2 AST)")</f>
        <v>Leonard 13' Jump Shot (11 PTS) (Ginobili 2 AST)</v>
      </c>
      <c r="K4089" s="2" t="str">
        <f>HYPERLINK("https://www.nba.com/game/...-vs-...-0041200407/play-by-play?watchFullGame=true", "SAS vs MIA - Q3 09:08.00")</f>
        <v>SAS vs MIA - Q3 09:08.00</v>
      </c>
      <c r="L4089">
        <v>13</v>
      </c>
      <c r="M4089">
        <v>111</v>
      </c>
      <c r="N4089">
        <v>61</v>
      </c>
      <c r="O4089">
        <v>111</v>
      </c>
      <c r="P4089">
        <v>61</v>
      </c>
    </row>
    <row r="4090" spans="1:16" x14ac:dyDescent="0.25">
      <c r="A4090">
        <v>21401039</v>
      </c>
      <c r="B4090">
        <v>2014</v>
      </c>
      <c r="C4090" t="s">
        <v>32</v>
      </c>
      <c r="D4090" t="s">
        <v>33</v>
      </c>
      <c r="E4090">
        <v>0</v>
      </c>
      <c r="F4090">
        <v>2</v>
      </c>
      <c r="G4090">
        <v>1</v>
      </c>
      <c r="H4090" s="1">
        <v>7.5925925925925926E-3</v>
      </c>
      <c r="I4090" t="s">
        <v>18</v>
      </c>
      <c r="J4090" s="2" t="str">
        <f>HYPERLINK("https://www.nba.com/stats/events?CFID=&amp;CFPARAMS=&amp;GameEventID=6&amp;GameID=0021401039&amp;Season=2014-15&amp;flag=1&amp;title=Leonard%2015'%20Fadeaway%20Jumper%20(2%20PTS)%20(Parker%201%20AST)", "Leonard 15' Fadeaway Jumper (2 PTS) (Parker 1 AST)")</f>
        <v>Leonard 15' Fadeaway Jumper (2 PTS) (Parker 1 AST)</v>
      </c>
      <c r="K4090" s="2" t="str">
        <f>HYPERLINK("https://www.nba.com/game/...-vs-...-0021401039/play-by-play?watchFullGame=true", "SAS vs ATL - Q1 10:56.00")</f>
        <v>SAS vs ATL - Q1 10:56.00</v>
      </c>
      <c r="L4090">
        <v>15</v>
      </c>
      <c r="M4090">
        <v>111</v>
      </c>
      <c r="N4090">
        <v>94</v>
      </c>
      <c r="O4090">
        <v>111</v>
      </c>
      <c r="P4090">
        <v>94</v>
      </c>
    </row>
    <row r="4091" spans="1:16" x14ac:dyDescent="0.25">
      <c r="A4091">
        <v>22000799</v>
      </c>
      <c r="B4091">
        <v>2020</v>
      </c>
      <c r="C4091" t="s">
        <v>32</v>
      </c>
      <c r="D4091" t="s">
        <v>19</v>
      </c>
      <c r="E4091">
        <v>14</v>
      </c>
      <c r="F4091">
        <v>9</v>
      </c>
      <c r="G4091">
        <v>1</v>
      </c>
      <c r="H4091" s="1">
        <v>5.0000000000000001E-3</v>
      </c>
      <c r="I4091" t="s">
        <v>23</v>
      </c>
      <c r="J4091" s="2" t="str">
        <f>HYPERLINK("https://www.nba.com/stats/events?CFID=&amp;CFPARAMS=&amp;GameEventID=61&amp;GameID=0022000799&amp;Season=2020-21&amp;flag=1&amp;title=Leonard%2016'%20turnaround%20fadeaway%20Jump%20Shot%20(4%20PTS)", "16' turnaround fadeaway Jump Shot (4 PTS)")</f>
        <v>16' turnaround fadeaway Jump Shot (4 PTS)</v>
      </c>
      <c r="K4091" s="2" t="str">
        <f>HYPERLINK("https://www.nba.com/game/...-vs-...-0022000799/play-by-play?watchFullGame=true", "LAC vs HOU - Q1 07:12.00")</f>
        <v>LAC vs HOU - Q1 07:12.00</v>
      </c>
      <c r="L4091">
        <v>16.11</v>
      </c>
      <c r="M4091">
        <v>81.95</v>
      </c>
      <c r="N4091">
        <v>72.13</v>
      </c>
      <c r="O4091">
        <v>111</v>
      </c>
      <c r="P4091">
        <v>117</v>
      </c>
    </row>
    <row r="4092" spans="1:16" x14ac:dyDescent="0.25">
      <c r="A4092">
        <v>41800112</v>
      </c>
      <c r="B4092" t="s">
        <v>20</v>
      </c>
      <c r="C4092" t="s">
        <v>32</v>
      </c>
      <c r="D4092" t="s">
        <v>29</v>
      </c>
      <c r="E4092">
        <v>22</v>
      </c>
      <c r="F4092">
        <v>10</v>
      </c>
      <c r="G4092">
        <v>1</v>
      </c>
      <c r="H4092" s="1">
        <v>2.1180555555555558E-3</v>
      </c>
      <c r="I4092" t="s">
        <v>21</v>
      </c>
      <c r="J4092" s="2" t="str">
        <f>HYPERLINK("https://www.nba.com/stats/events?CFID=&amp;CFPARAMS=&amp;GameEventID=117&amp;GameID=0041800112&amp;Season=2018-19&amp;flag=1&amp;title=Leonard%2017'%20Pullup%20Jump%20Shot%20(12%20PTS)%20(Green%201%20AST)", "Leonard 17' Pullup Jump Shot (12 PTS) (Green 1 AST)")</f>
        <v>Leonard 17' Pullup Jump Shot (12 PTS) (Green 1 AST)</v>
      </c>
      <c r="K4092" s="2" t="str">
        <f>HYPERLINK("https://www.nba.com/game/...-vs-...-0041800112/play-by-play?watchFullGame=true", "TOR vs ORL - Q1 03:03.00")</f>
        <v>TOR vs ORL - Q1 03:03.00</v>
      </c>
      <c r="L4092">
        <v>17</v>
      </c>
      <c r="M4092">
        <v>111</v>
      </c>
      <c r="N4092">
        <v>134</v>
      </c>
      <c r="O4092">
        <v>111</v>
      </c>
      <c r="P4092">
        <v>134</v>
      </c>
    </row>
    <row r="4093" spans="1:16" x14ac:dyDescent="0.25">
      <c r="A4093">
        <v>21301221</v>
      </c>
      <c r="B4093">
        <v>2013</v>
      </c>
      <c r="C4093" t="s">
        <v>32</v>
      </c>
      <c r="D4093" t="s">
        <v>29</v>
      </c>
      <c r="E4093">
        <v>20</v>
      </c>
      <c r="F4093">
        <v>31</v>
      </c>
      <c r="G4093">
        <v>1</v>
      </c>
      <c r="H4093" s="1">
        <v>4.7916666666666664E-4</v>
      </c>
      <c r="I4093" t="s">
        <v>18</v>
      </c>
      <c r="J4093" s="2" t="str">
        <f>HYPERLINK("https://www.nba.com/stats/events?CFID=&amp;CFPARAMS=&amp;GameEventID=119&amp;GameID=0021301221&amp;Season=2013-14&amp;flag=1&amp;title=Leonard%2019'%20Pullup%20Jump%20Shot%20(2%20PTS)%20(Mills%201%20AST)", "Leonard 19' Pullup Jump Shot (2 PTS) (Mills 1 AST)")</f>
        <v>Leonard 19' Pullup Jump Shot (2 PTS) (Mills 1 AST)</v>
      </c>
      <c r="K4093" s="2" t="str">
        <f>HYPERLINK("https://www.nba.com/game/...-vs-...-0021301221/play-by-play?watchFullGame=true", "SAS vs LAL - Q1 00:41.40")</f>
        <v>SAS vs LAL - Q1 00:41.40</v>
      </c>
      <c r="L4093">
        <v>19</v>
      </c>
      <c r="M4093">
        <v>111</v>
      </c>
      <c r="N4093">
        <v>149</v>
      </c>
      <c r="O4093">
        <v>111</v>
      </c>
      <c r="P4093">
        <v>149</v>
      </c>
    </row>
    <row r="4094" spans="1:16" x14ac:dyDescent="0.25">
      <c r="A4094">
        <v>21500182</v>
      </c>
      <c r="B4094">
        <v>2015</v>
      </c>
      <c r="C4094" t="s">
        <v>32</v>
      </c>
      <c r="D4094" t="s">
        <v>19</v>
      </c>
      <c r="E4094">
        <v>39</v>
      </c>
      <c r="F4094">
        <v>32</v>
      </c>
      <c r="G4094">
        <v>2</v>
      </c>
      <c r="H4094" s="1">
        <v>2.8356481481481483E-3</v>
      </c>
      <c r="I4094" t="s">
        <v>18</v>
      </c>
      <c r="J4094" s="2" t="str">
        <f>HYPERLINK("https://www.nba.com/stats/events?CFID=&amp;CFPARAMS=&amp;GameEventID=256&amp;GameID=0021500182&amp;Season=2015-16&amp;flag=1&amp;title=Leonard%2015'%20Jump%20Shot%20(12%20PTS)%20(Duncan%202%20AST)", "Leonard 15' Jump Shot (12 PTS) (Duncan 2 AST)")</f>
        <v>Leonard 15' Jump Shot (12 PTS) (Duncan 2 AST)</v>
      </c>
      <c r="K4094" s="2" t="str">
        <f>HYPERLINK("https://www.nba.com/game/...-vs-...-0021500182/play-by-play?watchFullGame=true", "SAS vs NOP - Q2 04:05.00")</f>
        <v>SAS vs NOP - Q2 04:05.00</v>
      </c>
      <c r="L4094">
        <v>15</v>
      </c>
      <c r="M4094">
        <v>112</v>
      </c>
      <c r="N4094">
        <v>100</v>
      </c>
      <c r="O4094">
        <v>112</v>
      </c>
      <c r="P4094">
        <v>100</v>
      </c>
    </row>
    <row r="4095" spans="1:16" x14ac:dyDescent="0.25">
      <c r="A4095">
        <v>22200766</v>
      </c>
      <c r="B4095">
        <v>2022</v>
      </c>
      <c r="C4095" t="s">
        <v>32</v>
      </c>
      <c r="D4095" t="s">
        <v>19</v>
      </c>
      <c r="E4095">
        <v>48</v>
      </c>
      <c r="F4095">
        <v>36</v>
      </c>
      <c r="G4095">
        <v>2</v>
      </c>
      <c r="H4095" s="1">
        <v>3.9120370370370368E-3</v>
      </c>
      <c r="I4095" t="s">
        <v>23</v>
      </c>
      <c r="J4095" s="2" t="str">
        <f>HYPERLINK("https://www.nba.com/stats/events?CFID=&amp;CFPARAMS=&amp;GameEventID=227&amp;GameID=0022200766&amp;Season=2022-23&amp;flag=1&amp;title=Leonard%2015'%20pullup%20Jump%20Shot%20(7%20PTS)%20(P.%20George%203%20AST)", "15' pullup Jump Shot (7 PTS) (P. George 3 AST)")</f>
        <v>15' pullup Jump Shot (7 PTS) (P. George 3 AST)</v>
      </c>
      <c r="K4095" s="2" t="str">
        <f>HYPERLINK("https://www.nba.com/game/...-vs-...-0022200766/play-by-play?watchFullGame=true", "LAC vs CHI - Q2 05:38.00")</f>
        <v>LAC vs CHI - Q2 05:38.00</v>
      </c>
      <c r="L4095">
        <v>15.16</v>
      </c>
      <c r="M4095">
        <v>16.510000000000002</v>
      </c>
      <c r="N4095">
        <v>27.7</v>
      </c>
      <c r="O4095">
        <v>112</v>
      </c>
      <c r="P4095">
        <v>103</v>
      </c>
    </row>
    <row r="4096" spans="1:16" x14ac:dyDescent="0.25">
      <c r="A4096">
        <v>22200701</v>
      </c>
      <c r="B4096">
        <v>2022</v>
      </c>
      <c r="C4096" t="s">
        <v>32</v>
      </c>
      <c r="D4096" t="s">
        <v>19</v>
      </c>
      <c r="E4096">
        <v>16</v>
      </c>
      <c r="F4096">
        <v>9</v>
      </c>
      <c r="G4096">
        <v>1</v>
      </c>
      <c r="H4096" s="1">
        <v>3.8425925925925928E-3</v>
      </c>
      <c r="I4096" t="s">
        <v>23</v>
      </c>
      <c r="J4096" s="2" t="str">
        <f>HYPERLINK("https://www.nba.com/stats/events?CFID=&amp;CFPARAMS=&amp;GameEventID=71&amp;GameID=0022200701&amp;Season=2022-23&amp;flag=1&amp;title=Leonard%2015'%20pullup%20Jump%20Shot%20(2%20PTS)", "15' pullup Jump Shot (2 PTS)")</f>
        <v>15' pullup Jump Shot (2 PTS)</v>
      </c>
      <c r="K4096" s="2" t="str">
        <f>HYPERLINK("https://www.nba.com/game/...-vs-...-0022200701/play-by-play?watchFullGame=true", "LAC vs DAL - Q1 05:32.00")</f>
        <v>LAC vs DAL - Q1 05:32.00</v>
      </c>
      <c r="L4096">
        <v>15.56</v>
      </c>
      <c r="M4096">
        <v>82.87</v>
      </c>
      <c r="N4096">
        <v>72.3</v>
      </c>
      <c r="O4096">
        <v>112</v>
      </c>
      <c r="P4096">
        <v>109</v>
      </c>
    </row>
    <row r="4097" spans="1:16" x14ac:dyDescent="0.25">
      <c r="A4097">
        <v>21500939</v>
      </c>
      <c r="B4097">
        <v>2015</v>
      </c>
      <c r="C4097" t="s">
        <v>32</v>
      </c>
      <c r="D4097" t="s">
        <v>31</v>
      </c>
      <c r="E4097">
        <v>49</v>
      </c>
      <c r="F4097">
        <v>40</v>
      </c>
      <c r="G4097">
        <v>3</v>
      </c>
      <c r="H4097" s="1">
        <v>6.099537037037037E-3</v>
      </c>
      <c r="I4097" t="s">
        <v>18</v>
      </c>
      <c r="J4097" s="2" t="str">
        <f>HYPERLINK("https://www.nba.com/stats/events?CFID=&amp;CFPARAMS=&amp;GameEventID=278&amp;GameID=0021500939&amp;Season=2015-16&amp;flag=1&amp;title=Leonard%2016'%20Step%20Back%20Jump%20Shot%20(13%20PTS)", "Leonard 16' Step Back Jump Shot (13 PTS)")</f>
        <v>Leonard 16' Step Back Jump Shot (13 PTS)</v>
      </c>
      <c r="K4097" s="2" t="str">
        <f>HYPERLINK("https://www.nba.com/game/...-vs-...-0021500939/play-by-play?watchFullGame=true", "SAS vs IND - Q3 08:47.00")</f>
        <v>SAS vs IND - Q3 08:47.00</v>
      </c>
      <c r="L4097">
        <v>16</v>
      </c>
      <c r="M4097">
        <v>112</v>
      </c>
      <c r="N4097">
        <v>116</v>
      </c>
      <c r="O4097">
        <v>112</v>
      </c>
      <c r="P4097">
        <v>116</v>
      </c>
    </row>
    <row r="4098" spans="1:16" x14ac:dyDescent="0.25">
      <c r="A4098">
        <v>22200745</v>
      </c>
      <c r="B4098">
        <v>2022</v>
      </c>
      <c r="C4098" t="s">
        <v>32</v>
      </c>
      <c r="D4098" t="s">
        <v>19</v>
      </c>
      <c r="E4098">
        <v>92</v>
      </c>
      <c r="F4098">
        <v>101</v>
      </c>
      <c r="G4098">
        <v>4</v>
      </c>
      <c r="H4098" s="1">
        <v>4.9189814814814816E-3</v>
      </c>
      <c r="I4098" t="s">
        <v>23</v>
      </c>
      <c r="J4098" s="2" t="str">
        <f>HYPERLINK("https://www.nba.com/stats/events?CFID=&amp;CFPARAMS=&amp;GameEventID=505&amp;GameID=0022200745&amp;Season=2022-23&amp;flag=1&amp;title=Leonard%2016'%20pullup%20Jump%20Shot%20(27%20PTS)", "16' pullup Jump Shot (27 PTS)")</f>
        <v>16' pullup Jump Shot (27 PTS)</v>
      </c>
      <c r="K4098" s="2" t="str">
        <f>HYPERLINK("https://www.nba.com/game/...-vs-...-0022200745/play-by-play?watchFullGame=true", "LAC vs ATL - Q4 07:05.00")</f>
        <v>LAC vs ATL - Q4 07:05.00</v>
      </c>
      <c r="L4098">
        <v>16.829999999999998</v>
      </c>
      <c r="M4098">
        <v>19</v>
      </c>
      <c r="N4098">
        <v>27.7</v>
      </c>
      <c r="O4098">
        <v>112</v>
      </c>
      <c r="P4098">
        <v>126</v>
      </c>
    </row>
    <row r="4099" spans="1:16" x14ac:dyDescent="0.25">
      <c r="A4099">
        <v>22201229</v>
      </c>
      <c r="B4099">
        <v>2022</v>
      </c>
      <c r="C4099" t="s">
        <v>32</v>
      </c>
      <c r="D4099" t="s">
        <v>19</v>
      </c>
      <c r="E4099">
        <v>14</v>
      </c>
      <c r="F4099">
        <v>10</v>
      </c>
      <c r="G4099">
        <v>1</v>
      </c>
      <c r="H4099" s="1">
        <v>5.2199074074074075E-3</v>
      </c>
      <c r="I4099" t="s">
        <v>23</v>
      </c>
      <c r="J4099" s="2" t="str">
        <f>HYPERLINK("https://www.nba.com/stats/events?CFID=&amp;CFPARAMS=&amp;GameEventID=43&amp;GameID=0022201229&amp;Season=2022-23&amp;flag=1&amp;title=Leonard%2017'%20driving%20floating%20bank%20Jump%20Shot%20(2%20PTS)", "17' driving floating bank Jump Shot (2 PTS)")</f>
        <v>17' driving floating bank Jump Shot (2 PTS)</v>
      </c>
      <c r="K4099" s="2" t="str">
        <f>HYPERLINK("https://www.nba.com/game/...-vs-...-0022201229/play-by-play?watchFullGame=true", "LAC vs PHX - Q1 07:31.00")</f>
        <v>LAC vs PHX - Q1 07:31.00</v>
      </c>
      <c r="L4099">
        <v>17.190000000000001</v>
      </c>
      <c r="M4099">
        <v>80.5</v>
      </c>
      <c r="N4099">
        <v>72.3</v>
      </c>
      <c r="O4099">
        <v>112</v>
      </c>
      <c r="P4099">
        <v>131</v>
      </c>
    </row>
    <row r="4100" spans="1:16" x14ac:dyDescent="0.25">
      <c r="A4100">
        <v>22300526</v>
      </c>
      <c r="B4100">
        <v>2023</v>
      </c>
      <c r="C4100" t="s">
        <v>32</v>
      </c>
      <c r="D4100" t="s">
        <v>19</v>
      </c>
      <c r="E4100">
        <v>113</v>
      </c>
      <c r="F4100">
        <v>104</v>
      </c>
      <c r="G4100">
        <v>4</v>
      </c>
      <c r="H4100" s="1">
        <v>4.2592592592592595E-3</v>
      </c>
      <c r="I4100" t="s">
        <v>23</v>
      </c>
      <c r="J4100" s="2" t="str">
        <f>HYPERLINK("https://www.nba.com/stats/events?CFID=&amp;CFPARAMS=&amp;GameEventID=543&amp;GameID=0022300526&amp;Season=2023-24&amp;flag=1&amp;title=Leonard%2018'%20pullup%20Jump%20Shot%20(27%20PTS)%20(J.%20Harden%2011%20AST)", "18' pullup Jump Shot (27 PTS) (J. Harden 11 AST)")</f>
        <v>18' pullup Jump Shot (27 PTS) (J. Harden 11 AST)</v>
      </c>
      <c r="K4100" s="2" t="str">
        <f>HYPERLINK("https://www.nba.com/game/...-vs-...-0022300526/play-by-play?watchFullGame=true", "LAC vs TOR - Q4 06:08.00")</f>
        <v>LAC vs TOR - Q4 06:08.00</v>
      </c>
      <c r="L4100">
        <v>18.36</v>
      </c>
      <c r="M4100">
        <v>78.89</v>
      </c>
      <c r="N4100">
        <v>72.3</v>
      </c>
      <c r="O4100">
        <v>112</v>
      </c>
      <c r="P4100">
        <v>146</v>
      </c>
    </row>
    <row r="4101" spans="1:16" x14ac:dyDescent="0.25">
      <c r="A4101">
        <v>41800306</v>
      </c>
      <c r="B4101" t="s">
        <v>20</v>
      </c>
      <c r="C4101" t="s">
        <v>32</v>
      </c>
      <c r="D4101" t="s">
        <v>29</v>
      </c>
      <c r="E4101">
        <v>49</v>
      </c>
      <c r="F4101">
        <v>57</v>
      </c>
      <c r="G4101">
        <v>3</v>
      </c>
      <c r="H4101" s="1">
        <v>6.4814814814814813E-3</v>
      </c>
      <c r="I4101" t="s">
        <v>21</v>
      </c>
      <c r="J4101" s="2" t="str">
        <f>HYPERLINK("https://www.nba.com/stats/events?CFID=&amp;CFPARAMS=&amp;GameEventID=358&amp;GameID=0041800306&amp;Season=2018-19&amp;flag=1&amp;title=Leonard%2019'%20Pullup%20Jump%20Shot%20(12%20PTS)", "Leonard 19' Pullup Jump Shot (12 PTS)")</f>
        <v>Leonard 19' Pullup Jump Shot (12 PTS)</v>
      </c>
      <c r="K4101" s="2" t="str">
        <f>HYPERLINK("https://www.nba.com/game/...-vs-...-0041800306/play-by-play?watchFullGame=true", "TOR vs MIL - Q3 09:20.00")</f>
        <v>TOR vs MIL - Q3 09:20.00</v>
      </c>
      <c r="L4101">
        <v>19</v>
      </c>
      <c r="M4101">
        <v>112</v>
      </c>
      <c r="N4101">
        <v>159</v>
      </c>
      <c r="O4101">
        <v>112</v>
      </c>
      <c r="P4101">
        <v>159</v>
      </c>
    </row>
    <row r="4102" spans="1:16" x14ac:dyDescent="0.25">
      <c r="A4102">
        <v>21600213</v>
      </c>
      <c r="B4102">
        <v>2016</v>
      </c>
      <c r="C4102" t="s">
        <v>16</v>
      </c>
      <c r="D4102" t="s">
        <v>19</v>
      </c>
      <c r="E4102">
        <v>16</v>
      </c>
      <c r="F4102">
        <v>16</v>
      </c>
      <c r="G4102">
        <v>1</v>
      </c>
      <c r="H4102" s="1">
        <v>3.1944444444444446E-3</v>
      </c>
      <c r="I4102" t="s">
        <v>18</v>
      </c>
      <c r="J4102" s="2" t="str">
        <f>HYPERLINK("https://www.nba.com/stats/events?CFID=&amp;CFPARAMS=&amp;GameEventID=61&amp;GameID=0021600213&amp;Season=2016-17&amp;flag=1&amp;title=Leonard%2025'%203PT%20Jump%20Shot%20(5%20PTS)%20(Ginobili%201%20AST)", "Leonard 25' 3PT Jump Shot (5 PTS) (Ginobili 1 AST)")</f>
        <v>Leonard 25' 3PT Jump Shot (5 PTS) (Ginobili 1 AST)</v>
      </c>
      <c r="K4102" s="2" t="str">
        <f>HYPERLINK("https://www.nba.com/game/...-vs-...-0021600213/play-by-play?watchFullGame=true", "SAS vs CHA - Q1 04:36.00")</f>
        <v>SAS vs CHA - Q1 04:36.00</v>
      </c>
      <c r="L4102">
        <v>25</v>
      </c>
      <c r="M4102">
        <v>112</v>
      </c>
      <c r="N4102">
        <v>219</v>
      </c>
      <c r="O4102">
        <v>112</v>
      </c>
      <c r="P4102">
        <v>219</v>
      </c>
    </row>
    <row r="4103" spans="1:16" x14ac:dyDescent="0.25">
      <c r="A4103">
        <v>41600233</v>
      </c>
      <c r="B4103" t="s">
        <v>30</v>
      </c>
      <c r="C4103" t="s">
        <v>16</v>
      </c>
      <c r="D4103" t="s">
        <v>19</v>
      </c>
      <c r="E4103">
        <v>76</v>
      </c>
      <c r="F4103">
        <v>88</v>
      </c>
      <c r="G4103">
        <v>4</v>
      </c>
      <c r="H4103" s="1">
        <v>3.5995370370370369E-3</v>
      </c>
      <c r="I4103" t="s">
        <v>18</v>
      </c>
      <c r="J4103" s="2" t="str">
        <f>HYPERLINK("https://www.nba.com/stats/events?CFID=&amp;CFPARAMS=&amp;GameEventID=467&amp;GameID=0041600233&amp;Season=2016-17&amp;flag=1&amp;title=Leonard%2025'%203PT%20Jump%20Shot%20(24%20PTS)%20(Aldridge%202%20AST)", "Leonard 25' 3PT Jump Shot (24 PTS) (Aldridge 2 AST)")</f>
        <v>Leonard 25' 3PT Jump Shot (24 PTS) (Aldridge 2 AST)</v>
      </c>
      <c r="K4103" s="2" t="str">
        <f>HYPERLINK("https://www.nba.com/game/...-vs-...-0041600233/play-by-play?watchFullGame=true", "SAS vs HOU - Q4 05:11.00")</f>
        <v>SAS vs HOU - Q4 05:11.00</v>
      </c>
      <c r="L4103">
        <v>25</v>
      </c>
      <c r="M4103">
        <v>112</v>
      </c>
      <c r="N4103">
        <v>223</v>
      </c>
      <c r="O4103">
        <v>112</v>
      </c>
      <c r="P4103">
        <v>223</v>
      </c>
    </row>
    <row r="4104" spans="1:16" x14ac:dyDescent="0.25">
      <c r="A4104">
        <v>21600309</v>
      </c>
      <c r="B4104">
        <v>2016</v>
      </c>
      <c r="C4104" t="s">
        <v>16</v>
      </c>
      <c r="D4104" t="s">
        <v>19</v>
      </c>
      <c r="E4104">
        <v>8</v>
      </c>
      <c r="F4104">
        <v>11</v>
      </c>
      <c r="G4104">
        <v>1</v>
      </c>
      <c r="H4104" s="1">
        <v>5.7407407407407407E-3</v>
      </c>
      <c r="I4104" t="s">
        <v>18</v>
      </c>
      <c r="J4104" s="2" t="str">
        <f>HYPERLINK("https://www.nba.com/stats/events?CFID=&amp;CFPARAMS=&amp;GameEventID=29&amp;GameID=0021600309&amp;Season=2016-17&amp;flag=1&amp;title=Leonard%2026'%203PT%20Jump%20Shot%20(5%20PTS)%20(Aldridge%202%20AST)", "Leonard 26' 3PT Jump Shot (5 PTS) (Aldridge 2 AST)")</f>
        <v>Leonard 26' 3PT Jump Shot (5 PTS) (Aldridge 2 AST)</v>
      </c>
      <c r="K4104" s="2" t="str">
        <f>HYPERLINK("https://www.nba.com/game/...-vs-...-0021600309/play-by-play?watchFullGame=true", "SAS vs MIL - Q1 08:16.00")</f>
        <v>SAS vs MIL - Q1 08:16.00</v>
      </c>
      <c r="L4104">
        <v>26</v>
      </c>
      <c r="M4104">
        <v>112</v>
      </c>
      <c r="N4104">
        <v>232</v>
      </c>
      <c r="O4104">
        <v>112</v>
      </c>
      <c r="P4104">
        <v>232</v>
      </c>
    </row>
    <row r="4105" spans="1:16" x14ac:dyDescent="0.25">
      <c r="A4105">
        <v>22200016</v>
      </c>
      <c r="B4105">
        <v>2022</v>
      </c>
      <c r="C4105" t="s">
        <v>32</v>
      </c>
      <c r="D4105" t="s">
        <v>19</v>
      </c>
      <c r="E4105">
        <v>36</v>
      </c>
      <c r="F4105">
        <v>52</v>
      </c>
      <c r="G4105">
        <v>2</v>
      </c>
      <c r="H4105" s="1">
        <v>3.7847222222222223E-3</v>
      </c>
      <c r="I4105" t="s">
        <v>23</v>
      </c>
      <c r="J4105" s="2" t="str">
        <f>HYPERLINK("https://www.nba.com/stats/events?CFID=&amp;CFPARAMS=&amp;GameEventID=259&amp;GameID=0022200016&amp;Season=2022-23&amp;flag=1&amp;title=Leonard%2014'%20fadeaway%20Jump%20Shot%20(4%20PTS)", "14' fadeaway Jump Shot (4 PTS)")</f>
        <v>14' fadeaway Jump Shot (4 PTS)</v>
      </c>
      <c r="K4105" s="2" t="str">
        <f>HYPERLINK("https://www.nba.com/game/...-vs-...-0022200016/play-by-play?watchFullGame=true", "LAC vs LAL - Q2 05:27.00")</f>
        <v>LAC vs LAL - Q2 05:27.00</v>
      </c>
      <c r="L4105">
        <v>14.86</v>
      </c>
      <c r="M4105">
        <v>84.1</v>
      </c>
      <c r="N4105">
        <v>72.53</v>
      </c>
      <c r="O4105">
        <v>113</v>
      </c>
      <c r="P4105">
        <v>97</v>
      </c>
    </row>
    <row r="4106" spans="1:16" x14ac:dyDescent="0.25">
      <c r="A4106">
        <v>22300964</v>
      </c>
      <c r="B4106">
        <v>2023</v>
      </c>
      <c r="C4106" t="s">
        <v>16</v>
      </c>
      <c r="D4106" t="s">
        <v>19</v>
      </c>
      <c r="E4106">
        <v>2</v>
      </c>
      <c r="F4106">
        <v>5</v>
      </c>
      <c r="G4106">
        <v>1</v>
      </c>
      <c r="H4106" s="1">
        <v>6.6203703703703702E-3</v>
      </c>
      <c r="I4106" t="s">
        <v>23</v>
      </c>
      <c r="J4106" s="2" t="str">
        <f>HYPERLINK("https://www.nba.com/stats/events?CFID=&amp;CFPARAMS=&amp;GameEventID=27&amp;GameID=0022300964&amp;Season=2023-24&amp;flag=1&amp;title=Leonard%2025'%203PT%20step%20back%20(3%20PTS)", "25' 3PT step back (3 PTS)")</f>
        <v>25' 3PT step back (3 PTS)</v>
      </c>
      <c r="K4106" s="2" t="str">
        <f>HYPERLINK("https://www.nba.com/game/...-vs-...-0022300964/play-by-play?watchFullGame=true", "LAC vs NOP - Q1 09:32.00")</f>
        <v>LAC vs NOP - Q1 09:32.00</v>
      </c>
      <c r="L4106">
        <v>25.35</v>
      </c>
      <c r="M4106">
        <v>70.25</v>
      </c>
      <c r="N4106">
        <v>72.55</v>
      </c>
      <c r="O4106">
        <v>113</v>
      </c>
      <c r="P4106">
        <v>227</v>
      </c>
    </row>
    <row r="4107" spans="1:16" x14ac:dyDescent="0.25">
      <c r="A4107">
        <v>22300865</v>
      </c>
      <c r="B4107">
        <v>2023</v>
      </c>
      <c r="C4107" t="s">
        <v>16</v>
      </c>
      <c r="D4107" t="s">
        <v>19</v>
      </c>
      <c r="E4107">
        <v>110</v>
      </c>
      <c r="F4107">
        <v>85</v>
      </c>
      <c r="G4107">
        <v>3</v>
      </c>
      <c r="H4107" s="1">
        <v>5.1736111111111112E-4</v>
      </c>
      <c r="I4107" t="s">
        <v>23</v>
      </c>
      <c r="J4107" s="2" t="str">
        <f>HYPERLINK("https://www.nba.com/stats/events?CFID=&amp;CFPARAMS=&amp;GameEventID=482&amp;GameID=0022300865&amp;Season=2023-24&amp;flag=1&amp;title=Leonard%2025'%203PT%20step%20back%20(27%20PTS)", "25' 3PT step back (27 PTS)")</f>
        <v>25' 3PT step back (27 PTS)</v>
      </c>
      <c r="K4107" s="2" t="str">
        <f>HYPERLINK("https://www.nba.com/game/...-vs-...-0022300865/play-by-play?watchFullGame=true", "LAC vs WAS - Q3 00:44.70")</f>
        <v>LAC vs WAS - Q3 00:44.70</v>
      </c>
      <c r="L4107">
        <v>25.47</v>
      </c>
      <c r="M4107">
        <v>29.88</v>
      </c>
      <c r="N4107">
        <v>27.45</v>
      </c>
      <c r="O4107">
        <v>113</v>
      </c>
      <c r="P4107">
        <v>228</v>
      </c>
    </row>
    <row r="4108" spans="1:16" x14ac:dyDescent="0.25">
      <c r="A4108">
        <v>22300688</v>
      </c>
      <c r="B4108">
        <v>2023</v>
      </c>
      <c r="C4108" t="s">
        <v>16</v>
      </c>
      <c r="D4108" t="s">
        <v>19</v>
      </c>
      <c r="E4108">
        <v>65</v>
      </c>
      <c r="F4108">
        <v>70</v>
      </c>
      <c r="G4108">
        <v>3</v>
      </c>
      <c r="H4108" s="1">
        <v>7.1527777777777779E-3</v>
      </c>
      <c r="I4108" t="s">
        <v>23</v>
      </c>
      <c r="J4108" s="2" t="str">
        <f>HYPERLINK("https://www.nba.com/stats/events?CFID=&amp;CFPARAMS=&amp;GameEventID=342&amp;GameID=0022300688&amp;Season=2023-24&amp;flag=1&amp;title=Leonard%2025'%203PT%20%20(24%20PTS)%20(J.%20Harden%202%20AST)", "25' 3PT  (24 PTS) (J. Harden 2 AST)")</f>
        <v>25' 3PT  (24 PTS) (J. Harden 2 AST)</v>
      </c>
      <c r="K4108" s="2" t="str">
        <f>HYPERLINK("https://www.nba.com/game/...-vs-...-0022300688/play-by-play?watchFullGame=true", "LAC vs DET - Q3 10:18.00")</f>
        <v>LAC vs DET - Q3 10:18.00</v>
      </c>
      <c r="L4108">
        <v>25.83</v>
      </c>
      <c r="M4108">
        <v>30.31</v>
      </c>
      <c r="N4108">
        <v>27.45</v>
      </c>
      <c r="O4108">
        <v>113</v>
      </c>
      <c r="P4108">
        <v>232</v>
      </c>
    </row>
    <row r="4109" spans="1:16" x14ac:dyDescent="0.25">
      <c r="A4109">
        <v>22200223</v>
      </c>
      <c r="B4109">
        <v>2022</v>
      </c>
      <c r="C4109" t="s">
        <v>32</v>
      </c>
      <c r="D4109" t="s">
        <v>19</v>
      </c>
      <c r="E4109">
        <v>9</v>
      </c>
      <c r="F4109">
        <v>6</v>
      </c>
      <c r="G4109">
        <v>1</v>
      </c>
      <c r="H4109" s="1">
        <v>5.0810185185185186E-3</v>
      </c>
      <c r="I4109" t="s">
        <v>23</v>
      </c>
      <c r="J4109" s="2" t="str">
        <f>HYPERLINK("https://www.nba.com/stats/events?CFID=&amp;CFPARAMS=&amp;GameEventID=57&amp;GameID=0022200223&amp;Season=2022-23&amp;flag=1&amp;title=Leonard%2011'%20turnaround%20Jump%20Shot%20(2%20PTS)", "11' turnaround Jump Shot (2 PTS)")</f>
        <v>11' turnaround Jump Shot (2 PTS)</v>
      </c>
      <c r="K4109" s="2" t="str">
        <f>HYPERLINK("https://www.nba.com/game/...-vs-...-0022200223/play-by-play?watchFullGame=true", "LAC vs DET - Q1 07:19.00")</f>
        <v>LAC vs DET - Q1 07:19.00</v>
      </c>
      <c r="L4109">
        <v>11.78</v>
      </c>
      <c r="M4109">
        <v>97.55</v>
      </c>
      <c r="N4109">
        <v>72.790000000000006</v>
      </c>
      <c r="O4109">
        <v>114</v>
      </c>
      <c r="P4109">
        <v>-29</v>
      </c>
    </row>
    <row r="4110" spans="1:16" x14ac:dyDescent="0.25">
      <c r="A4110">
        <v>22000605</v>
      </c>
      <c r="B4110">
        <v>2020</v>
      </c>
      <c r="C4110" t="s">
        <v>32</v>
      </c>
      <c r="D4110" t="s">
        <v>19</v>
      </c>
      <c r="E4110">
        <v>40</v>
      </c>
      <c r="F4110">
        <v>43</v>
      </c>
      <c r="G4110">
        <v>2</v>
      </c>
      <c r="H4110" s="1">
        <v>3.3333333333333335E-3</v>
      </c>
      <c r="I4110" t="s">
        <v>23</v>
      </c>
      <c r="J4110" s="2" t="str">
        <f>HYPERLINK("https://www.nba.com/stats/events?CFID=&amp;CFPARAMS=&amp;GameEventID=206&amp;GameID=0022000605&amp;Season=2020-21&amp;flag=1&amp;title=Leonard%2011'%20turnaround%20fadeaway%20Jump%20Shot%20(8%20PTS)", "11' turnaround fadeaway Jump Shot (8 PTS)")</f>
        <v>11' turnaround fadeaway Jump Shot (8 PTS)</v>
      </c>
      <c r="K4110" s="2" t="str">
        <f>HYPERLINK("https://www.nba.com/game/...-vs-...-0022000605/play-by-play?watchFullGame=true", "LAC vs DAL - Q2 04:48.00")</f>
        <v>LAC vs DAL - Q2 04:48.00</v>
      </c>
      <c r="L4110">
        <v>11.51</v>
      </c>
      <c r="M4110">
        <v>95.88</v>
      </c>
      <c r="N4110">
        <v>72.86</v>
      </c>
      <c r="O4110">
        <v>114</v>
      </c>
      <c r="P4110">
        <v>-14</v>
      </c>
    </row>
    <row r="4111" spans="1:16" x14ac:dyDescent="0.25">
      <c r="A4111">
        <v>22300343</v>
      </c>
      <c r="B4111">
        <v>2023</v>
      </c>
      <c r="C4111" t="s">
        <v>32</v>
      </c>
      <c r="D4111" t="s">
        <v>19</v>
      </c>
      <c r="E4111">
        <v>109</v>
      </c>
      <c r="F4111">
        <v>94</v>
      </c>
      <c r="G4111">
        <v>3</v>
      </c>
      <c r="H4111" s="1">
        <v>8.7962962962962962E-4</v>
      </c>
      <c r="I4111" t="s">
        <v>23</v>
      </c>
      <c r="J4111" s="2" t="str">
        <f>HYPERLINK("https://www.nba.com/stats/events?CFID=&amp;CFPARAMS=&amp;GameEventID=496&amp;GameID=0022300343&amp;Season=2023-24&amp;flag=1&amp;title=Leonard%2011'%20turnaround%20fadeaway%20Jump%20Shot%20(36%20PTS)", "11' turnaround fadeaway Jump Shot (36 PTS)")</f>
        <v>11' turnaround fadeaway Jump Shot (36 PTS)</v>
      </c>
      <c r="K4111" s="2" t="str">
        <f>HYPERLINK("https://www.nba.com/game/...-vs-...-0022300343/play-by-play?watchFullGame=true", "LAC vs NYK - Q3 01:16.00")</f>
        <v>LAC vs NYK - Q3 01:16.00</v>
      </c>
      <c r="L4111">
        <v>11.42</v>
      </c>
      <c r="M4111">
        <v>6.36</v>
      </c>
      <c r="N4111">
        <v>27.21</v>
      </c>
      <c r="O4111">
        <v>114</v>
      </c>
      <c r="P4111">
        <v>7</v>
      </c>
    </row>
    <row r="4112" spans="1:16" x14ac:dyDescent="0.25">
      <c r="A4112">
        <v>22400596</v>
      </c>
      <c r="B4112">
        <v>2024</v>
      </c>
      <c r="C4112" t="s">
        <v>32</v>
      </c>
      <c r="D4112" t="s">
        <v>19</v>
      </c>
      <c r="E4112">
        <v>37</v>
      </c>
      <c r="F4112">
        <v>28</v>
      </c>
      <c r="G4112">
        <v>2</v>
      </c>
      <c r="H4112" s="1">
        <v>7.6967592592592591E-3</v>
      </c>
      <c r="I4112" t="s">
        <v>23</v>
      </c>
      <c r="J4112" s="2" t="str">
        <f>HYPERLINK("https://www.nba.com/stats/events?CFID=&amp;CFPARAMS=&amp;GameEventID=153&amp;GameID=0022400596&amp;Season=2024-25&amp;flag=1&amp;title=Leonard%2012'%20step%20back%20Jump%20Shot%20(7%20PTS)", "12' step back Jump Shot (7 PTS)")</f>
        <v>12' step back Jump Shot (7 PTS)</v>
      </c>
      <c r="K4112" s="2" t="str">
        <f>HYPERLINK("https://www.nba.com/game/...-vs-...-0022400596/play-by-play?watchFullGame=true", "LAC vs LAL - Q2 11:05.00")</f>
        <v>LAC vs LAL - Q2 11:05.00</v>
      </c>
      <c r="L4112">
        <v>12.02</v>
      </c>
      <c r="M4112">
        <v>90.41</v>
      </c>
      <c r="N4112">
        <v>72.819999999999993</v>
      </c>
      <c r="O4112">
        <v>114</v>
      </c>
      <c r="P4112">
        <v>38</v>
      </c>
    </row>
    <row r="4113" spans="1:16" x14ac:dyDescent="0.25">
      <c r="A4113">
        <v>21600605</v>
      </c>
      <c r="B4113">
        <v>2016</v>
      </c>
      <c r="C4113" t="s">
        <v>32</v>
      </c>
      <c r="D4113" t="s">
        <v>33</v>
      </c>
      <c r="E4113">
        <v>30</v>
      </c>
      <c r="F4113">
        <v>34</v>
      </c>
      <c r="G4113">
        <v>2</v>
      </c>
      <c r="H4113" s="1">
        <v>7.2569444444444443E-3</v>
      </c>
      <c r="I4113" t="s">
        <v>18</v>
      </c>
      <c r="J4113" s="2" t="str">
        <f>HYPERLINK("https://www.nba.com/stats/events?CFID=&amp;CFPARAMS=&amp;GameEventID=153&amp;GameID=0021600605&amp;Season=2016-17&amp;flag=1&amp;title=Leonard%2012'%20Fadeaway%20Jumper%20(4%20PTS)", "Leonard 12' Fadeaway Jumper (4 PTS)")</f>
        <v>Leonard 12' Fadeaway Jumper (4 PTS)</v>
      </c>
      <c r="K4113" s="2" t="str">
        <f>HYPERLINK("https://www.nba.com/game/...-vs-...-0021600605/play-by-play?watchFullGame=true", "SAS vs PHX - Q2 10:27.00")</f>
        <v>SAS vs PHX - Q2 10:27.00</v>
      </c>
      <c r="L4113">
        <v>12</v>
      </c>
      <c r="M4113">
        <v>114</v>
      </c>
      <c r="N4113">
        <v>46</v>
      </c>
      <c r="O4113">
        <v>114</v>
      </c>
      <c r="P4113">
        <v>46</v>
      </c>
    </row>
    <row r="4114" spans="1:16" x14ac:dyDescent="0.25">
      <c r="A4114">
        <v>21500342</v>
      </c>
      <c r="B4114">
        <v>2015</v>
      </c>
      <c r="C4114" t="s">
        <v>32</v>
      </c>
      <c r="D4114" t="s">
        <v>29</v>
      </c>
      <c r="E4114">
        <v>10</v>
      </c>
      <c r="F4114">
        <v>6</v>
      </c>
      <c r="G4114">
        <v>1</v>
      </c>
      <c r="H4114" s="1">
        <v>6.4583333333333333E-3</v>
      </c>
      <c r="I4114" t="s">
        <v>18</v>
      </c>
      <c r="J4114" s="2" t="str">
        <f>HYPERLINK("https://www.nba.com/stats/events?CFID=&amp;CFPARAMS=&amp;GameEventID=22&amp;GameID=0021500342&amp;Season=2015-16&amp;flag=1&amp;title=Leonard%2012'%20Pullup%20Jump%20Shot%20(2%20PTS)", "Leonard 12' Pullup Jump Shot (2 PTS)")</f>
        <v>Leonard 12' Pullup Jump Shot (2 PTS)</v>
      </c>
      <c r="K4114" s="2" t="str">
        <f>HYPERLINK("https://www.nba.com/game/...-vs-...-0021500342/play-by-play?watchFullGame=true", "SAS vs LAL - Q1 09:18.00")</f>
        <v>SAS vs LAL - Q1 09:18.00</v>
      </c>
      <c r="L4114">
        <v>12</v>
      </c>
      <c r="M4114">
        <v>114</v>
      </c>
      <c r="N4114">
        <v>51</v>
      </c>
      <c r="O4114">
        <v>114</v>
      </c>
      <c r="P4114">
        <v>51</v>
      </c>
    </row>
    <row r="4115" spans="1:16" x14ac:dyDescent="0.25">
      <c r="A4115">
        <v>21600016</v>
      </c>
      <c r="B4115">
        <v>2016</v>
      </c>
      <c r="C4115" t="s">
        <v>32</v>
      </c>
      <c r="D4115" t="s">
        <v>31</v>
      </c>
      <c r="E4115">
        <v>8</v>
      </c>
      <c r="F4115">
        <v>4</v>
      </c>
      <c r="G4115">
        <v>1</v>
      </c>
      <c r="H4115" s="1">
        <v>5.7638888888888887E-3</v>
      </c>
      <c r="I4115" t="s">
        <v>18</v>
      </c>
      <c r="J4115" s="2" t="str">
        <f>HYPERLINK("https://www.nba.com/stats/events?CFID=&amp;CFPARAMS=&amp;GameEventID=29&amp;GameID=0021600016&amp;Season=2016-17&amp;flag=1&amp;title=Leonard%2013'%20Step%20Back%20Jump%20Shot%20(4%20PTS)", "Leonard 13' Step Back Jump Shot (4 PTS)")</f>
        <v>Leonard 13' Step Back Jump Shot (4 PTS)</v>
      </c>
      <c r="K4115" s="2" t="str">
        <f>HYPERLINK("https://www.nba.com/game/...-vs-...-0021600016/play-by-play?watchFullGame=true", "SAS vs SAC - Q1 08:18.00")</f>
        <v>SAS vs SAC - Q1 08:18.00</v>
      </c>
      <c r="L4115">
        <v>13</v>
      </c>
      <c r="M4115">
        <v>114</v>
      </c>
      <c r="N4115">
        <v>61</v>
      </c>
      <c r="O4115">
        <v>114</v>
      </c>
      <c r="P4115">
        <v>61</v>
      </c>
    </row>
    <row r="4116" spans="1:16" x14ac:dyDescent="0.25">
      <c r="A4116">
        <v>21501036</v>
      </c>
      <c r="B4116">
        <v>2015</v>
      </c>
      <c r="C4116" t="s">
        <v>32</v>
      </c>
      <c r="D4116" t="s">
        <v>33</v>
      </c>
      <c r="E4116">
        <v>40</v>
      </c>
      <c r="F4116">
        <v>30</v>
      </c>
      <c r="G4116">
        <v>2</v>
      </c>
      <c r="H4116" s="1">
        <v>2.2685185185185187E-3</v>
      </c>
      <c r="I4116" t="s">
        <v>18</v>
      </c>
      <c r="J4116" s="2" t="str">
        <f>HYPERLINK("https://www.nba.com/stats/events?CFID=&amp;CFPARAMS=&amp;GameEventID=215&amp;GameID=0021501036&amp;Season=2015-16&amp;flag=1&amp;title=Leonard%2014'%20Fadeaway%20Jumper%20(12%20PTS)", "Leonard 14' Fadeaway Jumper (12 PTS)")</f>
        <v>Leonard 14' Fadeaway Jumper (12 PTS)</v>
      </c>
      <c r="K4116" s="2" t="str">
        <f>HYPERLINK("https://www.nba.com/game/...-vs-...-0021501036/play-by-play?watchFullGame=true", "SAS vs GSW - Q2 03:16.00")</f>
        <v>SAS vs GSW - Q2 03:16.00</v>
      </c>
      <c r="L4116">
        <v>14</v>
      </c>
      <c r="M4116">
        <v>114</v>
      </c>
      <c r="N4116">
        <v>80</v>
      </c>
      <c r="O4116">
        <v>114</v>
      </c>
      <c r="P4116">
        <v>80</v>
      </c>
    </row>
    <row r="4117" spans="1:16" x14ac:dyDescent="0.25">
      <c r="A4117">
        <v>21600309</v>
      </c>
      <c r="B4117">
        <v>2016</v>
      </c>
      <c r="C4117" t="s">
        <v>32</v>
      </c>
      <c r="D4117" t="s">
        <v>29</v>
      </c>
      <c r="E4117">
        <v>78</v>
      </c>
      <c r="F4117">
        <v>82</v>
      </c>
      <c r="G4117">
        <v>4</v>
      </c>
      <c r="H4117" s="1">
        <v>5.0347222222222225E-3</v>
      </c>
      <c r="I4117" t="s">
        <v>18</v>
      </c>
      <c r="J4117" s="2" t="str">
        <f>HYPERLINK("https://www.nba.com/stats/events?CFID=&amp;CFPARAMS=&amp;GameEventID=489&amp;GameID=0021600309&amp;Season=2016-17&amp;flag=1&amp;title=Leonard%2014'%20Pullup%20Jump%20Shot%20(11%20PTS)%20(Aldridge%205%20AST)", "Leonard 14' Pullup Jump Shot (11 PTS) (Aldridge 5 AST)")</f>
        <v>Leonard 14' Pullup Jump Shot (11 PTS) (Aldridge 5 AST)</v>
      </c>
      <c r="K4117" s="2" t="str">
        <f>HYPERLINK("https://www.nba.com/game/...-vs-...-0021600309/play-by-play?watchFullGame=true", "SAS vs MIL - Q4 07:15.00")</f>
        <v>SAS vs MIL - Q4 07:15.00</v>
      </c>
      <c r="L4117">
        <v>14</v>
      </c>
      <c r="M4117">
        <v>114</v>
      </c>
      <c r="N4117">
        <v>82</v>
      </c>
      <c r="O4117">
        <v>114</v>
      </c>
      <c r="P4117">
        <v>82</v>
      </c>
    </row>
    <row r="4118" spans="1:16" x14ac:dyDescent="0.25">
      <c r="A4118">
        <v>22201162</v>
      </c>
      <c r="B4118">
        <v>2022</v>
      </c>
      <c r="C4118" t="s">
        <v>32</v>
      </c>
      <c r="D4118" t="s">
        <v>19</v>
      </c>
      <c r="E4118">
        <v>111</v>
      </c>
      <c r="F4118">
        <v>106</v>
      </c>
      <c r="G4118">
        <v>4</v>
      </c>
      <c r="H4118" s="1">
        <v>2.5115740740740741E-3</v>
      </c>
      <c r="I4118" t="s">
        <v>23</v>
      </c>
      <c r="J4118" s="2" t="str">
        <f>HYPERLINK("https://www.nba.com/stats/events?CFID=&amp;CFPARAMS=&amp;GameEventID=585&amp;GameID=0022201162&amp;Season=2022-23&amp;flag=1&amp;title=Leonard%2017'%20pullup%20Jump%20Shot%20(36%20PTS)", "17' pullup Jump Shot (36 PTS)")</f>
        <v>17' pullup Jump Shot (36 PTS)</v>
      </c>
      <c r="K4118" s="2" t="str">
        <f>HYPERLINK("https://www.nba.com/game/...-vs-...-0022201162/play-by-play?watchFullGame=true", "LAC vs NOP - Q4 03:37.00")</f>
        <v>LAC vs NOP - Q4 03:37.00</v>
      </c>
      <c r="L4118">
        <v>17.100000000000001</v>
      </c>
      <c r="M4118">
        <v>19.14</v>
      </c>
      <c r="N4118">
        <v>27.21</v>
      </c>
      <c r="O4118">
        <v>114</v>
      </c>
      <c r="P4118">
        <v>127</v>
      </c>
    </row>
    <row r="4119" spans="1:16" x14ac:dyDescent="0.25">
      <c r="A4119">
        <v>21500689</v>
      </c>
      <c r="B4119">
        <v>2015</v>
      </c>
      <c r="C4119" t="s">
        <v>32</v>
      </c>
      <c r="D4119" t="s">
        <v>29</v>
      </c>
      <c r="E4119">
        <v>84</v>
      </c>
      <c r="F4119">
        <v>60</v>
      </c>
      <c r="G4119">
        <v>3</v>
      </c>
      <c r="H4119" s="1">
        <v>4.9537037037037041E-3</v>
      </c>
      <c r="I4119" t="s">
        <v>18</v>
      </c>
      <c r="J4119" s="2" t="str">
        <f>HYPERLINK("https://www.nba.com/stats/events?CFID=&amp;CFPARAMS=&amp;GameEventID=367&amp;GameID=0021500689&amp;Season=2015-16&amp;flag=1&amp;title=Leonard%2018'%20Pullup%20Jump%20Shot%20(16%20PTS)", "Leonard 18' Pullup Jump Shot (16 PTS)")</f>
        <v>Leonard 18' Pullup Jump Shot (16 PTS)</v>
      </c>
      <c r="K4119" s="2" t="str">
        <f>HYPERLINK("https://www.nba.com/game/...-vs-...-0021500689/play-by-play?watchFullGame=true", "SAS vs HOU - Q3 07:08.00")</f>
        <v>SAS vs HOU - Q3 07:08.00</v>
      </c>
      <c r="L4119">
        <v>18</v>
      </c>
      <c r="M4119">
        <v>114</v>
      </c>
      <c r="N4119">
        <v>139</v>
      </c>
      <c r="O4119">
        <v>114</v>
      </c>
      <c r="P4119">
        <v>139</v>
      </c>
    </row>
    <row r="4120" spans="1:16" x14ac:dyDescent="0.25">
      <c r="A4120">
        <v>22201069</v>
      </c>
      <c r="B4120">
        <v>2022</v>
      </c>
      <c r="C4120" t="s">
        <v>32</v>
      </c>
      <c r="D4120" t="s">
        <v>19</v>
      </c>
      <c r="E4120">
        <v>50</v>
      </c>
      <c r="F4120">
        <v>57</v>
      </c>
      <c r="G4120">
        <v>2</v>
      </c>
      <c r="H4120" s="1">
        <v>1.5972222222222223E-3</v>
      </c>
      <c r="I4120" t="s">
        <v>23</v>
      </c>
      <c r="J4120" s="2" t="str">
        <f>HYPERLINK("https://www.nba.com/stats/events?CFID=&amp;CFPARAMS=&amp;GameEventID=276&amp;GameID=0022201069&amp;Season=2022-23&amp;flag=1&amp;title=Leonard%2021'%20pullup%20Jump%20Shot%20(13%20PTS)%20(I.%20Zubac%201%20AST)", "21' pullup Jump Shot (13 PTS) (I. Zubac 1 AST)")</f>
        <v>21' pullup Jump Shot (13 PTS) (I. Zubac 1 AST)</v>
      </c>
      <c r="K4120" s="2" t="str">
        <f>HYPERLINK("https://www.nba.com/game/...-vs-...-0022201069/play-by-play?watchFullGame=true", "LAC vs POR - Q2 02:18.00")</f>
        <v>LAC vs POR - Q2 02:18.00</v>
      </c>
      <c r="L4120">
        <v>21.21</v>
      </c>
      <c r="M4120">
        <v>75.38</v>
      </c>
      <c r="N4120">
        <v>72.790000000000006</v>
      </c>
      <c r="O4120">
        <v>114</v>
      </c>
      <c r="P4120">
        <v>179</v>
      </c>
    </row>
    <row r="4121" spans="1:16" x14ac:dyDescent="0.25">
      <c r="A4121">
        <v>22400500</v>
      </c>
      <c r="B4121">
        <v>2024</v>
      </c>
      <c r="C4121" t="s">
        <v>16</v>
      </c>
      <c r="D4121" t="s">
        <v>19</v>
      </c>
      <c r="E4121">
        <v>7</v>
      </c>
      <c r="F4121">
        <v>7</v>
      </c>
      <c r="G4121">
        <v>1</v>
      </c>
      <c r="H4121" s="1">
        <v>5.324074074074074E-3</v>
      </c>
      <c r="I4121" t="s">
        <v>23</v>
      </c>
      <c r="J4121" s="2" t="str">
        <f>HYPERLINK("https://www.nba.com/stats/events?CFID=&amp;CFPARAMS=&amp;GameEventID=56&amp;GameID=0022400500&amp;Season=2024-25&amp;flag=1&amp;title=Leonard%2024'%203PT%20pullup%20(3%20PTS)%20(I.%20Zubac%201%20AST)", "24' 3PT pullup (3 PTS) (I. Zubac 1 AST)")</f>
        <v>24' 3PT pullup (3 PTS) (I. Zubac 1 AST)</v>
      </c>
      <c r="K4121" s="2" t="str">
        <f>HYPERLINK("https://www.nba.com/game/...-vs-...-0022400500/play-by-play?watchFullGame=true", "LAC vs MIN - Q1 07:40.00")</f>
        <v>LAC vs MIN - Q1 07:40.00</v>
      </c>
      <c r="L4121">
        <v>24.89</v>
      </c>
      <c r="M4121">
        <v>29.12</v>
      </c>
      <c r="N4121">
        <v>27.21</v>
      </c>
      <c r="O4121">
        <v>114</v>
      </c>
      <c r="P4121">
        <v>221</v>
      </c>
    </row>
    <row r="4122" spans="1:16" x14ac:dyDescent="0.25">
      <c r="A4122">
        <v>22200918</v>
      </c>
      <c r="B4122">
        <v>2022</v>
      </c>
      <c r="C4122" t="s">
        <v>16</v>
      </c>
      <c r="D4122" t="s">
        <v>19</v>
      </c>
      <c r="E4122">
        <v>107</v>
      </c>
      <c r="F4122">
        <v>105</v>
      </c>
      <c r="G4122">
        <v>4</v>
      </c>
      <c r="H4122" s="1">
        <v>3.8194444444444443E-3</v>
      </c>
      <c r="I4122" t="s">
        <v>23</v>
      </c>
      <c r="J4122" s="2" t="str">
        <f>HYPERLINK("https://www.nba.com/stats/events?CFID=&amp;CFPARAMS=&amp;GameEventID=576&amp;GameID=0022200918&amp;Season=2022-23&amp;flag=1&amp;title=Leonard%2025'%203PT%20pullup%20(26%20PTS)", "25' 3PT pullup (26 PTS)")</f>
        <v>25' 3PT pullup (26 PTS)</v>
      </c>
      <c r="K4122" s="2" t="str">
        <f>HYPERLINK("https://www.nba.com/game/...-vs-...-0022200918/play-by-play?watchFullGame=true", "LAC vs DEN - Q4 05:30.00")</f>
        <v>LAC vs DEN - Q4 05:30.00</v>
      </c>
      <c r="L4122">
        <v>25.89</v>
      </c>
      <c r="M4122">
        <v>30.31</v>
      </c>
      <c r="N4122">
        <v>27.21</v>
      </c>
      <c r="O4122">
        <v>114</v>
      </c>
      <c r="P4122">
        <v>232</v>
      </c>
    </row>
    <row r="4123" spans="1:16" x14ac:dyDescent="0.25">
      <c r="A4123">
        <v>22200617</v>
      </c>
      <c r="B4123">
        <v>2022</v>
      </c>
      <c r="C4123" t="s">
        <v>32</v>
      </c>
      <c r="D4123" t="s">
        <v>19</v>
      </c>
      <c r="E4123">
        <v>21</v>
      </c>
      <c r="F4123">
        <v>10</v>
      </c>
      <c r="G4123">
        <v>1</v>
      </c>
      <c r="H4123" s="1">
        <v>3.3912037037037036E-3</v>
      </c>
      <c r="I4123" t="s">
        <v>23</v>
      </c>
      <c r="J4123" s="2" t="str">
        <f>HYPERLINK("https://www.nba.com/stats/events?CFID=&amp;CFPARAMS=&amp;GameEventID=90&amp;GameID=0022200617&amp;Season=2022-23&amp;flag=1&amp;title=Leonard%2011'%20Jump%20Shot%20(9%20PTS)%20(N.%20Batum%201%20AST)", "11' Jump Shot (9 PTS) (N. Batum 1 AST)")</f>
        <v>11' Jump Shot (9 PTS) (N. Batum 1 AST)</v>
      </c>
      <c r="K4123" s="2" t="str">
        <f>HYPERLINK("https://www.nba.com/game/...-vs-...-0022200617/play-by-play?watchFullGame=true", "LAC vs DAL - Q1 04:53.00")</f>
        <v>LAC vs DAL - Q1 04:53.00</v>
      </c>
      <c r="L4123">
        <v>11.52</v>
      </c>
      <c r="M4123">
        <v>94.66</v>
      </c>
      <c r="N4123">
        <v>73.040000000000006</v>
      </c>
      <c r="O4123">
        <v>115</v>
      </c>
      <c r="P4123">
        <v>-2</v>
      </c>
    </row>
    <row r="4124" spans="1:16" x14ac:dyDescent="0.25">
      <c r="A4124">
        <v>21500103</v>
      </c>
      <c r="B4124">
        <v>2015</v>
      </c>
      <c r="C4124" t="s">
        <v>32</v>
      </c>
      <c r="D4124" t="s">
        <v>31</v>
      </c>
      <c r="E4124">
        <v>6</v>
      </c>
      <c r="F4124">
        <v>10</v>
      </c>
      <c r="G4124">
        <v>1</v>
      </c>
      <c r="H4124" s="1">
        <v>6.1805555555555555E-3</v>
      </c>
      <c r="I4124" t="s">
        <v>18</v>
      </c>
      <c r="J4124" s="2" t="str">
        <f>HYPERLINK("https://www.nba.com/stats/events?CFID=&amp;CFPARAMS=&amp;GameEventID=26&amp;GameID=0021500103&amp;Season=2015-16&amp;flag=1&amp;title=Leonard%2012'%20Step%20Back%20Jump%20Shot%20(5%20PTS)", "Leonard 12' Step Back Jump Shot (5 PTS)")</f>
        <v>Leonard 12' Step Back Jump Shot (5 PTS)</v>
      </c>
      <c r="K4124" s="2" t="str">
        <f>HYPERLINK("https://www.nba.com/game/...-vs-...-0021500103/play-by-play?watchFullGame=true", "SAS vs SAC - Q1 08:54.00")</f>
        <v>SAS vs SAC - Q1 08:54.00</v>
      </c>
      <c r="L4124">
        <v>12</v>
      </c>
      <c r="M4124">
        <v>115</v>
      </c>
      <c r="N4124">
        <v>13</v>
      </c>
      <c r="O4124">
        <v>115</v>
      </c>
      <c r="P4124">
        <v>13</v>
      </c>
    </row>
    <row r="4125" spans="1:16" x14ac:dyDescent="0.25">
      <c r="A4125">
        <v>22201229</v>
      </c>
      <c r="B4125">
        <v>2022</v>
      </c>
      <c r="C4125" t="s">
        <v>32</v>
      </c>
      <c r="D4125" t="s">
        <v>19</v>
      </c>
      <c r="E4125">
        <v>111</v>
      </c>
      <c r="F4125">
        <v>117</v>
      </c>
      <c r="G4125">
        <v>4</v>
      </c>
      <c r="H4125" s="1">
        <v>1.261574074074074E-3</v>
      </c>
      <c r="I4125" t="s">
        <v>23</v>
      </c>
      <c r="J4125" s="2" t="str">
        <f>HYPERLINK("https://www.nba.com/stats/events?CFID=&amp;CFPARAMS=&amp;GameEventID=635&amp;GameID=0022201229&amp;Season=2022-23&amp;flag=1&amp;title=Leonard%2012'%20fadeaway%20Jump%20Shot%20(23%20PTS)", "12' fadeaway Jump Shot (23 PTS)")</f>
        <v>12' fadeaway Jump Shot (23 PTS)</v>
      </c>
      <c r="K4125" s="2" t="str">
        <f>HYPERLINK("https://www.nba.com/game/...-vs-...-0022201229/play-by-play?watchFullGame=true", "LAC vs PHX - Q4 01:49.00")</f>
        <v>LAC vs PHX - Q4 01:49.00</v>
      </c>
      <c r="L4125">
        <v>12.31</v>
      </c>
      <c r="M4125">
        <v>10.199999999999999</v>
      </c>
      <c r="N4125">
        <v>26.96</v>
      </c>
      <c r="O4125">
        <v>115</v>
      </c>
      <c r="P4125">
        <v>43</v>
      </c>
    </row>
    <row r="4126" spans="1:16" x14ac:dyDescent="0.25">
      <c r="A4126">
        <v>21500590</v>
      </c>
      <c r="B4126">
        <v>2015</v>
      </c>
      <c r="C4126" t="s">
        <v>32</v>
      </c>
      <c r="D4126" t="s">
        <v>34</v>
      </c>
      <c r="E4126">
        <v>15</v>
      </c>
      <c r="F4126">
        <v>28</v>
      </c>
      <c r="G4126">
        <v>1</v>
      </c>
      <c r="H4126" s="1">
        <v>1.4583333333333334E-3</v>
      </c>
      <c r="I4126" t="s">
        <v>18</v>
      </c>
      <c r="J4126" s="2" t="str">
        <f>HYPERLINK("https://www.nba.com/stats/events?CFID=&amp;CFPARAMS=&amp;GameEventID=95&amp;GameID=0021500590&amp;Season=2015-16&amp;flag=1&amp;title=Leonard%2013'%20Turnaround%20Fadeaway%20(4%20PTS)", "Leonard 13' Turnaround Fadeaway (4 PTS)")</f>
        <v>Leonard 13' Turnaround Fadeaway (4 PTS)</v>
      </c>
      <c r="K4126" s="2" t="str">
        <f>HYPERLINK("https://www.nba.com/game/...-vs-...-0021500590/play-by-play?watchFullGame=true", "SAS vs CLE - Q1 02:06.00")</f>
        <v>SAS vs CLE - Q1 02:06.00</v>
      </c>
      <c r="L4126">
        <v>13</v>
      </c>
      <c r="M4126">
        <v>115</v>
      </c>
      <c r="N4126">
        <v>61</v>
      </c>
      <c r="O4126">
        <v>115</v>
      </c>
      <c r="P4126">
        <v>61</v>
      </c>
    </row>
    <row r="4127" spans="1:16" x14ac:dyDescent="0.25">
      <c r="A4127">
        <v>41800211</v>
      </c>
      <c r="B4127" t="s">
        <v>20</v>
      </c>
      <c r="C4127" t="s">
        <v>32</v>
      </c>
      <c r="D4127" t="s">
        <v>29</v>
      </c>
      <c r="E4127">
        <v>9</v>
      </c>
      <c r="F4127">
        <v>7</v>
      </c>
      <c r="G4127">
        <v>1</v>
      </c>
      <c r="H4127" s="1">
        <v>5.7523148148148151E-3</v>
      </c>
      <c r="I4127" t="s">
        <v>21</v>
      </c>
      <c r="J4127" s="2" t="str">
        <f>HYPERLINK("https://www.nba.com/stats/events?CFID=&amp;CFPARAMS=&amp;GameEventID=39&amp;GameID=0041800211&amp;Season=2018-19&amp;flag=1&amp;title=Leonard%2016'%20Pullup%20Jump%20Shot%20(6%20PTS)", "Leonard 16' Pullup Jump Shot (6 PTS)")</f>
        <v>Leonard 16' Pullup Jump Shot (6 PTS)</v>
      </c>
      <c r="K4127" s="2" t="str">
        <f>HYPERLINK("https://www.nba.com/game/...-vs-...-0041800211/play-by-play?watchFullGame=true", "TOR vs PHI - Q1 08:17.00")</f>
        <v>TOR vs PHI - Q1 08:17.00</v>
      </c>
      <c r="L4127">
        <v>16</v>
      </c>
      <c r="M4127">
        <v>115</v>
      </c>
      <c r="N4127">
        <v>114</v>
      </c>
      <c r="O4127">
        <v>115</v>
      </c>
      <c r="P4127">
        <v>114</v>
      </c>
    </row>
    <row r="4128" spans="1:16" x14ac:dyDescent="0.25">
      <c r="A4128">
        <v>21600016</v>
      </c>
      <c r="B4128">
        <v>2016</v>
      </c>
      <c r="C4128" t="s">
        <v>32</v>
      </c>
      <c r="D4128" t="s">
        <v>17</v>
      </c>
      <c r="E4128">
        <v>71</v>
      </c>
      <c r="F4128">
        <v>80</v>
      </c>
      <c r="G4128">
        <v>4</v>
      </c>
      <c r="H4128" s="1">
        <v>7.6388888888888886E-3</v>
      </c>
      <c r="I4128" t="s">
        <v>18</v>
      </c>
      <c r="J4128" s="2" t="str">
        <f>HYPERLINK("https://www.nba.com/stats/events?CFID=&amp;CFPARAMS=&amp;GameEventID=422&amp;GameID=0021600016&amp;Season=2016-17&amp;flag=1&amp;title=Leonard%2017'%20Running%20Jump%20Shot%20(23%20PTS)%20(Ginobili%205%20AST)", "Leonard 17' Running Jump Shot (23 PTS) (Ginobili 5 AST)")</f>
        <v>Leonard 17' Running Jump Shot (23 PTS) (Ginobili 5 AST)</v>
      </c>
      <c r="K4128" s="2" t="str">
        <f>HYPERLINK("https://www.nba.com/game/...-vs-...-0021600016/play-by-play?watchFullGame=true", "SAS vs SAC - Q4 11:00.00")</f>
        <v>SAS vs SAC - Q4 11:00.00</v>
      </c>
      <c r="L4128">
        <v>17</v>
      </c>
      <c r="M4128">
        <v>115</v>
      </c>
      <c r="N4128">
        <v>131</v>
      </c>
      <c r="O4128">
        <v>115</v>
      </c>
      <c r="P4128">
        <v>131</v>
      </c>
    </row>
    <row r="4129" spans="1:16" x14ac:dyDescent="0.25">
      <c r="A4129">
        <v>21900618</v>
      </c>
      <c r="B4129">
        <v>2019</v>
      </c>
      <c r="C4129" t="s">
        <v>32</v>
      </c>
      <c r="D4129" t="s">
        <v>22</v>
      </c>
      <c r="E4129">
        <v>20</v>
      </c>
      <c r="F4129">
        <v>18</v>
      </c>
      <c r="G4129">
        <v>1</v>
      </c>
      <c r="H4129" s="1">
        <v>3.9467592592592592E-3</v>
      </c>
      <c r="I4129" t="s">
        <v>23</v>
      </c>
      <c r="J4129" s="2" t="str">
        <f>HYPERLINK("https://www.nba.com/stats/events?CFID=&amp;CFPARAMS=&amp;GameEventID=68&amp;GameID=0021900618&amp;Season=2019-20&amp;flag=1&amp;title=Leonard%2018'%20jumpshot%20(12%20PTS)", "18' jumpshot (12 PTS)")</f>
        <v>18' jumpshot (12 PTS)</v>
      </c>
      <c r="K4129" s="2" t="str">
        <f>HYPERLINK("https://www.nba.com/game/...-vs-...-0021900618/play-by-play?watchFullGame=true", "LAC vs ORL - Q1 05:41.00")</f>
        <v>LAC vs ORL - Q1 05:41.00</v>
      </c>
      <c r="L4129">
        <v>18.04</v>
      </c>
      <c r="M4129">
        <v>80.209999999999994</v>
      </c>
      <c r="N4129">
        <v>72.97</v>
      </c>
      <c r="O4129">
        <v>115</v>
      </c>
      <c r="P4129">
        <v>134</v>
      </c>
    </row>
    <row r="4130" spans="1:16" x14ac:dyDescent="0.25">
      <c r="A4130">
        <v>22200719</v>
      </c>
      <c r="B4130">
        <v>2022</v>
      </c>
      <c r="C4130" t="s">
        <v>32</v>
      </c>
      <c r="D4130" t="s">
        <v>19</v>
      </c>
      <c r="E4130">
        <v>47</v>
      </c>
      <c r="F4130">
        <v>67</v>
      </c>
      <c r="G4130">
        <v>2</v>
      </c>
      <c r="H4130" s="1">
        <v>1.1226851851851851E-3</v>
      </c>
      <c r="I4130" t="s">
        <v>23</v>
      </c>
      <c r="J4130" s="2" t="str">
        <f>HYPERLINK("https://www.nba.com/stats/events?CFID=&amp;CFPARAMS=&amp;GameEventID=303&amp;GameID=0022200719&amp;Season=2022-23&amp;flag=1&amp;title=Leonard%2018'%20pullup%20Jump%20Shot%20(12%20PTS)", "18' pullup Jump Shot (12 PTS)")</f>
        <v>18' pullup Jump Shot (12 PTS)</v>
      </c>
      <c r="K4130" s="2" t="str">
        <f>HYPERLINK("https://www.nba.com/game/...-vs-...-0022200719/play-by-play?watchFullGame=true", "LAC vs LAL - Q2 01:37.00")</f>
        <v>LAC vs LAL - Q2 01:37.00</v>
      </c>
      <c r="L4130">
        <v>18.68</v>
      </c>
      <c r="M4130">
        <v>78.760000000000005</v>
      </c>
      <c r="N4130">
        <v>73.040000000000006</v>
      </c>
      <c r="O4130">
        <v>115</v>
      </c>
      <c r="P4130">
        <v>147</v>
      </c>
    </row>
    <row r="4131" spans="1:16" x14ac:dyDescent="0.25">
      <c r="A4131">
        <v>22201196</v>
      </c>
      <c r="B4131">
        <v>2022</v>
      </c>
      <c r="C4131" t="s">
        <v>16</v>
      </c>
      <c r="D4131" t="s">
        <v>19</v>
      </c>
      <c r="E4131">
        <v>63</v>
      </c>
      <c r="F4131">
        <v>46</v>
      </c>
      <c r="G4131">
        <v>2</v>
      </c>
      <c r="H4131" s="1">
        <v>3.2291666666666666E-3</v>
      </c>
      <c r="I4131" t="s">
        <v>23</v>
      </c>
      <c r="J4131" s="2" t="str">
        <f>HYPERLINK("https://www.nba.com/stats/events?CFID=&amp;CFPARAMS=&amp;GameEventID=240&amp;GameID=0022201196&amp;Season=2022-23&amp;flag=1&amp;title=Leonard%2025'%203PT%20step%20back%20(11%20PTS)", "25' 3PT step back (11 PTS)")</f>
        <v>25' 3PT step back (11 PTS)</v>
      </c>
      <c r="K4131" s="2" t="str">
        <f>HYPERLINK("https://www.nba.com/game/...-vs-...-0022201196/play-by-play?watchFullGame=true", "LAC vs LAL - Q2 04:39.00")</f>
        <v>LAC vs LAL - Q2 04:39.00</v>
      </c>
      <c r="L4131">
        <v>25.49</v>
      </c>
      <c r="M4131">
        <v>70.22</v>
      </c>
      <c r="N4131">
        <v>73.040000000000006</v>
      </c>
      <c r="O4131">
        <v>115</v>
      </c>
      <c r="P4131">
        <v>227</v>
      </c>
    </row>
    <row r="4132" spans="1:16" x14ac:dyDescent="0.25">
      <c r="A4132">
        <v>22400671</v>
      </c>
      <c r="B4132">
        <v>2024</v>
      </c>
      <c r="C4132" t="s">
        <v>32</v>
      </c>
      <c r="D4132" t="s">
        <v>19</v>
      </c>
      <c r="E4132">
        <v>65</v>
      </c>
      <c r="F4132">
        <v>71</v>
      </c>
      <c r="G4132">
        <v>3</v>
      </c>
      <c r="H4132" s="1">
        <v>7.5115740740740742E-3</v>
      </c>
      <c r="I4132" t="s">
        <v>23</v>
      </c>
      <c r="J4132" s="2" t="str">
        <f>HYPERLINK("https://www.nba.com/stats/events?CFID=&amp;CFPARAMS=&amp;GameEventID=360&amp;GameID=0022400671&amp;Season=2024-25&amp;flag=1&amp;title=Leonard%2011'%20fadeaway%20Jump%20Shot%20(16%20PTS)%20(D.%20Jones%20Jr.%201%20AST)", "11' fadeaway Jump Shot (16 PTS) (D. Jones Jr. 1 AST)")</f>
        <v>11' fadeaway Jump Shot (16 PTS) (D. Jones Jr. 1 AST)</v>
      </c>
      <c r="K4132" s="2" t="str">
        <f>HYPERLINK("https://www.nba.com/game/...-vs-...-0022400671/play-by-play?watchFullGame=true", "LAC vs SAS - Q3 10:49.00")</f>
        <v>LAC vs SAS - Q3 10:49.00</v>
      </c>
      <c r="L4132">
        <v>11.64</v>
      </c>
      <c r="M4132">
        <v>5.73</v>
      </c>
      <c r="N4132">
        <v>26.72</v>
      </c>
      <c r="O4132">
        <v>116</v>
      </c>
      <c r="P4132">
        <v>1</v>
      </c>
    </row>
    <row r="4133" spans="1:16" x14ac:dyDescent="0.25">
      <c r="A4133">
        <v>21300914</v>
      </c>
      <c r="B4133">
        <v>2013</v>
      </c>
      <c r="C4133" t="s">
        <v>32</v>
      </c>
      <c r="D4133" t="s">
        <v>29</v>
      </c>
      <c r="E4133">
        <v>5</v>
      </c>
      <c r="F4133">
        <v>2</v>
      </c>
      <c r="G4133">
        <v>1</v>
      </c>
      <c r="H4133" s="1">
        <v>7.1527777777777779E-3</v>
      </c>
      <c r="I4133" t="s">
        <v>18</v>
      </c>
      <c r="J4133" s="2" t="str">
        <f>HYPERLINK("https://www.nba.com/stats/events?CFID=&amp;CFPARAMS=&amp;GameEventID=14&amp;GameID=0021300914&amp;Season=2013-14&amp;flag=1&amp;title=Leonard%2012'%20Pullup%20Jump%20Shot%20(2%20PTS)%20(Parker%202%20AST)", "Leonard 12' Pullup Jump Shot (2 PTS) (Parker 2 AST)")</f>
        <v>Leonard 12' Pullup Jump Shot (2 PTS) (Parker 2 AST)</v>
      </c>
      <c r="K4133" s="2" t="str">
        <f>HYPERLINK("https://www.nba.com/game/...-vs-...-0021300914/play-by-play?watchFullGame=true", "SAS vs MIA - Q1 10:18.00")</f>
        <v>SAS vs MIA - Q1 10:18.00</v>
      </c>
      <c r="L4133">
        <v>12</v>
      </c>
      <c r="M4133">
        <v>116</v>
      </c>
      <c r="N4133">
        <v>42</v>
      </c>
      <c r="O4133">
        <v>116</v>
      </c>
      <c r="P4133">
        <v>42</v>
      </c>
    </row>
    <row r="4134" spans="1:16" x14ac:dyDescent="0.25">
      <c r="A4134">
        <v>21400291</v>
      </c>
      <c r="B4134">
        <v>2014</v>
      </c>
      <c r="C4134" t="s">
        <v>32</v>
      </c>
      <c r="D4134" t="s">
        <v>29</v>
      </c>
      <c r="E4134">
        <v>87</v>
      </c>
      <c r="F4134">
        <v>63</v>
      </c>
      <c r="G4134">
        <v>3</v>
      </c>
      <c r="H4134" s="1">
        <v>3.5995370370370369E-3</v>
      </c>
      <c r="I4134" t="s">
        <v>18</v>
      </c>
      <c r="J4134" s="2" t="str">
        <f>HYPERLINK("https://www.nba.com/stats/events?CFID=&amp;CFPARAMS=&amp;GameEventID=347&amp;GameID=0021400291&amp;Season=2014-15&amp;flag=1&amp;title=Leonard%2013'%20Pullup%20Jump%20Shot%20(18%20PTS)", "Leonard 13' Pullup Jump Shot (18 PTS)")</f>
        <v>Leonard 13' Pullup Jump Shot (18 PTS)</v>
      </c>
      <c r="K4134" s="2" t="str">
        <f>HYPERLINK("https://www.nba.com/game/...-vs-...-0021400291/play-by-play?watchFullGame=true", "SAS vs MIN - Q3 05:11.00")</f>
        <v>SAS vs MIN - Q3 05:11.00</v>
      </c>
      <c r="L4134">
        <v>13</v>
      </c>
      <c r="M4134">
        <v>116</v>
      </c>
      <c r="N4134">
        <v>56</v>
      </c>
      <c r="O4134">
        <v>116</v>
      </c>
      <c r="P4134">
        <v>56</v>
      </c>
    </row>
    <row r="4135" spans="1:16" x14ac:dyDescent="0.25">
      <c r="A4135">
        <v>22000130</v>
      </c>
      <c r="B4135">
        <v>2020</v>
      </c>
      <c r="C4135" t="s">
        <v>32</v>
      </c>
      <c r="D4135" t="s">
        <v>19</v>
      </c>
      <c r="E4135">
        <v>63</v>
      </c>
      <c r="F4135">
        <v>83</v>
      </c>
      <c r="G4135">
        <v>3</v>
      </c>
      <c r="H4135" s="1">
        <v>2.5231481481481481E-3</v>
      </c>
      <c r="I4135" t="s">
        <v>23</v>
      </c>
      <c r="J4135" s="2" t="str">
        <f>HYPERLINK("https://www.nba.com/stats/events?CFID=&amp;CFPARAMS=&amp;GameEventID=436&amp;GameID=0022000130&amp;Season=2020-21&amp;flag=1&amp;title=Leonard%2018'%20pullup%20Jump%20Shot%20(18%20PTS)", "18' pullup Jump Shot (18 PTS)")</f>
        <v>18' pullup Jump Shot (18 PTS)</v>
      </c>
      <c r="K4135" s="2" t="str">
        <f>HYPERLINK("https://www.nba.com/game/...-vs-...-0022000130/play-by-play?watchFullGame=true", "LAC vs GSW - Q3 03:38.00")</f>
        <v>LAC vs GSW - Q3 03:38.00</v>
      </c>
      <c r="L4135">
        <v>18.3</v>
      </c>
      <c r="M4135">
        <v>79.319999999999993</v>
      </c>
      <c r="N4135">
        <v>73.11</v>
      </c>
      <c r="O4135">
        <v>116</v>
      </c>
      <c r="P4135">
        <v>142</v>
      </c>
    </row>
    <row r="4136" spans="1:16" x14ac:dyDescent="0.25">
      <c r="A4136">
        <v>22200352</v>
      </c>
      <c r="B4136">
        <v>2022</v>
      </c>
      <c r="C4136" t="s">
        <v>32</v>
      </c>
      <c r="D4136" t="s">
        <v>19</v>
      </c>
      <c r="E4136">
        <v>42</v>
      </c>
      <c r="F4136">
        <v>55</v>
      </c>
      <c r="G4136">
        <v>2</v>
      </c>
      <c r="H4136" s="1">
        <v>3.2060185185185186E-3</v>
      </c>
      <c r="I4136" t="s">
        <v>23</v>
      </c>
      <c r="J4136" s="2" t="str">
        <f>HYPERLINK("https://www.nba.com/stats/events?CFID=&amp;CFPARAMS=&amp;GameEventID=272&amp;GameID=0022200352&amp;Season=2022-23&amp;flag=1&amp;title=Leonard%2019'%20step%20back%20Jump%20Shot%20(6%20PTS)%20(P.%20George%207%20AST)", "19' step back Jump Shot (6 PTS) (P. George 7 AST)")</f>
        <v>19' step back Jump Shot (6 PTS) (P. George 7 AST)</v>
      </c>
      <c r="K4136" s="2" t="str">
        <f>HYPERLINK("https://www.nba.com/game/...-vs-...-0022200352/play-by-play?watchFullGame=true", "LAC vs CHA - Q2 04:37.00")</f>
        <v>LAC vs CHA - Q2 04:37.00</v>
      </c>
      <c r="L4136">
        <v>19.03</v>
      </c>
      <c r="M4136">
        <v>78.400000000000006</v>
      </c>
      <c r="N4136">
        <v>73.28</v>
      </c>
      <c r="O4136">
        <v>116</v>
      </c>
      <c r="P4136">
        <v>151</v>
      </c>
    </row>
    <row r="4137" spans="1:16" x14ac:dyDescent="0.25">
      <c r="A4137">
        <v>22000576</v>
      </c>
      <c r="B4137">
        <v>2020</v>
      </c>
      <c r="C4137" t="s">
        <v>16</v>
      </c>
      <c r="D4137" t="s">
        <v>19</v>
      </c>
      <c r="E4137">
        <v>28</v>
      </c>
      <c r="F4137">
        <v>25</v>
      </c>
      <c r="G4137">
        <v>1</v>
      </c>
      <c r="H4137" s="1">
        <v>4.9768518518518516E-5</v>
      </c>
      <c r="I4137" t="s">
        <v>23</v>
      </c>
      <c r="J4137" s="2" t="str">
        <f>HYPERLINK("https://www.nba.com/stats/events?CFID=&amp;CFPARAMS=&amp;GameEventID=153&amp;GameID=0022000576&amp;Season=2020-21&amp;flag=1&amp;title=Leonard%2026'%203PT%20%20(14%20PTS)%20(L.%20Williams%201%20AST)", "26' 3PT  (14 PTS) (L. Williams 1 AST)")</f>
        <v>26' 3PT  (14 PTS) (L. Williams 1 AST)</v>
      </c>
      <c r="K4137" s="2" t="str">
        <f>HYPERLINK("https://www.nba.com/game/...-vs-...-0022000576/play-by-play?watchFullGame=true", "LAC vs GSW - Q1 00:04.30")</f>
        <v>LAC vs GSW - Q1 00:04.30</v>
      </c>
      <c r="L4137">
        <v>26.14</v>
      </c>
      <c r="M4137">
        <v>69.459999999999994</v>
      </c>
      <c r="N4137">
        <v>73.11</v>
      </c>
      <c r="O4137">
        <v>116</v>
      </c>
      <c r="P4137">
        <v>235</v>
      </c>
    </row>
    <row r="4138" spans="1:16" x14ac:dyDescent="0.25">
      <c r="A4138">
        <v>22201041</v>
      </c>
      <c r="B4138">
        <v>2022</v>
      </c>
      <c r="C4138" t="s">
        <v>16</v>
      </c>
      <c r="D4138" t="s">
        <v>19</v>
      </c>
      <c r="E4138">
        <v>91</v>
      </c>
      <c r="F4138">
        <v>86</v>
      </c>
      <c r="G4138">
        <v>3</v>
      </c>
      <c r="H4138" s="1">
        <v>1.3657407407407407E-3</v>
      </c>
      <c r="I4138" t="s">
        <v>23</v>
      </c>
      <c r="J4138" s="2" t="str">
        <f>HYPERLINK("https://www.nba.com/stats/events?CFID=&amp;CFPARAMS=&amp;GameEventID=448&amp;GameID=0022201041&amp;Season=2022-23&amp;flag=1&amp;title=Leonard%2026'%203PT%20%20(25%20PTS)%20(I.%20Zubac%202%20AST)", "26' 3PT  (25 PTS) (I. Zubac 2 AST)")</f>
        <v>26' 3PT  (25 PTS) (I. Zubac 2 AST)</v>
      </c>
      <c r="K4138" s="2" t="str">
        <f>HYPERLINK("https://www.nba.com/game/...-vs-...-0022201041/play-by-play?watchFullGame=true", "LAC vs GSW - Q3 01:58.00")</f>
        <v>LAC vs GSW - Q3 01:58.00</v>
      </c>
      <c r="L4138">
        <v>26.76</v>
      </c>
      <c r="M4138">
        <v>68.77</v>
      </c>
      <c r="N4138">
        <v>73.28</v>
      </c>
      <c r="O4138">
        <v>116</v>
      </c>
      <c r="P4138">
        <v>241</v>
      </c>
    </row>
    <row r="4139" spans="1:16" x14ac:dyDescent="0.25">
      <c r="A4139">
        <v>21900035</v>
      </c>
      <c r="B4139">
        <v>2019</v>
      </c>
      <c r="C4139" t="s">
        <v>32</v>
      </c>
      <c r="D4139" t="s">
        <v>22</v>
      </c>
      <c r="E4139">
        <v>105</v>
      </c>
      <c r="F4139">
        <v>98</v>
      </c>
      <c r="G4139">
        <v>4</v>
      </c>
      <c r="H4139" s="1">
        <v>5.1041666666666666E-3</v>
      </c>
      <c r="I4139" t="s">
        <v>23</v>
      </c>
      <c r="J4139" s="2" t="str">
        <f>HYPERLINK("https://www.nba.com/stats/events?CFID=&amp;CFPARAMS=&amp;GameEventID=641&amp;GameID=0021900035&amp;Season=2019-20&amp;flag=1&amp;title=[LAC]%20Leonard%20jumpshot:%20Made%20(19%20PTS)", "[LAC] Leonard jumpshot: Made (19 PTS)")</f>
        <v>[LAC] Leonard jumpshot: Made (19 PTS)</v>
      </c>
      <c r="K4139" s="2" t="str">
        <f>HYPERLINK("https://www.nba.com/game/...-vs-...-0021900035/play-by-play?watchFullGame=true", "LAC vs PHX - Q4 07:21.00")</f>
        <v>LAC vs PHX - Q4 07:21.00</v>
      </c>
      <c r="L4139">
        <v>16.41</v>
      </c>
      <c r="M4139">
        <v>82.74</v>
      </c>
      <c r="N4139">
        <v>73.349999999999994</v>
      </c>
      <c r="O4139">
        <v>117</v>
      </c>
      <c r="P4139">
        <v>110</v>
      </c>
    </row>
    <row r="4140" spans="1:16" x14ac:dyDescent="0.25">
      <c r="A4140">
        <v>21500342</v>
      </c>
      <c r="B4140">
        <v>2015</v>
      </c>
      <c r="C4140" t="s">
        <v>32</v>
      </c>
      <c r="D4140" t="s">
        <v>29</v>
      </c>
      <c r="E4140">
        <v>72</v>
      </c>
      <c r="F4140">
        <v>55</v>
      </c>
      <c r="G4140">
        <v>3</v>
      </c>
      <c r="H4140" s="1">
        <v>3.2754629629629631E-3</v>
      </c>
      <c r="I4140" t="s">
        <v>18</v>
      </c>
      <c r="J4140" s="2" t="str">
        <f>HYPERLINK("https://www.nba.com/stats/events?CFID=&amp;CFPARAMS=&amp;GameEventID=315&amp;GameID=0021500342&amp;Season=2015-16&amp;flag=1&amp;title=Leonard%2018'%20Pullup%20Jump%20Shot%20(16%20PTS)", "Leonard 18' Pullup Jump Shot (16 PTS)")</f>
        <v>Leonard 18' Pullup Jump Shot (16 PTS)</v>
      </c>
      <c r="K4140" s="2" t="str">
        <f>HYPERLINK("https://www.nba.com/game/...-vs-...-0021500342/play-by-play?watchFullGame=true", "SAS vs LAL - Q3 04:43.00")</f>
        <v>SAS vs LAL - Q3 04:43.00</v>
      </c>
      <c r="L4140">
        <v>18</v>
      </c>
      <c r="M4140">
        <v>117</v>
      </c>
      <c r="N4140">
        <v>134</v>
      </c>
      <c r="O4140">
        <v>117</v>
      </c>
      <c r="P4140">
        <v>134</v>
      </c>
    </row>
    <row r="4141" spans="1:16" x14ac:dyDescent="0.25">
      <c r="A4141">
        <v>21601151</v>
      </c>
      <c r="B4141">
        <v>2016</v>
      </c>
      <c r="C4141" t="s">
        <v>32</v>
      </c>
      <c r="D4141" t="s">
        <v>29</v>
      </c>
      <c r="E4141">
        <v>17</v>
      </c>
      <c r="F4141">
        <v>11</v>
      </c>
      <c r="G4141">
        <v>1</v>
      </c>
      <c r="H4141" s="1">
        <v>4.1319444444444442E-3</v>
      </c>
      <c r="I4141" t="s">
        <v>18</v>
      </c>
      <c r="J4141" s="2" t="str">
        <f>HYPERLINK("https://www.nba.com/stats/events?CFID=&amp;CFPARAMS=&amp;GameEventID=46&amp;GameID=0021601151&amp;Season=2016-17&amp;flag=1&amp;title=Leonard%2019'%20Pullup%20Jump%20Shot%20(4%20PTS)%20(Parker%201%20AST)", "Leonard 19' Pullup Jump Shot (4 PTS) (Parker 1 AST)")</f>
        <v>Leonard 19' Pullup Jump Shot (4 PTS) (Parker 1 AST)</v>
      </c>
      <c r="K4141" s="2" t="str">
        <f>HYPERLINK("https://www.nba.com/game/...-vs-...-0021601151/play-by-play?watchFullGame=true", "SAS vs UTA - Q1 05:57.00")</f>
        <v>SAS vs UTA - Q1 05:57.00</v>
      </c>
      <c r="L4141">
        <v>19</v>
      </c>
      <c r="M4141">
        <v>117</v>
      </c>
      <c r="N4141">
        <v>149</v>
      </c>
      <c r="O4141">
        <v>117</v>
      </c>
      <c r="P4141">
        <v>149</v>
      </c>
    </row>
    <row r="4142" spans="1:16" x14ac:dyDescent="0.25">
      <c r="A4142">
        <v>21500296</v>
      </c>
      <c r="B4142">
        <v>2015</v>
      </c>
      <c r="C4142" t="s">
        <v>32</v>
      </c>
      <c r="D4142" t="s">
        <v>19</v>
      </c>
      <c r="E4142">
        <v>64</v>
      </c>
      <c r="F4142">
        <v>56</v>
      </c>
      <c r="G4142">
        <v>3</v>
      </c>
      <c r="H4142" s="1">
        <v>6.076388888888889E-3</v>
      </c>
      <c r="I4142" t="s">
        <v>18</v>
      </c>
      <c r="J4142" s="2" t="str">
        <f>HYPERLINK("https://www.nba.com/stats/events?CFID=&amp;CFPARAMS=&amp;GameEventID=252&amp;GameID=0021500296&amp;Season=2015-16&amp;flag=1&amp;title=Leonard%2020'%20Jump%20Shot%20(8%20PTS)%20(Duncan%202%20AST)", "Leonard 20' Jump Shot (8 PTS) (Duncan 2 AST)")</f>
        <v>Leonard 20' Jump Shot (8 PTS) (Duncan 2 AST)</v>
      </c>
      <c r="K4142" s="2" t="str">
        <f>HYPERLINK("https://www.nba.com/game/...-vs-...-0021500296/play-by-play?watchFullGame=true", "SAS vs BOS - Q3 08:45.00")</f>
        <v>SAS vs BOS - Q3 08:45.00</v>
      </c>
      <c r="L4142">
        <v>20</v>
      </c>
      <c r="M4142">
        <v>117</v>
      </c>
      <c r="N4142">
        <v>164</v>
      </c>
      <c r="O4142">
        <v>117</v>
      </c>
      <c r="P4142">
        <v>164</v>
      </c>
    </row>
    <row r="4143" spans="1:16" x14ac:dyDescent="0.25">
      <c r="A4143">
        <v>22000224</v>
      </c>
      <c r="B4143">
        <v>2020</v>
      </c>
      <c r="C4143" t="s">
        <v>16</v>
      </c>
      <c r="D4143" t="s">
        <v>19</v>
      </c>
      <c r="E4143">
        <v>61</v>
      </c>
      <c r="F4143">
        <v>53</v>
      </c>
      <c r="G4143">
        <v>2</v>
      </c>
      <c r="H4143" s="1">
        <v>3.1597222222222221E-4</v>
      </c>
      <c r="I4143" t="s">
        <v>23</v>
      </c>
      <c r="J4143" s="2" t="str">
        <f>HYPERLINK("https://www.nba.com/stats/events?CFID=&amp;CFPARAMS=&amp;GameEventID=310&amp;GameID=0022000224&amp;Season=2020-21&amp;flag=1&amp;title=Leonard%2025'%203PT%20running%20pullup%20(16%20PTS)", "25' 3PT running pullup (16 PTS)")</f>
        <v>25' 3PT running pullup (16 PTS)</v>
      </c>
      <c r="K4143" s="2" t="str">
        <f>HYPERLINK("https://www.nba.com/game/...-vs-...-0022000224/play-by-play?watchFullGame=true", "LAC vs SAC - Q2 00:27.30")</f>
        <v>LAC vs SAC - Q2 00:27.30</v>
      </c>
      <c r="L4143">
        <v>25.98</v>
      </c>
      <c r="M4143">
        <v>69.73</v>
      </c>
      <c r="N4143">
        <v>73.349999999999994</v>
      </c>
      <c r="O4143">
        <v>117</v>
      </c>
      <c r="P4143">
        <v>232</v>
      </c>
    </row>
    <row r="4144" spans="1:16" x14ac:dyDescent="0.25">
      <c r="A4144">
        <v>21300888</v>
      </c>
      <c r="B4144">
        <v>2013</v>
      </c>
      <c r="C4144" t="s">
        <v>32</v>
      </c>
      <c r="D4144" t="s">
        <v>19</v>
      </c>
      <c r="E4144">
        <v>14</v>
      </c>
      <c r="F4144">
        <v>8</v>
      </c>
      <c r="G4144">
        <v>1</v>
      </c>
      <c r="H4144" s="1">
        <v>3.460648148148148E-3</v>
      </c>
      <c r="I4144" t="s">
        <v>18</v>
      </c>
      <c r="J4144" s="2" t="str">
        <f>HYPERLINK("https://www.nba.com/stats/events?CFID=&amp;CFPARAMS=&amp;GameEventID=65&amp;GameID=0021300888&amp;Season=2013-14&amp;flag=1&amp;title=Leonard%2012'%20Jump%20Shot%20(5%20PTS)%20(Ginobili%201%20AST)", "Leonard 12' Jump Shot (5 PTS) (Ginobili 1 AST)")</f>
        <v>Leonard 12' Jump Shot (5 PTS) (Ginobili 1 AST)</v>
      </c>
      <c r="K4144" s="2" t="str">
        <f>HYPERLINK("https://www.nba.com/game/...-vs-...-0021300888/play-by-play?watchFullGame=true", "SAS vs DAL - Q1 04:59.00")</f>
        <v>SAS vs DAL - Q1 04:59.00</v>
      </c>
      <c r="L4144">
        <v>12</v>
      </c>
      <c r="M4144">
        <v>118</v>
      </c>
      <c r="N4144">
        <v>-3</v>
      </c>
      <c r="O4144">
        <v>118</v>
      </c>
      <c r="P4144">
        <v>-3</v>
      </c>
    </row>
    <row r="4145" spans="1:16" x14ac:dyDescent="0.25">
      <c r="A4145">
        <v>21901307</v>
      </c>
      <c r="B4145">
        <v>2019</v>
      </c>
      <c r="C4145" t="s">
        <v>32</v>
      </c>
      <c r="D4145" t="s">
        <v>22</v>
      </c>
      <c r="E4145">
        <v>58</v>
      </c>
      <c r="F4145">
        <v>52</v>
      </c>
      <c r="G4145">
        <v>3</v>
      </c>
      <c r="H4145" s="1">
        <v>8.0902777777777778E-3</v>
      </c>
      <c r="I4145" t="s">
        <v>23</v>
      </c>
      <c r="J4145" s="2" t="str">
        <f>HYPERLINK("https://www.nba.com/stats/events?CFID=&amp;CFPARAMS=&amp;GameEventID=327&amp;GameID=0021901307&amp;Season=2019-20&amp;flag=1&amp;title=Leonard%2012'%20jumpshot%20(16%20PTS)%20(M.%20Morris%20Sr.%202%20AST)", "12' jumpshot (16 PTS) (M. Morris Sr. 2 AST)")</f>
        <v>12' jumpshot (16 PTS) (M. Morris Sr. 2 AST)</v>
      </c>
      <c r="K4145" s="2" t="str">
        <f>HYPERLINK("https://www.nba.com/game/...-vs-...-0021901307/play-by-play?watchFullGame=true", "LAC vs DEN - Q3 11:39.00")</f>
        <v>LAC vs DEN - Q3 11:39.00</v>
      </c>
      <c r="L4145">
        <v>11.93</v>
      </c>
      <c r="M4145">
        <v>93.12</v>
      </c>
      <c r="N4145">
        <v>73.599999999999994</v>
      </c>
      <c r="O4145">
        <v>118</v>
      </c>
      <c r="P4145">
        <v>12</v>
      </c>
    </row>
    <row r="4146" spans="1:16" x14ac:dyDescent="0.25">
      <c r="A4146">
        <v>22300179</v>
      </c>
      <c r="B4146">
        <v>2023</v>
      </c>
      <c r="C4146" t="s">
        <v>32</v>
      </c>
      <c r="D4146" t="s">
        <v>19</v>
      </c>
      <c r="E4146">
        <v>59</v>
      </c>
      <c r="F4146">
        <v>69</v>
      </c>
      <c r="G4146">
        <v>3</v>
      </c>
      <c r="H4146" s="1">
        <v>3.5648148148148149E-3</v>
      </c>
      <c r="I4146" t="s">
        <v>23</v>
      </c>
      <c r="J4146" s="2" t="str">
        <f>HYPERLINK("https://www.nba.com/stats/events?CFID=&amp;CFPARAMS=&amp;GameEventID=467&amp;GameID=0022300179&amp;Season=2023-24&amp;flag=1&amp;title=Leonard%2019'%20Jump%20Shot%20(12%20PTS)", "19' Jump Shot (12 PTS)")</f>
        <v>19' Jump Shot (12 PTS)</v>
      </c>
      <c r="K4146" s="2" t="str">
        <f>HYPERLINK("https://www.nba.com/game/...-vs-...-0022300179/play-by-play?watchFullGame=true", "LAC vs MEM - Q3 05:08.00")</f>
        <v>LAC vs MEM - Q3 05:08.00</v>
      </c>
      <c r="L4146">
        <v>19.72</v>
      </c>
      <c r="M4146">
        <v>77.58</v>
      </c>
      <c r="N4146">
        <v>73.53</v>
      </c>
      <c r="O4146">
        <v>118</v>
      </c>
      <c r="P4146">
        <v>158</v>
      </c>
    </row>
    <row r="4147" spans="1:16" x14ac:dyDescent="0.25">
      <c r="A4147">
        <v>22000788</v>
      </c>
      <c r="B4147">
        <v>2020</v>
      </c>
      <c r="C4147" t="s">
        <v>16</v>
      </c>
      <c r="D4147" t="s">
        <v>19</v>
      </c>
      <c r="E4147">
        <v>79</v>
      </c>
      <c r="F4147">
        <v>77</v>
      </c>
      <c r="G4147">
        <v>3</v>
      </c>
      <c r="H4147" s="1">
        <v>1.0185185185185184E-3</v>
      </c>
      <c r="I4147" t="s">
        <v>23</v>
      </c>
      <c r="J4147" s="2" t="str">
        <f>HYPERLINK("https://www.nba.com/stats/events?CFID=&amp;CFPARAMS=&amp;GameEventID=403&amp;GameID=0022000788&amp;Season=2020-21&amp;flag=1&amp;title=Leonard%2025'%203PT%20%20(20%20PTS)%20(R.%20Rondo%205%20AST)", "25' 3PT  (20 PTS) (R. Rondo 5 AST)")</f>
        <v>25' 3PT  (20 PTS) (R. Rondo 5 AST)</v>
      </c>
      <c r="K4147" s="2" t="str">
        <f>HYPERLINK("https://www.nba.com/game/...-vs-...-0022000788/play-by-play?watchFullGame=true", "LAC vs PHX - Q3 01:28.00")</f>
        <v>LAC vs PHX - Q3 01:28.00</v>
      </c>
      <c r="L4147">
        <v>25.92</v>
      </c>
      <c r="M4147">
        <v>69.86</v>
      </c>
      <c r="N4147">
        <v>73.599999999999994</v>
      </c>
      <c r="O4147">
        <v>118</v>
      </c>
      <c r="P4147">
        <v>231</v>
      </c>
    </row>
    <row r="4148" spans="1:16" x14ac:dyDescent="0.25">
      <c r="A4148">
        <v>21500939</v>
      </c>
      <c r="B4148">
        <v>2015</v>
      </c>
      <c r="C4148" t="s">
        <v>32</v>
      </c>
      <c r="D4148" t="s">
        <v>41</v>
      </c>
      <c r="E4148">
        <v>86</v>
      </c>
      <c r="F4148">
        <v>78</v>
      </c>
      <c r="G4148">
        <v>4</v>
      </c>
      <c r="H4148" s="1">
        <v>4.3287037037037035E-3</v>
      </c>
      <c r="I4148" t="s">
        <v>18</v>
      </c>
      <c r="J4148" s="2" t="str">
        <f>HYPERLINK("https://www.nba.com/stats/events?CFID=&amp;CFPARAMS=&amp;GameEventID=444&amp;GameID=0021500939&amp;Season=2015-16&amp;flag=1&amp;title=Leonard%2012'%20Turnaround%20Bank%20Shot%20(18%20PTS)", "Leonard 12' Turnaround Bank Shot (18 PTS)")</f>
        <v>Leonard 12' Turnaround Bank Shot (18 PTS)</v>
      </c>
      <c r="K4148" s="2" t="str">
        <f>HYPERLINK("https://www.nba.com/game/...-vs-...-0021500939/play-by-play?watchFullGame=true", "SAS vs IND - Q4 06:14.00")</f>
        <v>SAS vs IND - Q4 06:14.00</v>
      </c>
      <c r="L4148">
        <v>12</v>
      </c>
      <c r="M4148">
        <v>119</v>
      </c>
      <c r="N4148">
        <v>3</v>
      </c>
      <c r="O4148">
        <v>119</v>
      </c>
      <c r="P4148">
        <v>3</v>
      </c>
    </row>
    <row r="4149" spans="1:16" x14ac:dyDescent="0.25">
      <c r="A4149">
        <v>22200766</v>
      </c>
      <c r="B4149">
        <v>2022</v>
      </c>
      <c r="C4149" t="s">
        <v>32</v>
      </c>
      <c r="D4149" t="s">
        <v>19</v>
      </c>
      <c r="E4149">
        <v>69</v>
      </c>
      <c r="F4149">
        <v>69</v>
      </c>
      <c r="G4149">
        <v>3</v>
      </c>
      <c r="H4149" s="1">
        <v>4.178240740740741E-3</v>
      </c>
      <c r="I4149" t="s">
        <v>23</v>
      </c>
      <c r="J4149" s="2" t="str">
        <f>HYPERLINK("https://www.nba.com/stats/events?CFID=&amp;CFPARAMS=&amp;GameEventID=386&amp;GameID=0022200766&amp;Season=2022-23&amp;flag=1&amp;title=Leonard%2011'%20pullup%20Jump%20Shot%20(17%20PTS)", "11' pullup Jump Shot (17 PTS)")</f>
        <v>11' pullup Jump Shot (17 PTS)</v>
      </c>
      <c r="K4149" s="2" t="str">
        <f>HYPERLINK("https://www.nba.com/game/...-vs-...-0022200766/play-by-play?watchFullGame=true", "LAC vs CHI - Q3 06:01.00")</f>
        <v>LAC vs CHI - Q3 06:01.00</v>
      </c>
      <c r="L4149">
        <v>11.92</v>
      </c>
      <c r="M4149">
        <v>93.51</v>
      </c>
      <c r="N4149">
        <v>73.77</v>
      </c>
      <c r="O4149">
        <v>119</v>
      </c>
      <c r="P4149">
        <v>8</v>
      </c>
    </row>
    <row r="4150" spans="1:16" x14ac:dyDescent="0.25">
      <c r="A4150">
        <v>21600817</v>
      </c>
      <c r="B4150">
        <v>2016</v>
      </c>
      <c r="C4150" t="s">
        <v>32</v>
      </c>
      <c r="D4150" t="s">
        <v>29</v>
      </c>
      <c r="E4150">
        <v>51</v>
      </c>
      <c r="F4150">
        <v>50</v>
      </c>
      <c r="G4150">
        <v>3</v>
      </c>
      <c r="H4150" s="1">
        <v>5.3935185185185188E-3</v>
      </c>
      <c r="I4150" t="s">
        <v>18</v>
      </c>
      <c r="J4150" s="2" t="str">
        <f>HYPERLINK("https://www.nba.com/stats/events?CFID=&amp;CFPARAMS=&amp;GameEventID=272&amp;GameID=0021600817&amp;Season=2016-17&amp;flag=1&amp;title=Leonard%2014'%20Pullup%20Jump%20Shot%20(16%20PTS)", "Leonard 14' Pullup Jump Shot (16 PTS)")</f>
        <v>Leonard 14' Pullup Jump Shot (16 PTS)</v>
      </c>
      <c r="K4150" s="2" t="str">
        <f>HYPERLINK("https://www.nba.com/game/...-vs-...-0021600817/play-by-play?watchFullGame=true", "SAS vs NYK - Q3 07:46.00")</f>
        <v>SAS vs NYK - Q3 07:46.00</v>
      </c>
      <c r="L4150">
        <v>14</v>
      </c>
      <c r="M4150">
        <v>119</v>
      </c>
      <c r="N4150">
        <v>65</v>
      </c>
      <c r="O4150">
        <v>119</v>
      </c>
      <c r="P4150">
        <v>65</v>
      </c>
    </row>
    <row r="4151" spans="1:16" x14ac:dyDescent="0.25">
      <c r="A4151">
        <v>21600319</v>
      </c>
      <c r="B4151">
        <v>2016</v>
      </c>
      <c r="C4151" t="s">
        <v>32</v>
      </c>
      <c r="D4151" t="s">
        <v>33</v>
      </c>
      <c r="E4151">
        <v>36</v>
      </c>
      <c r="F4151">
        <v>32</v>
      </c>
      <c r="G4151">
        <v>2</v>
      </c>
      <c r="H4151" s="1">
        <v>5.0347222222222225E-3</v>
      </c>
      <c r="I4151" t="s">
        <v>18</v>
      </c>
      <c r="J4151" s="2" t="str">
        <f>HYPERLINK("https://www.nba.com/stats/events?CFID=&amp;CFPARAMS=&amp;GameEventID=151&amp;GameID=0021600319&amp;Season=2016-17&amp;flag=1&amp;title=Leonard%2015'%20Fadeaway%20Jumper%20(6%20PTS)%20(Laprovittola%201%20AST)", "Leonard 15' Fadeaway Jumper (6 PTS) (Laprovittola 1 AST)")</f>
        <v>Leonard 15' Fadeaway Jumper (6 PTS) (Laprovittola 1 AST)</v>
      </c>
      <c r="K4151" s="2" t="str">
        <f>HYPERLINK("https://www.nba.com/game/...-vs-...-0021600319/play-by-play?watchFullGame=true", "SAS vs MIN - Q2 07:15.00")</f>
        <v>SAS vs MIN - Q2 07:15.00</v>
      </c>
      <c r="L4151">
        <v>15</v>
      </c>
      <c r="M4151">
        <v>119</v>
      </c>
      <c r="N4151">
        <v>95</v>
      </c>
      <c r="O4151">
        <v>119</v>
      </c>
      <c r="P4151">
        <v>95</v>
      </c>
    </row>
    <row r="4152" spans="1:16" x14ac:dyDescent="0.25">
      <c r="A4152">
        <v>21300100</v>
      </c>
      <c r="B4152">
        <v>2013</v>
      </c>
      <c r="C4152" t="s">
        <v>32</v>
      </c>
      <c r="D4152" t="s">
        <v>29</v>
      </c>
      <c r="E4152">
        <v>46</v>
      </c>
      <c r="F4152">
        <v>71</v>
      </c>
      <c r="G4152">
        <v>3</v>
      </c>
      <c r="H4152" s="1">
        <v>4.7569444444444447E-3</v>
      </c>
      <c r="I4152" t="s">
        <v>18</v>
      </c>
      <c r="J4152" s="2" t="str">
        <f>HYPERLINK("https://www.nba.com/stats/events?CFID=&amp;CFPARAMS=&amp;GameEventID=259&amp;GameID=0021300100&amp;Season=2013-14&amp;flag=1&amp;title=Leonard%2016'%20Pullup%20Jump%20Shot%20(11%20PTS)", "Leonard 16' Pullup Jump Shot (11 PTS)")</f>
        <v>Leonard 16' Pullup Jump Shot (11 PTS)</v>
      </c>
      <c r="K4152" s="2" t="str">
        <f>HYPERLINK("https://www.nba.com/game/...-vs-...-0021300100/play-by-play?watchFullGame=true", "SAS vs PHI - Q3 06:51.00")</f>
        <v>SAS vs PHI - Q3 06:51.00</v>
      </c>
      <c r="L4152">
        <v>16</v>
      </c>
      <c r="M4152">
        <v>119</v>
      </c>
      <c r="N4152">
        <v>113</v>
      </c>
      <c r="O4152">
        <v>119</v>
      </c>
      <c r="P4152">
        <v>113</v>
      </c>
    </row>
    <row r="4153" spans="1:16" x14ac:dyDescent="0.25">
      <c r="A4153">
        <v>21500612</v>
      </c>
      <c r="B4153">
        <v>2015</v>
      </c>
      <c r="C4153" t="s">
        <v>32</v>
      </c>
      <c r="D4153" t="s">
        <v>29</v>
      </c>
      <c r="E4153">
        <v>69</v>
      </c>
      <c r="F4153">
        <v>51</v>
      </c>
      <c r="G4153">
        <v>3</v>
      </c>
      <c r="H4153" s="1">
        <v>1.724537037037037E-3</v>
      </c>
      <c r="I4153" t="s">
        <v>18</v>
      </c>
      <c r="J4153" s="2" t="str">
        <f>HYPERLINK("https://www.nba.com/stats/events?CFID=&amp;CFPARAMS=&amp;GameEventID=375&amp;GameID=0021500612&amp;Season=2015-16&amp;flag=1&amp;title=Leonard%2017'%20Pullup%20Jump%20Shot%20(15%20PTS)%20(Diaw%201%20AST)", "Leonard 17' Pullup Jump Shot (15 PTS) (Diaw 1 AST)")</f>
        <v>Leonard 17' Pullup Jump Shot (15 PTS) (Diaw 1 AST)</v>
      </c>
      <c r="K4153" s="2" t="str">
        <f>HYPERLINK("https://www.nba.com/game/...-vs-...-0021500612/play-by-play?watchFullGame=true", "SAS vs DAL - Q3 02:29.00")</f>
        <v>SAS vs DAL - Q3 02:29.00</v>
      </c>
      <c r="L4153">
        <v>17</v>
      </c>
      <c r="M4153">
        <v>119</v>
      </c>
      <c r="N4153">
        <v>115</v>
      </c>
      <c r="O4153">
        <v>119</v>
      </c>
      <c r="P4153">
        <v>115</v>
      </c>
    </row>
    <row r="4154" spans="1:16" x14ac:dyDescent="0.25">
      <c r="A4154">
        <v>21601099</v>
      </c>
      <c r="B4154">
        <v>2016</v>
      </c>
      <c r="C4154" t="s">
        <v>32</v>
      </c>
      <c r="D4154" t="s">
        <v>29</v>
      </c>
      <c r="E4154">
        <v>16</v>
      </c>
      <c r="F4154">
        <v>12</v>
      </c>
      <c r="G4154">
        <v>1</v>
      </c>
      <c r="H4154" s="1">
        <v>3.6458333333333334E-3</v>
      </c>
      <c r="I4154" t="s">
        <v>18</v>
      </c>
      <c r="J4154" s="2" t="str">
        <f>HYPERLINK("https://www.nba.com/stats/events?CFID=&amp;CFPARAMS=&amp;GameEventID=62&amp;GameID=0021601099&amp;Season=2016-17&amp;flag=1&amp;title=Leonard%2017'%20Pullup%20Jump%20Shot%20(4%20PTS)", "Leonard 17' Pullup Jump Shot (4 PTS)")</f>
        <v>Leonard 17' Pullup Jump Shot (4 PTS)</v>
      </c>
      <c r="K4154" s="2" t="str">
        <f>HYPERLINK("https://www.nba.com/game/...-vs-...-0021601099/play-by-play?watchFullGame=true", "SAS vs CLE - Q1 05:15.00")</f>
        <v>SAS vs CLE - Q1 05:15.00</v>
      </c>
      <c r="L4154">
        <v>17</v>
      </c>
      <c r="M4154">
        <v>119</v>
      </c>
      <c r="N4154">
        <v>120</v>
      </c>
      <c r="O4154">
        <v>119</v>
      </c>
      <c r="P4154">
        <v>120</v>
      </c>
    </row>
    <row r="4155" spans="1:16" x14ac:dyDescent="0.25">
      <c r="A4155">
        <v>22200719</v>
      </c>
      <c r="B4155">
        <v>2022</v>
      </c>
      <c r="C4155" t="s">
        <v>32</v>
      </c>
      <c r="D4155" t="s">
        <v>19</v>
      </c>
      <c r="E4155">
        <v>8</v>
      </c>
      <c r="F4155">
        <v>17</v>
      </c>
      <c r="G4155">
        <v>1</v>
      </c>
      <c r="H4155" s="1">
        <v>5.2314814814814811E-3</v>
      </c>
      <c r="I4155" t="s">
        <v>23</v>
      </c>
      <c r="J4155" s="2" t="str">
        <f>HYPERLINK("https://www.nba.com/stats/events?CFID=&amp;CFPARAMS=&amp;GameEventID=43&amp;GameID=0022200719&amp;Season=2022-23&amp;flag=1&amp;title=Leonard%2017'%20pullup%20Jump%20Shot%20(6%20PTS)", "17' pullup Jump Shot (6 PTS)")</f>
        <v>17' pullup Jump Shot (6 PTS)</v>
      </c>
      <c r="K4155" s="2" t="str">
        <f>HYPERLINK("https://www.nba.com/game/...-vs-...-0022200719/play-by-play?watchFullGame=true", "LAC vs LAL - Q1 07:32.00")</f>
        <v>LAC vs LAL - Q1 07:32.00</v>
      </c>
      <c r="L4155">
        <v>17.7</v>
      </c>
      <c r="M4155">
        <v>80.47</v>
      </c>
      <c r="N4155">
        <v>73.77</v>
      </c>
      <c r="O4155">
        <v>119</v>
      </c>
      <c r="P4155">
        <v>131</v>
      </c>
    </row>
    <row r="4156" spans="1:16" x14ac:dyDescent="0.25">
      <c r="A4156">
        <v>21600825</v>
      </c>
      <c r="B4156">
        <v>2016</v>
      </c>
      <c r="C4156" t="s">
        <v>32</v>
      </c>
      <c r="D4156" t="s">
        <v>29</v>
      </c>
      <c r="E4156">
        <v>37</v>
      </c>
      <c r="F4156">
        <v>32</v>
      </c>
      <c r="G4156">
        <v>2</v>
      </c>
      <c r="H4156" s="1">
        <v>5.9027777777777776E-3</v>
      </c>
      <c r="I4156" t="s">
        <v>18</v>
      </c>
      <c r="J4156" s="2" t="str">
        <f>HYPERLINK("https://www.nba.com/stats/events?CFID=&amp;CFPARAMS=&amp;GameEventID=157&amp;GameID=0021600825&amp;Season=2016-17&amp;flag=1&amp;title=Leonard%2018'%20Pullup%20Jump%20Shot%20(11%20PTS)", "Leonard 18' Pullup Jump Shot (11 PTS)")</f>
        <v>Leonard 18' Pullup Jump Shot (11 PTS)</v>
      </c>
      <c r="K4156" s="2" t="str">
        <f>HYPERLINK("https://www.nba.com/game/...-vs-...-0021600825/play-by-play?watchFullGame=true", "SAS vs IND - Q2 08:30.00")</f>
        <v>SAS vs IND - Q2 08:30.00</v>
      </c>
      <c r="L4156">
        <v>18</v>
      </c>
      <c r="M4156">
        <v>119</v>
      </c>
      <c r="N4156">
        <v>134</v>
      </c>
      <c r="O4156">
        <v>119</v>
      </c>
      <c r="P4156">
        <v>134</v>
      </c>
    </row>
    <row r="4157" spans="1:16" x14ac:dyDescent="0.25">
      <c r="A4157">
        <v>22301017</v>
      </c>
      <c r="B4157">
        <v>2023</v>
      </c>
      <c r="C4157" t="s">
        <v>32</v>
      </c>
      <c r="D4157" t="s">
        <v>19</v>
      </c>
      <c r="E4157">
        <v>62</v>
      </c>
      <c r="F4157">
        <v>86</v>
      </c>
      <c r="G4157">
        <v>3</v>
      </c>
      <c r="H4157" s="1">
        <v>5.4398148148148149E-3</v>
      </c>
      <c r="I4157" t="s">
        <v>23</v>
      </c>
      <c r="J4157" s="2" t="str">
        <f>HYPERLINK("https://www.nba.com/stats/events?CFID=&amp;CFPARAMS=&amp;GameEventID=384&amp;GameID=0022301017&amp;Season=2023-24&amp;flag=1&amp;title=Leonard%2019'%20pullup%20Jump%20Shot%20(20%20PTS)%20(D.%20Theis%201%20AST)", "19' pullup Jump Shot (20 PTS) (D. Theis 1 AST)")</f>
        <v>19' pullup Jump Shot (20 PTS) (D. Theis 1 AST)</v>
      </c>
      <c r="K4157" s="2" t="str">
        <f>HYPERLINK("https://www.nba.com/game/...-vs-...-0022301017/play-by-play?watchFullGame=true", "LAC vs POR - Q3 07:50.00")</f>
        <v>LAC vs POR - Q3 07:50.00</v>
      </c>
      <c r="L4157">
        <v>19.399999999999999</v>
      </c>
      <c r="M4157">
        <v>21.9</v>
      </c>
      <c r="N4157">
        <v>26.23</v>
      </c>
      <c r="O4157">
        <v>119</v>
      </c>
      <c r="P4157">
        <v>153</v>
      </c>
    </row>
    <row r="4158" spans="1:16" x14ac:dyDescent="0.25">
      <c r="A4158">
        <v>22200525</v>
      </c>
      <c r="B4158">
        <v>2022</v>
      </c>
      <c r="C4158" t="s">
        <v>32</v>
      </c>
      <c r="D4158" t="s">
        <v>19</v>
      </c>
      <c r="E4158">
        <v>24</v>
      </c>
      <c r="F4158">
        <v>17</v>
      </c>
      <c r="G4158">
        <v>1</v>
      </c>
      <c r="H4158" s="1">
        <v>1.3425925925925925E-3</v>
      </c>
      <c r="I4158" t="s">
        <v>23</v>
      </c>
      <c r="J4158" s="2" t="str">
        <f>HYPERLINK("https://www.nba.com/stats/events?CFID=&amp;CFPARAMS=&amp;GameEventID=125&amp;GameID=0022200525&amp;Season=2022-23&amp;flag=1&amp;title=Leonard%2019'%20Jump%20Shot%20(8%20PTS)", "19' Jump Shot (8 PTS)")</f>
        <v>19' Jump Shot (8 PTS)</v>
      </c>
      <c r="K4158" s="2" t="str">
        <f>HYPERLINK("https://www.nba.com/game/...-vs-...-0022200525/play-by-play?watchFullGame=true", "LAC vs BOS - Q1 01:56.00")</f>
        <v>LAC vs BOS - Q1 01:56.00</v>
      </c>
      <c r="L4158">
        <v>19.97</v>
      </c>
      <c r="M4158">
        <v>77.349999999999994</v>
      </c>
      <c r="N4158">
        <v>73.77</v>
      </c>
      <c r="O4158">
        <v>119</v>
      </c>
      <c r="P4158">
        <v>160</v>
      </c>
    </row>
    <row r="4159" spans="1:16" x14ac:dyDescent="0.25">
      <c r="A4159">
        <v>22200918</v>
      </c>
      <c r="B4159">
        <v>2022</v>
      </c>
      <c r="C4159" t="s">
        <v>32</v>
      </c>
      <c r="D4159" t="s">
        <v>19</v>
      </c>
      <c r="E4159">
        <v>103</v>
      </c>
      <c r="F4159">
        <v>98</v>
      </c>
      <c r="G4159">
        <v>4</v>
      </c>
      <c r="H4159" s="1">
        <v>5.5092592592592589E-3</v>
      </c>
      <c r="I4159" t="s">
        <v>23</v>
      </c>
      <c r="J4159" s="2" t="str">
        <f>HYPERLINK("https://www.nba.com/stats/events?CFID=&amp;CFPARAMS=&amp;GameEventID=551&amp;GameID=0022200918&amp;Season=2022-23&amp;flag=1&amp;title=Leonard%2022'%20Jump%20Shot%20(23%20PTS)%20(P.%20George%204%20AST)", "22' Jump Shot (23 PTS) (P. George 4 AST)")</f>
        <v>22' Jump Shot (23 PTS) (P. George 4 AST)</v>
      </c>
      <c r="K4159" s="2" t="str">
        <f>HYPERLINK("https://www.nba.com/game/...-vs-...-0022200918/play-by-play?watchFullGame=true", "LAC vs DEN - Q4 07:56.00")</f>
        <v>LAC vs DEN - Q4 07:56.00</v>
      </c>
      <c r="L4159">
        <v>22.55</v>
      </c>
      <c r="M4159">
        <v>25.97</v>
      </c>
      <c r="N4159">
        <v>26.23</v>
      </c>
      <c r="O4159">
        <v>119</v>
      </c>
      <c r="P4159">
        <v>192</v>
      </c>
    </row>
    <row r="4160" spans="1:16" x14ac:dyDescent="0.25">
      <c r="A4160">
        <v>22201096</v>
      </c>
      <c r="B4160">
        <v>2022</v>
      </c>
      <c r="C4160" t="s">
        <v>16</v>
      </c>
      <c r="D4160" t="s">
        <v>19</v>
      </c>
      <c r="E4160">
        <v>86</v>
      </c>
      <c r="F4160">
        <v>78</v>
      </c>
      <c r="G4160">
        <v>3</v>
      </c>
      <c r="H4160" s="1">
        <v>9.7222222222222219E-4</v>
      </c>
      <c r="I4160" t="s">
        <v>23</v>
      </c>
      <c r="J4160" s="2" t="str">
        <f>HYPERLINK("https://www.nba.com/stats/events?CFID=&amp;CFPARAMS=&amp;GameEventID=459&amp;GameID=0022201096&amp;Season=2022-23&amp;flag=1&amp;title=Leonard%2026'%203PT%20running%20pullup%20(30%20PTS)", "26' 3PT running pullup (30 PTS)")</f>
        <v>26' 3PT running pullup (30 PTS)</v>
      </c>
      <c r="K4160" s="2" t="str">
        <f>HYPERLINK("https://www.nba.com/game/...-vs-...-0022201096/play-by-play?watchFullGame=true", "LAC vs OKC - Q3 01:24.00")</f>
        <v>LAC vs OKC - Q3 01:24.00</v>
      </c>
      <c r="L4160">
        <v>26.19</v>
      </c>
      <c r="M4160">
        <v>30.4</v>
      </c>
      <c r="N4160">
        <v>26.23</v>
      </c>
      <c r="O4160">
        <v>119</v>
      </c>
      <c r="P4160">
        <v>233</v>
      </c>
    </row>
    <row r="4161" spans="1:16" x14ac:dyDescent="0.25">
      <c r="A4161">
        <v>22000756</v>
      </c>
      <c r="B4161">
        <v>2020</v>
      </c>
      <c r="C4161" t="s">
        <v>16</v>
      </c>
      <c r="D4161" t="s">
        <v>19</v>
      </c>
      <c r="E4161">
        <v>70</v>
      </c>
      <c r="F4161">
        <v>47</v>
      </c>
      <c r="G4161">
        <v>3</v>
      </c>
      <c r="H4161" s="1">
        <v>2.8819444444444444E-3</v>
      </c>
      <c r="I4161" t="s">
        <v>23</v>
      </c>
      <c r="J4161" s="2" t="str">
        <f>HYPERLINK("https://www.nba.com/stats/events?CFID=&amp;CFPARAMS=&amp;GameEventID=429&amp;GameID=0022000756&amp;Season=2020-21&amp;flag=1&amp;title=Leonard%2026'%203PT%20pullup%20(13%20PTS)%20(R.%20Rondo%203%20AST)", "26' 3PT pullup (13 PTS) (R. Rondo 3 AST)")</f>
        <v>26' 3PT pullup (13 PTS) (R. Rondo 3 AST)</v>
      </c>
      <c r="K4161" s="2" t="str">
        <f>HYPERLINK("https://www.nba.com/game/...-vs-...-0022000756/play-by-play?watchFullGame=true", "LAC vs LAL - Q3 04:09.00")</f>
        <v>LAC vs LAL - Q3 04:09.00</v>
      </c>
      <c r="L4161">
        <v>26.63</v>
      </c>
      <c r="M4161">
        <v>30.96</v>
      </c>
      <c r="N4161">
        <v>26.29</v>
      </c>
      <c r="O4161">
        <v>119</v>
      </c>
      <c r="P4161">
        <v>239</v>
      </c>
    </row>
    <row r="4162" spans="1:16" x14ac:dyDescent="0.25">
      <c r="A4162">
        <v>21500224</v>
      </c>
      <c r="B4162">
        <v>2015</v>
      </c>
      <c r="C4162" t="s">
        <v>32</v>
      </c>
      <c r="D4162" t="s">
        <v>24</v>
      </c>
      <c r="E4162">
        <v>57</v>
      </c>
      <c r="F4162">
        <v>54</v>
      </c>
      <c r="G4162">
        <v>3</v>
      </c>
      <c r="H4162" s="1">
        <v>1.4004629629629629E-3</v>
      </c>
      <c r="I4162" t="s">
        <v>18</v>
      </c>
      <c r="J4162" s="2" t="str">
        <f>HYPERLINK("https://www.nba.com/stats/events?CFID=&amp;CFPARAMS=&amp;GameEventID=337&amp;GameID=0021500224&amp;Season=2015-16&amp;flag=1&amp;title=Leonard%2012'%20Turnaround%20Jump%20Shot%20(15%20PTS)", "Leonard 12' Turnaround Jump Shot (15 PTS)")</f>
        <v>Leonard 12' Turnaround Jump Shot (15 PTS)</v>
      </c>
      <c r="K4162" s="2" t="str">
        <f>HYPERLINK("https://www.nba.com/game/...-vs-...-0021500224/play-by-play?watchFullGame=true", "SAS vs DAL - Q3 02:01.00")</f>
        <v>SAS vs DAL - Q3 02:01.00</v>
      </c>
      <c r="L4162">
        <v>12</v>
      </c>
      <c r="M4162">
        <v>120</v>
      </c>
      <c r="N4162">
        <v>0</v>
      </c>
      <c r="O4162">
        <v>120</v>
      </c>
      <c r="P4162">
        <v>0</v>
      </c>
    </row>
    <row r="4163" spans="1:16" x14ac:dyDescent="0.25">
      <c r="A4163">
        <v>22300244</v>
      </c>
      <c r="B4163">
        <v>2023</v>
      </c>
      <c r="C4163" t="s">
        <v>32</v>
      </c>
      <c r="D4163" t="s">
        <v>19</v>
      </c>
      <c r="E4163">
        <v>89</v>
      </c>
      <c r="F4163">
        <v>72</v>
      </c>
      <c r="G4163">
        <v>4</v>
      </c>
      <c r="H4163" s="1">
        <v>5.5671296296296293E-3</v>
      </c>
      <c r="I4163" t="s">
        <v>23</v>
      </c>
      <c r="J4163" s="2" t="str">
        <f>HYPERLINK("https://www.nba.com/stats/events?CFID=&amp;CFPARAMS=&amp;GameEventID=561&amp;GameID=0022300244&amp;Season=2023-24&amp;flag=1&amp;title=Leonard%2012'%20pullup%20Jump%20Shot%20(8%20PTS)", "12' pullup Jump Shot (8 PTS)")</f>
        <v>12' pullup Jump Shot (8 PTS)</v>
      </c>
      <c r="K4163" s="2" t="str">
        <f>HYPERLINK("https://www.nba.com/game/...-vs-...-0022300244/play-by-play?watchFullGame=true", "LAC vs DAL - Q4 08:01.00")</f>
        <v>LAC vs DAL - Q4 08:01.00</v>
      </c>
      <c r="L4163">
        <v>12.28</v>
      </c>
      <c r="M4163">
        <v>8.33</v>
      </c>
      <c r="N4163">
        <v>25.98</v>
      </c>
      <c r="O4163">
        <v>120</v>
      </c>
      <c r="P4163">
        <v>26</v>
      </c>
    </row>
    <row r="4164" spans="1:16" x14ac:dyDescent="0.25">
      <c r="A4164">
        <v>22200745</v>
      </c>
      <c r="B4164">
        <v>2022</v>
      </c>
      <c r="C4164" t="s">
        <v>32</v>
      </c>
      <c r="D4164" t="s">
        <v>19</v>
      </c>
      <c r="E4164">
        <v>98</v>
      </c>
      <c r="F4164">
        <v>110</v>
      </c>
      <c r="G4164">
        <v>4</v>
      </c>
      <c r="H4164" s="1">
        <v>2.8472222222222223E-3</v>
      </c>
      <c r="I4164" t="s">
        <v>23</v>
      </c>
      <c r="J4164" s="2" t="str">
        <f>HYPERLINK("https://www.nba.com/stats/events?CFID=&amp;CFPARAMS=&amp;GameEventID=537&amp;GameID=0022200745&amp;Season=2022-23&amp;flag=1&amp;title=Leonard%2012'%20pullup%20Jump%20Shot%20(29%20PTS)", "12' pullup Jump Shot (29 PTS)")</f>
        <v>12' pullup Jump Shot (29 PTS)</v>
      </c>
      <c r="K4164" s="2" t="str">
        <f>HYPERLINK("https://www.nba.com/game/...-vs-...-0022200745/play-by-play?watchFullGame=true", "LAC vs ATL - Q4 04:06.00")</f>
        <v>LAC vs ATL - Q4 04:06.00</v>
      </c>
      <c r="L4164">
        <v>12.73</v>
      </c>
      <c r="M4164">
        <v>10.07</v>
      </c>
      <c r="N4164">
        <v>25.98</v>
      </c>
      <c r="O4164">
        <v>120</v>
      </c>
      <c r="P4164">
        <v>42</v>
      </c>
    </row>
    <row r="4165" spans="1:16" x14ac:dyDescent="0.25">
      <c r="A4165">
        <v>21401039</v>
      </c>
      <c r="B4165">
        <v>2014</v>
      </c>
      <c r="C4165" t="s">
        <v>32</v>
      </c>
      <c r="D4165" t="s">
        <v>19</v>
      </c>
      <c r="E4165">
        <v>6</v>
      </c>
      <c r="F4165">
        <v>26</v>
      </c>
      <c r="G4165">
        <v>1</v>
      </c>
      <c r="H4165" s="1">
        <v>2.8240740740740739E-3</v>
      </c>
      <c r="I4165" t="s">
        <v>18</v>
      </c>
      <c r="J4165" s="2" t="str">
        <f>HYPERLINK("https://www.nba.com/stats/events?CFID=&amp;CFPARAMS=&amp;GameEventID=103&amp;GameID=0021401039&amp;Season=2014-15&amp;flag=1&amp;title=Leonard%2013'%20Jump%20Shot%20(10%20PTS)", "Leonard 13' Jump Shot (10 PTS)")</f>
        <v>Leonard 13' Jump Shot (10 PTS)</v>
      </c>
      <c r="K4165" s="2" t="str">
        <f>HYPERLINK("https://www.nba.com/game/...-vs-...-0021401039/play-by-play?watchFullGame=true", "SAS vs ATL - Q1 04:04.00")</f>
        <v>SAS vs ATL - Q1 04:04.00</v>
      </c>
      <c r="L4165">
        <v>13</v>
      </c>
      <c r="M4165">
        <v>120</v>
      </c>
      <c r="N4165">
        <v>46</v>
      </c>
      <c r="O4165">
        <v>120</v>
      </c>
      <c r="P4165">
        <v>46</v>
      </c>
    </row>
    <row r="4166" spans="1:16" x14ac:dyDescent="0.25">
      <c r="A4166">
        <v>22000520</v>
      </c>
      <c r="B4166">
        <v>2020</v>
      </c>
      <c r="C4166" t="s">
        <v>32</v>
      </c>
      <c r="D4166" t="s">
        <v>19</v>
      </c>
      <c r="E4166">
        <v>96</v>
      </c>
      <c r="F4166">
        <v>100</v>
      </c>
      <c r="G4166">
        <v>4</v>
      </c>
      <c r="H4166" s="1">
        <v>2.7893518518518519E-3</v>
      </c>
      <c r="I4166" t="s">
        <v>23</v>
      </c>
      <c r="J4166" s="2" t="str">
        <f>HYPERLINK("https://www.nba.com/stats/events?CFID=&amp;CFPARAMS=&amp;GameEventID=577&amp;GameID=0022000520&amp;Season=2020-21&amp;flag=1&amp;title=Leonard%2013'%20Jump%20Shot%20(25%20PTS)", "13' Jump Shot (25 PTS)")</f>
        <v>13' Jump Shot (25 PTS)</v>
      </c>
      <c r="K4166" s="2" t="str">
        <f>HYPERLINK("https://www.nba.com/game/...-vs-...-0022000520/play-by-play?watchFullGame=true", "LAC vs MIL - Q4 04:01.00")</f>
        <v>LAC vs MIL - Q4 04:01.00</v>
      </c>
      <c r="L4166">
        <v>13.48</v>
      </c>
      <c r="M4166">
        <v>12.17</v>
      </c>
      <c r="N4166">
        <v>26.05</v>
      </c>
      <c r="O4166">
        <v>120</v>
      </c>
      <c r="P4166">
        <v>62</v>
      </c>
    </row>
    <row r="4167" spans="1:16" x14ac:dyDescent="0.25">
      <c r="A4167">
        <v>22400911</v>
      </c>
      <c r="B4167">
        <v>2024</v>
      </c>
      <c r="C4167" t="s">
        <v>32</v>
      </c>
      <c r="D4167" t="s">
        <v>19</v>
      </c>
      <c r="E4167">
        <v>9</v>
      </c>
      <c r="F4167">
        <v>0</v>
      </c>
      <c r="G4167">
        <v>1</v>
      </c>
      <c r="H4167" s="1">
        <v>6.030092592592593E-3</v>
      </c>
      <c r="I4167" t="s">
        <v>23</v>
      </c>
      <c r="J4167" s="2" t="str">
        <f>HYPERLINK("https://www.nba.com/stats/events?CFID=&amp;CFPARAMS=&amp;GameEventID=41&amp;GameID=0022400911&amp;Season=2024-25&amp;flag=1&amp;title=Leonard%2014'%20step%20back%20Jump%20Shot%20(2%20PTS)", "14' step back Jump Shot (2 PTS)")</f>
        <v>14' step back Jump Shot (2 PTS)</v>
      </c>
      <c r="K4167" s="2" t="str">
        <f>HYPERLINK("https://www.nba.com/game/...-vs-...-0022400911/play-by-play?watchFullGame=true", "LAC vs NYK - Q1 08:41.00")</f>
        <v>LAC vs NYK - Q1 08:41.00</v>
      </c>
      <c r="L4167">
        <v>14.22</v>
      </c>
      <c r="M4167">
        <v>86.33</v>
      </c>
      <c r="N4167">
        <v>74.040000000000006</v>
      </c>
      <c r="O4167">
        <v>120</v>
      </c>
      <c r="P4167">
        <v>76</v>
      </c>
    </row>
    <row r="4168" spans="1:16" x14ac:dyDescent="0.25">
      <c r="A4168">
        <v>21601193</v>
      </c>
      <c r="B4168">
        <v>2016</v>
      </c>
      <c r="C4168" t="s">
        <v>32</v>
      </c>
      <c r="D4168" t="s">
        <v>31</v>
      </c>
      <c r="E4168">
        <v>68</v>
      </c>
      <c r="F4168">
        <v>72</v>
      </c>
      <c r="G4168">
        <v>3</v>
      </c>
      <c r="H4168" s="1">
        <v>1.712962962962963E-3</v>
      </c>
      <c r="I4168" t="s">
        <v>18</v>
      </c>
      <c r="J4168" s="2" t="str">
        <f>HYPERLINK("https://www.nba.com/stats/events?CFID=&amp;CFPARAMS=&amp;GameEventID=332&amp;GameID=0021601193&amp;Season=2016-17&amp;flag=1&amp;title=Leonard%2015'%20Step%20Back%20Jump%20Shot%20(25%20PTS)", "Leonard 15' Step Back Jump Shot (25 PTS)")</f>
        <v>Leonard 15' Step Back Jump Shot (25 PTS)</v>
      </c>
      <c r="K4168" s="2" t="str">
        <f>HYPERLINK("https://www.nba.com/game/...-vs-...-0021601193/play-by-play?watchFullGame=true", "SAS vs LAC - Q3 02:28.00")</f>
        <v>SAS vs LAC - Q3 02:28.00</v>
      </c>
      <c r="L4168">
        <v>15</v>
      </c>
      <c r="M4168">
        <v>120</v>
      </c>
      <c r="N4168">
        <v>90</v>
      </c>
      <c r="O4168">
        <v>120</v>
      </c>
      <c r="P4168">
        <v>90</v>
      </c>
    </row>
    <row r="4169" spans="1:16" x14ac:dyDescent="0.25">
      <c r="A4169">
        <v>21900377</v>
      </c>
      <c r="B4169">
        <v>2019</v>
      </c>
      <c r="C4169" t="s">
        <v>32</v>
      </c>
      <c r="D4169" t="s">
        <v>22</v>
      </c>
      <c r="E4169">
        <v>54</v>
      </c>
      <c r="F4169">
        <v>61</v>
      </c>
      <c r="G4169">
        <v>2</v>
      </c>
      <c r="H4169" s="1">
        <v>1.2962962962962963E-3</v>
      </c>
      <c r="I4169" t="s">
        <v>23</v>
      </c>
      <c r="J4169" s="2" t="str">
        <f>HYPERLINK("https://www.nba.com/stats/events?CFID=&amp;CFPARAMS=&amp;GameEventID=310&amp;GameID=0021900377&amp;Season=2019-20&amp;flag=1&amp;title=Leonard%2018'%20jumpshot%20(27%20PTS)", "18' jumpshot (27 PTS)")</f>
        <v>18' jumpshot (27 PTS)</v>
      </c>
      <c r="K4169" s="2" t="str">
        <f>HYPERLINK("https://www.nba.com/game/...-vs-...-0021900377/play-by-play?watchFullGame=true", "LAC vs MIN - Q2 01:52.00")</f>
        <v>LAC vs MIN - Q2 01:52.00</v>
      </c>
      <c r="L4169">
        <v>18.190000000000001</v>
      </c>
      <c r="M4169">
        <v>80.5</v>
      </c>
      <c r="N4169">
        <v>74.09</v>
      </c>
      <c r="O4169">
        <v>120</v>
      </c>
      <c r="P4169">
        <v>131</v>
      </c>
    </row>
    <row r="4170" spans="1:16" x14ac:dyDescent="0.25">
      <c r="A4170">
        <v>21601135</v>
      </c>
      <c r="B4170">
        <v>2016</v>
      </c>
      <c r="C4170" t="s">
        <v>16</v>
      </c>
      <c r="D4170" t="s">
        <v>87</v>
      </c>
      <c r="E4170">
        <v>71</v>
      </c>
      <c r="F4170">
        <v>68</v>
      </c>
      <c r="G4170">
        <v>3</v>
      </c>
      <c r="H4170" s="1">
        <v>8.4490740740740739E-4</v>
      </c>
      <c r="I4170" t="s">
        <v>18</v>
      </c>
      <c r="J4170" s="2" t="str">
        <f>HYPERLINK("https://www.nba.com/stats/events?CFID=&amp;CFPARAMS=&amp;GameEventID=419&amp;GameID=0021601135&amp;Season=2016-17&amp;flag=1&amp;title=Leonard%2024'%203PT%20Running%20Pull-Up%20Jump%20Shot%20(21%20PTS)", "Leonard 24' 3PT Running Pull-Up Jump Shot (21 PTS)")</f>
        <v>Leonard 24' 3PT Running Pull-Up Jump Shot (21 PTS)</v>
      </c>
      <c r="K4170" s="2" t="str">
        <f>HYPERLINK("https://www.nba.com/game/...-vs-...-0021601135/play-by-play?watchFullGame=true", "SAS vs OKC - Q3 01:13.00")</f>
        <v>SAS vs OKC - Q3 01:13.00</v>
      </c>
      <c r="L4170">
        <v>24</v>
      </c>
      <c r="M4170">
        <v>120</v>
      </c>
      <c r="N4170">
        <v>208</v>
      </c>
      <c r="O4170">
        <v>120</v>
      </c>
      <c r="P4170">
        <v>208</v>
      </c>
    </row>
    <row r="4171" spans="1:16" x14ac:dyDescent="0.25">
      <c r="A4171">
        <v>21500156</v>
      </c>
      <c r="B4171">
        <v>2015</v>
      </c>
      <c r="C4171" t="s">
        <v>16</v>
      </c>
      <c r="D4171" t="s">
        <v>19</v>
      </c>
      <c r="E4171">
        <v>93</v>
      </c>
      <c r="F4171">
        <v>80</v>
      </c>
      <c r="G4171">
        <v>4</v>
      </c>
      <c r="H4171" s="1">
        <v>1.3194444444444446E-4</v>
      </c>
      <c r="I4171" t="s">
        <v>18</v>
      </c>
      <c r="J4171" s="2" t="str">
        <f>HYPERLINK("https://www.nba.com/stats/events?CFID=&amp;CFPARAMS=&amp;GameEventID=457&amp;GameID=0021500156&amp;Season=2015-16&amp;flag=1&amp;title=Leonard%2024'%203PT%20Jump%20Shot%20(19%20PTS)%20(Diaw%203%20AST)", "Leonard 24' 3PT Jump Shot (19 PTS) (Diaw 3 AST)")</f>
        <v>Leonard 24' 3PT Jump Shot (19 PTS) (Diaw 3 AST)</v>
      </c>
      <c r="K4171" s="2" t="str">
        <f>HYPERLINK("https://www.nba.com/game/...-vs-...-0021500156/play-by-play?watchFullGame=true", "SAS vs POR - Q4 00:11.40")</f>
        <v>SAS vs POR - Q4 00:11.40</v>
      </c>
      <c r="L4171">
        <v>24</v>
      </c>
      <c r="M4171">
        <v>120</v>
      </c>
      <c r="N4171">
        <v>213</v>
      </c>
      <c r="O4171">
        <v>120</v>
      </c>
      <c r="P4171">
        <v>213</v>
      </c>
    </row>
    <row r="4172" spans="1:16" x14ac:dyDescent="0.25">
      <c r="A4172">
        <v>21900090</v>
      </c>
      <c r="B4172">
        <v>2019</v>
      </c>
      <c r="C4172" t="s">
        <v>16</v>
      </c>
      <c r="D4172" t="s">
        <v>22</v>
      </c>
      <c r="E4172">
        <v>82</v>
      </c>
      <c r="F4172">
        <v>76</v>
      </c>
      <c r="G4172">
        <v>4</v>
      </c>
      <c r="H4172" s="1">
        <v>5.1967592592592595E-3</v>
      </c>
      <c r="I4172" t="s">
        <v>23</v>
      </c>
      <c r="J4172" s="2" t="str">
        <f>HYPERLINK("https://www.nba.com/stats/events?CFID=&amp;CFPARAMS=&amp;GameEventID=577&amp;GameID=0021900090&amp;Season=2019-20&amp;flag=1&amp;title=[LAC]%20Leonard%203pt%20shot:%20Made%20(20%20PTS)", "[LAC] Leonard 3pt shot: Made (20 PTS)")</f>
        <v>[LAC] Leonard 3pt shot: Made (20 PTS)</v>
      </c>
      <c r="K4172" s="2" t="str">
        <f>HYPERLINK("https://www.nba.com/game/...-vs-...-0021900090/play-by-play?watchFullGame=true", "LAC vs UTA - Q4 07:29.00")</f>
        <v>LAC vs UTA - Q4 07:29.00</v>
      </c>
      <c r="L4172">
        <v>25.43</v>
      </c>
      <c r="M4172">
        <v>71.14</v>
      </c>
      <c r="N4172">
        <v>73.95</v>
      </c>
      <c r="O4172">
        <v>120</v>
      </c>
      <c r="P4172">
        <v>219</v>
      </c>
    </row>
    <row r="4173" spans="1:16" x14ac:dyDescent="0.25">
      <c r="A4173">
        <v>22400679</v>
      </c>
      <c r="B4173">
        <v>2024</v>
      </c>
      <c r="C4173" t="s">
        <v>16</v>
      </c>
      <c r="D4173" t="s">
        <v>19</v>
      </c>
      <c r="E4173">
        <v>28</v>
      </c>
      <c r="F4173">
        <v>34</v>
      </c>
      <c r="G4173">
        <v>2</v>
      </c>
      <c r="H4173" s="1">
        <v>5.324074074074074E-3</v>
      </c>
      <c r="I4173" t="s">
        <v>23</v>
      </c>
      <c r="J4173" s="2" t="str">
        <f>HYPERLINK("https://www.nba.com/stats/events?CFID=&amp;CFPARAMS=&amp;GameEventID=211&amp;GameID=0022400679&amp;Season=2024-25&amp;flag=1&amp;title=Leonard%2025'%203PT%20running%20pullup%20(6%20PTS)", "25' 3PT running pullup (6 PTS)")</f>
        <v>25' 3PT running pullup (6 PTS)</v>
      </c>
      <c r="K4173" s="2" t="str">
        <f>HYPERLINK("https://www.nba.com/game/...-vs-...-0022400679/play-by-play?watchFullGame=true", "LAC vs CHA - Q2 07:40.00")</f>
        <v>LAC vs CHA - Q2 07:40.00</v>
      </c>
      <c r="L4173">
        <v>25.58</v>
      </c>
      <c r="M4173">
        <v>70.38</v>
      </c>
      <c r="N4173">
        <v>74.02</v>
      </c>
      <c r="O4173">
        <v>120</v>
      </c>
      <c r="P4173">
        <v>226</v>
      </c>
    </row>
    <row r="4174" spans="1:16" x14ac:dyDescent="0.25">
      <c r="A4174">
        <v>21900458</v>
      </c>
      <c r="B4174">
        <v>2019</v>
      </c>
      <c r="C4174" t="s">
        <v>16</v>
      </c>
      <c r="D4174" t="s">
        <v>22</v>
      </c>
      <c r="E4174">
        <v>101</v>
      </c>
      <c r="F4174">
        <v>101</v>
      </c>
      <c r="G4174">
        <v>4</v>
      </c>
      <c r="H4174" s="1">
        <v>3.6458333333333334E-3</v>
      </c>
      <c r="I4174" t="s">
        <v>23</v>
      </c>
      <c r="J4174" s="2" t="str">
        <f>HYPERLINK("https://www.nba.com/stats/events?CFID=&amp;CFPARAMS=&amp;GameEventID=632&amp;GameID=0021900458&amp;Season=2019-20&amp;flag=1&amp;title=Leonard%2027'%203PT%20%20(31%20PTS)", "27' 3PT  (31 PTS)")</f>
        <v>27' 3PT  (31 PTS)</v>
      </c>
      <c r="K4174" s="2" t="str">
        <f>HYPERLINK("https://www.nba.com/game/...-vs-...-0021900458/play-by-play?watchFullGame=true", "LAC vs LAL - Q4 05:15.00")</f>
        <v>LAC vs LAL - Q4 05:15.00</v>
      </c>
      <c r="L4174">
        <v>27.18</v>
      </c>
      <c r="M4174">
        <v>69.040000000000006</v>
      </c>
      <c r="N4174">
        <v>73.95</v>
      </c>
      <c r="O4174">
        <v>120</v>
      </c>
      <c r="P4174">
        <v>239</v>
      </c>
    </row>
    <row r="4175" spans="1:16" x14ac:dyDescent="0.25">
      <c r="A4175">
        <v>22201004</v>
      </c>
      <c r="B4175">
        <v>2022</v>
      </c>
      <c r="C4175" t="s">
        <v>32</v>
      </c>
      <c r="D4175" t="s">
        <v>19</v>
      </c>
      <c r="E4175">
        <v>45</v>
      </c>
      <c r="F4175">
        <v>42</v>
      </c>
      <c r="G4175">
        <v>2</v>
      </c>
      <c r="H4175" s="1">
        <v>1.238425925925926E-3</v>
      </c>
      <c r="I4175" t="s">
        <v>23</v>
      </c>
      <c r="J4175" s="2" t="str">
        <f>HYPERLINK("https://www.nba.com/stats/events?CFID=&amp;CFPARAMS=&amp;GameEventID=287&amp;GameID=0022201004&amp;Season=2022-23&amp;flag=1&amp;title=Leonard%2012'%20Jump%20Shot%20(10%20PTS)%20(P.%20George%204%20AST)", "12' Jump Shot (10 PTS) (P. George 4 AST)")</f>
        <v>12' Jump Shot (10 PTS) (P. George 4 AST)</v>
      </c>
      <c r="K4175" s="2" t="str">
        <f>HYPERLINK("https://www.nba.com/game/...-vs-...-0022201004/play-by-play?watchFullGame=true", "LAC vs NYK - Q2 01:47.00")</f>
        <v>LAC vs NYK - Q2 01:47.00</v>
      </c>
      <c r="L4175">
        <v>12.25</v>
      </c>
      <c r="M4175">
        <v>92.56</v>
      </c>
      <c r="N4175">
        <v>74.260000000000005</v>
      </c>
      <c r="O4175">
        <v>121</v>
      </c>
      <c r="P4175">
        <v>17</v>
      </c>
    </row>
    <row r="4176" spans="1:16" x14ac:dyDescent="0.25">
      <c r="A4176">
        <v>22400571</v>
      </c>
      <c r="B4176">
        <v>2024</v>
      </c>
      <c r="C4176" t="s">
        <v>32</v>
      </c>
      <c r="D4176" t="s">
        <v>19</v>
      </c>
      <c r="E4176">
        <v>8</v>
      </c>
      <c r="F4176">
        <v>4</v>
      </c>
      <c r="G4176">
        <v>1</v>
      </c>
      <c r="H4176" s="1">
        <v>5.9722222222222225E-3</v>
      </c>
      <c r="I4176" t="s">
        <v>23</v>
      </c>
      <c r="J4176" s="2" t="str">
        <f>HYPERLINK("https://www.nba.com/stats/events?CFID=&amp;CFPARAMS=&amp;GameEventID=37&amp;GameID=0022400571&amp;Season=2024-25&amp;flag=1&amp;title=Leonard%2012'%20step%20back%20Jump%20Shot%20(4%20PTS)", "12' step back Jump Shot (4 PTS)")</f>
        <v>12' step back Jump Shot (4 PTS)</v>
      </c>
      <c r="K4176" s="2" t="str">
        <f>HYPERLINK("https://www.nba.com/game/...-vs-...-0022400571/play-by-play?watchFullGame=true", "LAC vs BKN - Q1 08:36.00")</f>
        <v>LAC vs BKN - Q1 08:36.00</v>
      </c>
      <c r="L4176">
        <v>12.51</v>
      </c>
      <c r="M4176">
        <v>91.2</v>
      </c>
      <c r="N4176">
        <v>74.290000000000006</v>
      </c>
      <c r="O4176">
        <v>121</v>
      </c>
      <c r="P4176">
        <v>30</v>
      </c>
    </row>
    <row r="4177" spans="1:16" x14ac:dyDescent="0.25">
      <c r="A4177">
        <v>22200902</v>
      </c>
      <c r="B4177">
        <v>2022</v>
      </c>
      <c r="C4177" t="s">
        <v>32</v>
      </c>
      <c r="D4177" t="s">
        <v>19</v>
      </c>
      <c r="E4177">
        <v>10</v>
      </c>
      <c r="F4177">
        <v>13</v>
      </c>
      <c r="G4177">
        <v>1</v>
      </c>
      <c r="H4177" s="1">
        <v>6.4814814814814813E-3</v>
      </c>
      <c r="I4177" t="s">
        <v>23</v>
      </c>
      <c r="J4177" s="2" t="str">
        <f>HYPERLINK("https://www.nba.com/stats/events?CFID=&amp;CFPARAMS=&amp;GameEventID=37&amp;GameID=0022200902&amp;Season=2022-23&amp;flag=1&amp;title=Leonard%2012'%20fadeaway%20Jump%20Shot%20(5%20PTS)", "12' fadeaway Jump Shot (5 PTS)")</f>
        <v>12' fadeaway Jump Shot (5 PTS)</v>
      </c>
      <c r="K4177" s="2" t="str">
        <f>HYPERLINK("https://www.nba.com/game/...-vs-...-0022200902/play-by-play?watchFullGame=true", "LAC vs SAC - Q1 09:20.00")</f>
        <v>LAC vs SAC - Q1 09:20.00</v>
      </c>
      <c r="L4177">
        <v>12.13</v>
      </c>
      <c r="M4177">
        <v>94.4</v>
      </c>
      <c r="N4177">
        <v>74.260000000000005</v>
      </c>
      <c r="O4177">
        <v>121</v>
      </c>
      <c r="P4177">
        <v>74</v>
      </c>
    </row>
    <row r="4178" spans="1:16" x14ac:dyDescent="0.25">
      <c r="A4178">
        <v>21300100</v>
      </c>
      <c r="B4178">
        <v>2013</v>
      </c>
      <c r="C4178" t="s">
        <v>32</v>
      </c>
      <c r="D4178" t="s">
        <v>29</v>
      </c>
      <c r="E4178">
        <v>0</v>
      </c>
      <c r="F4178">
        <v>6</v>
      </c>
      <c r="G4178">
        <v>1</v>
      </c>
      <c r="H4178" s="1">
        <v>6.4004629629629628E-3</v>
      </c>
      <c r="I4178" t="s">
        <v>18</v>
      </c>
      <c r="J4178" s="2" t="str">
        <f>HYPERLINK("https://www.nba.com/stats/events?CFID=&amp;CFPARAMS=&amp;GameEventID=23&amp;GameID=0021300100&amp;Season=2013-14&amp;flag=1&amp;title=Leonard%2014'%20Pullup%20Jump%20Shot%20(2%20PTS)%20(Green%201%20AST)", "Leonard 14' Pullup Jump Shot (2 PTS) (Green 1 AST)")</f>
        <v>Leonard 14' Pullup Jump Shot (2 PTS) (Green 1 AST)</v>
      </c>
      <c r="K4178" s="2" t="str">
        <f>HYPERLINK("https://www.nba.com/game/...-vs-...-0021300100/play-by-play?watchFullGame=true", "SAS vs PHI - Q1 09:13.00")</f>
        <v>SAS vs PHI - Q1 09:13.00</v>
      </c>
      <c r="L4178">
        <v>14</v>
      </c>
      <c r="M4178">
        <v>121</v>
      </c>
      <c r="N4178">
        <v>77</v>
      </c>
      <c r="O4178">
        <v>121</v>
      </c>
      <c r="P4178">
        <v>77</v>
      </c>
    </row>
    <row r="4179" spans="1:16" x14ac:dyDescent="0.25">
      <c r="A4179">
        <v>22201162</v>
      </c>
      <c r="B4179">
        <v>2022</v>
      </c>
      <c r="C4179" t="s">
        <v>32</v>
      </c>
      <c r="D4179" t="s">
        <v>19</v>
      </c>
      <c r="E4179">
        <v>82</v>
      </c>
      <c r="F4179">
        <v>82</v>
      </c>
      <c r="G4179">
        <v>3</v>
      </c>
      <c r="H4179" s="1">
        <v>2.1643518518518518E-3</v>
      </c>
      <c r="I4179" t="s">
        <v>23</v>
      </c>
      <c r="J4179" s="2" t="str">
        <f>HYPERLINK("https://www.nba.com/stats/events?CFID=&amp;CFPARAMS=&amp;GameEventID=446&amp;GameID=0022201162&amp;Season=2022-23&amp;flag=1&amp;title=Leonard%2015'%20pullup%20Jump%20Shot%20(23%20PTS)", "15' pullup Jump Shot (23 PTS)")</f>
        <v>15' pullup Jump Shot (23 PTS)</v>
      </c>
      <c r="K4179" s="2" t="str">
        <f>HYPERLINK("https://www.nba.com/game/...-vs-...-0022201162/play-by-play?watchFullGame=true", "LAC vs NOP - Q3 03:07.00")</f>
        <v>LAC vs NOP - Q3 03:07.00</v>
      </c>
      <c r="L4179">
        <v>15.97</v>
      </c>
      <c r="M4179">
        <v>16.64</v>
      </c>
      <c r="N4179">
        <v>25.74</v>
      </c>
      <c r="O4179">
        <v>121</v>
      </c>
      <c r="P4179">
        <v>104</v>
      </c>
    </row>
    <row r="4180" spans="1:16" x14ac:dyDescent="0.25">
      <c r="A4180">
        <v>41300147</v>
      </c>
      <c r="B4180" t="s">
        <v>26</v>
      </c>
      <c r="C4180" t="s">
        <v>32</v>
      </c>
      <c r="D4180" t="s">
        <v>19</v>
      </c>
      <c r="E4180">
        <v>75</v>
      </c>
      <c r="F4180">
        <v>54</v>
      </c>
      <c r="G4180">
        <v>3</v>
      </c>
      <c r="H4180" s="1">
        <v>6.8055555555555551E-3</v>
      </c>
      <c r="I4180" t="s">
        <v>18</v>
      </c>
      <c r="J4180" s="2" t="str">
        <f>HYPERLINK("https://www.nba.com/stats/events?CFID=&amp;CFPARAMS=&amp;GameEventID=291&amp;GameID=0041300147&amp;Season=2013-14&amp;flag=1&amp;title=Leonard%2019'%20Jump%20Shot%20(10%20PTS)%20(Diaw%204%20AST)", "Leonard 19' Jump Shot (10 PTS) (Diaw 4 AST)")</f>
        <v>Leonard 19' Jump Shot (10 PTS) (Diaw 4 AST)</v>
      </c>
      <c r="K4180" s="2" t="str">
        <f>HYPERLINK("https://www.nba.com/game/...-vs-...-0041300147/play-by-play?watchFullGame=true", "SAS vs DAL - Q3 09:48.00")</f>
        <v>SAS vs DAL - Q3 09:48.00</v>
      </c>
      <c r="L4180">
        <v>19</v>
      </c>
      <c r="M4180">
        <v>121</v>
      </c>
      <c r="N4180">
        <v>142</v>
      </c>
      <c r="O4180">
        <v>121</v>
      </c>
      <c r="P4180">
        <v>142</v>
      </c>
    </row>
    <row r="4181" spans="1:16" x14ac:dyDescent="0.25">
      <c r="A4181">
        <v>22300956</v>
      </c>
      <c r="B4181">
        <v>2023</v>
      </c>
      <c r="C4181" t="s">
        <v>32</v>
      </c>
      <c r="D4181" t="s">
        <v>19</v>
      </c>
      <c r="E4181">
        <v>14</v>
      </c>
      <c r="F4181">
        <v>25</v>
      </c>
      <c r="G4181">
        <v>1</v>
      </c>
      <c r="H4181" s="1">
        <v>2.627314814814815E-3</v>
      </c>
      <c r="I4181" t="s">
        <v>23</v>
      </c>
      <c r="J4181" s="2" t="str">
        <f>HYPERLINK("https://www.nba.com/stats/events?CFID=&amp;CFPARAMS=&amp;GameEventID=87&amp;GameID=0022300956&amp;Season=2023-24&amp;flag=1&amp;title=Leonard%2018'%20step%20back%20Jump%20Shot%20(8%20PTS)", "18' step back Jump Shot (8 PTS)")</f>
        <v>18' step back Jump Shot (8 PTS)</v>
      </c>
      <c r="K4181" s="2" t="str">
        <f>HYPERLINK("https://www.nba.com/game/...-vs-...-0022300956/play-by-play?watchFullGame=true", "LAC vs CHI - Q1 03:47.00")</f>
        <v>LAC vs CHI - Q1 03:47.00</v>
      </c>
      <c r="L4181">
        <v>18.78</v>
      </c>
      <c r="M4181">
        <v>20.84</v>
      </c>
      <c r="N4181">
        <v>25.74</v>
      </c>
      <c r="O4181">
        <v>121</v>
      </c>
      <c r="P4181">
        <v>143</v>
      </c>
    </row>
    <row r="4182" spans="1:16" x14ac:dyDescent="0.25">
      <c r="A4182">
        <v>21300871</v>
      </c>
      <c r="B4182">
        <v>2013</v>
      </c>
      <c r="C4182" t="s">
        <v>32</v>
      </c>
      <c r="D4182" t="s">
        <v>24</v>
      </c>
      <c r="E4182">
        <v>8</v>
      </c>
      <c r="F4182">
        <v>8</v>
      </c>
      <c r="G4182">
        <v>1</v>
      </c>
      <c r="H4182" s="1">
        <v>4.386574074074074E-3</v>
      </c>
      <c r="I4182" t="s">
        <v>18</v>
      </c>
      <c r="J4182" s="2" t="str">
        <f>HYPERLINK("https://www.nba.com/stats/events?CFID=&amp;CFPARAMS=&amp;GameEventID=49&amp;GameID=0021300871&amp;Season=2013-14&amp;flag=1&amp;title=Leonard%2012'%20Turnaround%20Jump%20Shot%20(4%20PTS)%20(Duncan%201%20AST)", "Leonard 12' Turnaround Jump Shot (4 PTS) (Duncan 1 AST)")</f>
        <v>Leonard 12' Turnaround Jump Shot (4 PTS) (Duncan 1 AST)</v>
      </c>
      <c r="K4182" s="2" t="str">
        <f>HYPERLINK("https://www.nba.com/game/...-vs-...-0021300871/play-by-play?watchFullGame=true", "SAS vs CHA - Q1 06:19.00")</f>
        <v>SAS vs CHA - Q1 06:19.00</v>
      </c>
      <c r="L4182">
        <v>12</v>
      </c>
      <c r="M4182">
        <v>122</v>
      </c>
      <c r="N4182">
        <v>26</v>
      </c>
      <c r="O4182">
        <v>122</v>
      </c>
      <c r="P4182">
        <v>26</v>
      </c>
    </row>
    <row r="4183" spans="1:16" x14ac:dyDescent="0.25">
      <c r="A4183">
        <v>41300147</v>
      </c>
      <c r="B4183" t="s">
        <v>26</v>
      </c>
      <c r="C4183" t="s">
        <v>32</v>
      </c>
      <c r="D4183" t="s">
        <v>29</v>
      </c>
      <c r="E4183">
        <v>70</v>
      </c>
      <c r="F4183">
        <v>49</v>
      </c>
      <c r="G4183">
        <v>3</v>
      </c>
      <c r="H4183" s="1">
        <v>7.951388888888888E-3</v>
      </c>
      <c r="I4183" t="s">
        <v>18</v>
      </c>
      <c r="J4183" s="2" t="str">
        <f>HYPERLINK("https://www.nba.com/stats/events?CFID=&amp;CFPARAMS=&amp;GameEventID=275&amp;GameID=0041300147&amp;Season=2013-14&amp;flag=1&amp;title=Leonard%2014'%20Pullup%20Jump%20Shot%20(8%20PTS)", "Leonard 14' Pullup Jump Shot (8 PTS)")</f>
        <v>Leonard 14' Pullup Jump Shot (8 PTS)</v>
      </c>
      <c r="K4183" s="2" t="str">
        <f>HYPERLINK("https://www.nba.com/game/...-vs-...-0041300147/play-by-play?watchFullGame=true", "SAS vs DAL - Q3 11:27.00")</f>
        <v>SAS vs DAL - Q3 11:27.00</v>
      </c>
      <c r="L4183">
        <v>14</v>
      </c>
      <c r="M4183">
        <v>122</v>
      </c>
      <c r="N4183">
        <v>75</v>
      </c>
      <c r="O4183">
        <v>122</v>
      </c>
      <c r="P4183">
        <v>75</v>
      </c>
    </row>
    <row r="4184" spans="1:16" x14ac:dyDescent="0.25">
      <c r="A4184">
        <v>41600154</v>
      </c>
      <c r="B4184" t="s">
        <v>30</v>
      </c>
      <c r="C4184" t="s">
        <v>32</v>
      </c>
      <c r="D4184" t="s">
        <v>29</v>
      </c>
      <c r="E4184">
        <v>9</v>
      </c>
      <c r="F4184">
        <v>17</v>
      </c>
      <c r="G4184">
        <v>1</v>
      </c>
      <c r="H4184" s="1">
        <v>3.7384259259259259E-3</v>
      </c>
      <c r="I4184" t="s">
        <v>18</v>
      </c>
      <c r="J4184" s="2" t="str">
        <f>HYPERLINK("https://www.nba.com/stats/events?CFID=&amp;CFPARAMS=&amp;GameEventID=54&amp;GameID=0041600154&amp;Season=2016-17&amp;flag=1&amp;title=Leonard%2018'%20Pullup%20Jump%20Shot%20(7%20PTS)", "Leonard 18' Pullup Jump Shot (7 PTS)")</f>
        <v>Leonard 18' Pullup Jump Shot (7 PTS)</v>
      </c>
      <c r="K4184" s="2" t="str">
        <f>HYPERLINK("https://www.nba.com/game/...-vs-...-0041600154/play-by-play?watchFullGame=true", "SAS vs MEM - Q1 05:23.00")</f>
        <v>SAS vs MEM - Q1 05:23.00</v>
      </c>
      <c r="L4184">
        <v>18</v>
      </c>
      <c r="M4184">
        <v>122</v>
      </c>
      <c r="N4184">
        <v>134</v>
      </c>
      <c r="O4184">
        <v>122</v>
      </c>
      <c r="P4184">
        <v>134</v>
      </c>
    </row>
    <row r="4185" spans="1:16" x14ac:dyDescent="0.25">
      <c r="A4185">
        <v>21901307</v>
      </c>
      <c r="B4185">
        <v>2019</v>
      </c>
      <c r="C4185" t="s">
        <v>32</v>
      </c>
      <c r="D4185" t="s">
        <v>22</v>
      </c>
      <c r="E4185">
        <v>94</v>
      </c>
      <c r="F4185">
        <v>100</v>
      </c>
      <c r="G4185">
        <v>4</v>
      </c>
      <c r="H4185" s="1">
        <v>5.7060185185185183E-3</v>
      </c>
      <c r="I4185" t="s">
        <v>23</v>
      </c>
      <c r="J4185" s="2" t="str">
        <f>HYPERLINK("https://www.nba.com/stats/events?CFID=&amp;CFPARAMS=&amp;GameEventID=537&amp;GameID=0021901307&amp;Season=2019-20&amp;flag=1&amp;title=Leonard%2020'%20jumpshot%20(24%20PTS)", "20' jumpshot (24 PTS)")</f>
        <v>20' jumpshot (24 PTS)</v>
      </c>
      <c r="K4185" s="2" t="str">
        <f>HYPERLINK("https://www.nba.com/game/...-vs-...-0021901307/play-by-play?watchFullGame=true", "LAC vs DEN - Q4 08:13.00")</f>
        <v>LAC vs DEN - Q4 08:13.00</v>
      </c>
      <c r="L4185">
        <v>19.98</v>
      </c>
      <c r="M4185">
        <v>78.14</v>
      </c>
      <c r="N4185">
        <v>74.33</v>
      </c>
      <c r="O4185">
        <v>122</v>
      </c>
      <c r="P4185">
        <v>153</v>
      </c>
    </row>
    <row r="4186" spans="1:16" x14ac:dyDescent="0.25">
      <c r="A4186">
        <v>21600994</v>
      </c>
      <c r="B4186">
        <v>2016</v>
      </c>
      <c r="C4186" t="s">
        <v>16</v>
      </c>
      <c r="D4186" t="s">
        <v>29</v>
      </c>
      <c r="E4186">
        <v>44</v>
      </c>
      <c r="F4186">
        <v>33</v>
      </c>
      <c r="G4186">
        <v>2</v>
      </c>
      <c r="H4186" s="1">
        <v>2.1990740740740742E-3</v>
      </c>
      <c r="I4186" t="s">
        <v>18</v>
      </c>
      <c r="J4186" s="2" t="str">
        <f>HYPERLINK("https://www.nba.com/stats/events?CFID=&amp;CFPARAMS=&amp;GameEventID=231&amp;GameID=0021600994&amp;Season=2016-17&amp;flag=1&amp;title=Leonard%2025'%203PT%20Pullup%20Jump%20Shot%20(19%20PTS)%20(Gasol%202%20AST)", "Leonard 25' 3PT Pullup Jump Shot (19 PTS) (Gasol 2 AST)")</f>
        <v>Leonard 25' 3PT Pullup Jump Shot (19 PTS) (Gasol 2 AST)</v>
      </c>
      <c r="K4186" s="2" t="str">
        <f>HYPERLINK("https://www.nba.com/game/...-vs-...-0021600994/play-by-play?watchFullGame=true", "SAS vs ATL - Q2 03:10.00")</f>
        <v>SAS vs ATL - Q2 03:10.00</v>
      </c>
      <c r="L4186">
        <v>25</v>
      </c>
      <c r="M4186">
        <v>122</v>
      </c>
      <c r="N4186">
        <v>223</v>
      </c>
      <c r="O4186">
        <v>122</v>
      </c>
      <c r="P4186">
        <v>223</v>
      </c>
    </row>
    <row r="4187" spans="1:16" x14ac:dyDescent="0.25">
      <c r="A4187">
        <v>21601085</v>
      </c>
      <c r="B4187">
        <v>2016</v>
      </c>
      <c r="C4187" t="s">
        <v>16</v>
      </c>
      <c r="D4187" t="s">
        <v>19</v>
      </c>
      <c r="E4187">
        <v>106</v>
      </c>
      <c r="F4187">
        <v>92</v>
      </c>
      <c r="G4187">
        <v>4</v>
      </c>
      <c r="H4187" s="1">
        <v>1.1226851851851851E-3</v>
      </c>
      <c r="I4187" t="s">
        <v>18</v>
      </c>
      <c r="J4187" s="2" t="str">
        <f>HYPERLINK("https://www.nba.com/stats/events?CFID=&amp;CFPARAMS=&amp;GameEventID=483&amp;GameID=0021601085&amp;Season=2016-17&amp;flag=1&amp;title=Leonard%2026'%203PT%20Jump%20Shot%20(29%20PTS)%20(Gasol%203%20AST)", "Leonard 26' 3PT Jump Shot (29 PTS) (Gasol 3 AST)")</f>
        <v>Leonard 26' 3PT Jump Shot (29 PTS) (Gasol 3 AST)</v>
      </c>
      <c r="K4187" s="2" t="str">
        <f>HYPERLINK("https://www.nba.com/game/...-vs-...-0021601085/play-by-play?watchFullGame=true", "SAS vs NYK - Q4 01:37.00")</f>
        <v>SAS vs NYK - Q4 01:37.00</v>
      </c>
      <c r="L4187">
        <v>26</v>
      </c>
      <c r="M4187">
        <v>122</v>
      </c>
      <c r="N4187">
        <v>229</v>
      </c>
      <c r="O4187">
        <v>122</v>
      </c>
      <c r="P4187">
        <v>229</v>
      </c>
    </row>
    <row r="4188" spans="1:16" x14ac:dyDescent="0.25">
      <c r="A4188">
        <v>21500393</v>
      </c>
      <c r="B4188">
        <v>2015</v>
      </c>
      <c r="C4188" t="s">
        <v>32</v>
      </c>
      <c r="D4188" t="s">
        <v>33</v>
      </c>
      <c r="E4188">
        <v>23</v>
      </c>
      <c r="F4188">
        <v>23</v>
      </c>
      <c r="G4188">
        <v>1</v>
      </c>
      <c r="H4188" s="1">
        <v>1.238425925925926E-3</v>
      </c>
      <c r="I4188" t="s">
        <v>18</v>
      </c>
      <c r="J4188" s="2" t="str">
        <f>HYPERLINK("https://www.nba.com/stats/events?CFID=&amp;CFPARAMS=&amp;GameEventID=92&amp;GameID=0021500393&amp;Season=2015-16&amp;flag=1&amp;title=Leonard%2012'%20Fadeaway%20Jumper%20(6%20PTS)%20(Diaw%201%20AST)", "Leonard 12' Fadeaway Jumper (6 PTS) (Diaw 1 AST)")</f>
        <v>Leonard 12' Fadeaway Jumper (6 PTS) (Diaw 1 AST)</v>
      </c>
      <c r="K4188" s="2" t="str">
        <f>HYPERLINK("https://www.nba.com/game/...-vs-...-0021500393/play-by-play?watchFullGame=true", "SAS vs LAC - Q1 01:47.00")</f>
        <v>SAS vs LAC - Q1 01:47.00</v>
      </c>
      <c r="L4188">
        <v>12</v>
      </c>
      <c r="M4188">
        <v>123</v>
      </c>
      <c r="N4188">
        <v>2</v>
      </c>
      <c r="O4188">
        <v>123</v>
      </c>
      <c r="P4188">
        <v>2</v>
      </c>
    </row>
    <row r="4189" spans="1:16" x14ac:dyDescent="0.25">
      <c r="A4189">
        <v>22400571</v>
      </c>
      <c r="B4189">
        <v>2024</v>
      </c>
      <c r="C4189" t="s">
        <v>32</v>
      </c>
      <c r="D4189" t="s">
        <v>19</v>
      </c>
      <c r="E4189">
        <v>90</v>
      </c>
      <c r="F4189">
        <v>38</v>
      </c>
      <c r="G4189">
        <v>3</v>
      </c>
      <c r="H4189" s="1">
        <v>4.0277777777777777E-3</v>
      </c>
      <c r="I4189" t="s">
        <v>23</v>
      </c>
      <c r="J4189" s="2" t="str">
        <f>HYPERLINK("https://www.nba.com/stats/events?CFID=&amp;CFPARAMS=&amp;GameEventID=435&amp;GameID=0022400571&amp;Season=2024-25&amp;flag=1&amp;title=Leonard%2012'%20pullup%20Jump%20Shot%20(17%20PTS)", "12' pullup Jump Shot (17 PTS)")</f>
        <v>12' pullup Jump Shot (17 PTS)</v>
      </c>
      <c r="K4189" s="2" t="str">
        <f>HYPERLINK("https://www.nba.com/game/...-vs-...-0022400571/play-by-play?watchFullGame=true", "LAC vs BKN - Q3 05:48.00")</f>
        <v>LAC vs BKN - Q3 05:48.00</v>
      </c>
      <c r="L4189">
        <v>12.26</v>
      </c>
      <c r="M4189">
        <v>6</v>
      </c>
      <c r="N4189">
        <v>25.49</v>
      </c>
      <c r="O4189">
        <v>123</v>
      </c>
      <c r="P4189">
        <v>4</v>
      </c>
    </row>
    <row r="4190" spans="1:16" x14ac:dyDescent="0.25">
      <c r="A4190">
        <v>21900016</v>
      </c>
      <c r="B4190">
        <v>2019</v>
      </c>
      <c r="C4190" t="s">
        <v>32</v>
      </c>
      <c r="D4190" t="s">
        <v>22</v>
      </c>
      <c r="E4190">
        <v>42</v>
      </c>
      <c r="F4190">
        <v>52</v>
      </c>
      <c r="G4190">
        <v>2</v>
      </c>
      <c r="H4190" s="1">
        <v>4.7222222222222223E-3</v>
      </c>
      <c r="I4190" t="s">
        <v>23</v>
      </c>
      <c r="J4190" s="2" t="str">
        <f>HYPERLINK("https://www.nba.com/stats/events?CFID=&amp;CFPARAMS=&amp;GameEventID=254&amp;GameID=0021900016&amp;Season=2019-20&amp;flag=1&amp;title=[LAC]%20Leonard%20jumpshot:%20Made%20(8%20PTS)%20assist:%20Harkless%20(1%20AST)", "[LAC] Leonard jumpshot: Made (8 PTS) assist: Harkless (1 AST)")</f>
        <v>[LAC] Leonard jumpshot: Made (8 PTS) assist: Harkless (1 AST)</v>
      </c>
      <c r="K4190" s="2" t="str">
        <f>HYPERLINK("https://www.nba.com/game/...-vs-...-0021900016/play-by-play?watchFullGame=true", "LAC vs GSW - Q2 06:48.00")</f>
        <v>LAC vs GSW - Q2 06:48.00</v>
      </c>
      <c r="L4190">
        <v>12.51</v>
      </c>
      <c r="M4190">
        <v>7.18</v>
      </c>
      <c r="N4190">
        <v>25.31</v>
      </c>
      <c r="O4190">
        <v>123</v>
      </c>
      <c r="P4190">
        <v>15</v>
      </c>
    </row>
    <row r="4191" spans="1:16" x14ac:dyDescent="0.25">
      <c r="A4191">
        <v>22200617</v>
      </c>
      <c r="B4191">
        <v>2022</v>
      </c>
      <c r="C4191" t="s">
        <v>32</v>
      </c>
      <c r="D4191" t="s">
        <v>19</v>
      </c>
      <c r="E4191">
        <v>54</v>
      </c>
      <c r="F4191">
        <v>42</v>
      </c>
      <c r="G4191">
        <v>2</v>
      </c>
      <c r="H4191" s="1">
        <v>2.8124999999999999E-3</v>
      </c>
      <c r="I4191" t="s">
        <v>23</v>
      </c>
      <c r="J4191" s="2" t="str">
        <f>HYPERLINK("https://www.nba.com/stats/events?CFID=&amp;CFPARAMS=&amp;GameEventID=290&amp;GameID=0022200617&amp;Season=2022-23&amp;flag=1&amp;title=Leonard%2012'%20pullup%20Jump%20Shot%20(15%20PTS)", "12' pullup Jump Shot (15 PTS)")</f>
        <v>12' pullup Jump Shot (15 PTS)</v>
      </c>
      <c r="K4191" s="2" t="str">
        <f>HYPERLINK("https://www.nba.com/game/...-vs-...-0022200617/play-by-play?watchFullGame=true", "LAC vs DAL - Q2 04:03.00")</f>
        <v>LAC vs DAL - Q2 04:03.00</v>
      </c>
      <c r="L4191">
        <v>12.58</v>
      </c>
      <c r="M4191">
        <v>91.38</v>
      </c>
      <c r="N4191">
        <v>74.510000000000005</v>
      </c>
      <c r="O4191">
        <v>123</v>
      </c>
      <c r="P4191">
        <v>29</v>
      </c>
    </row>
    <row r="4192" spans="1:16" x14ac:dyDescent="0.25">
      <c r="A4192">
        <v>22300257</v>
      </c>
      <c r="B4192">
        <v>2023</v>
      </c>
      <c r="C4192" t="s">
        <v>32</v>
      </c>
      <c r="D4192" t="s">
        <v>19</v>
      </c>
      <c r="E4192">
        <v>10</v>
      </c>
      <c r="F4192">
        <v>4</v>
      </c>
      <c r="G4192">
        <v>1</v>
      </c>
      <c r="H4192" s="1">
        <v>6.0069444444444441E-3</v>
      </c>
      <c r="I4192" t="s">
        <v>23</v>
      </c>
      <c r="J4192" s="2" t="str">
        <f>HYPERLINK("https://www.nba.com/stats/events?CFID=&amp;CFPARAMS=&amp;GameEventID=48&amp;GameID=0022300257&amp;Season=2023-24&amp;flag=1&amp;title=Leonard%2017'%20pullup%20Jump%20Shot%20(2%20PTS)", "17' pullup Jump Shot (2 PTS)")</f>
        <v>17' pullup Jump Shot (2 PTS)</v>
      </c>
      <c r="K4192" s="2" t="str">
        <f>HYPERLINK("https://www.nba.com/game/...-vs-...-0022300257/play-by-play?watchFullGame=true", "LAC vs DEN - Q1 08:39.00")</f>
        <v>LAC vs DEN - Q1 08:39.00</v>
      </c>
      <c r="L4192">
        <v>17.489999999999998</v>
      </c>
      <c r="M4192">
        <v>81.13</v>
      </c>
      <c r="N4192">
        <v>74.510000000000005</v>
      </c>
      <c r="O4192">
        <v>123</v>
      </c>
      <c r="P4192">
        <v>125</v>
      </c>
    </row>
    <row r="4193" spans="1:16" x14ac:dyDescent="0.25">
      <c r="A4193">
        <v>21600657</v>
      </c>
      <c r="B4193">
        <v>2016</v>
      </c>
      <c r="C4193" t="s">
        <v>32</v>
      </c>
      <c r="D4193" t="s">
        <v>19</v>
      </c>
      <c r="E4193">
        <v>47</v>
      </c>
      <c r="F4193">
        <v>53</v>
      </c>
      <c r="G4193">
        <v>2</v>
      </c>
      <c r="H4193" s="1">
        <v>2.7662037037037039E-3</v>
      </c>
      <c r="I4193" t="s">
        <v>18</v>
      </c>
      <c r="J4193" s="2" t="str">
        <f>HYPERLINK("https://www.nba.com/stats/events?CFID=&amp;CFPARAMS=&amp;GameEventID=208&amp;GameID=0021600657&amp;Season=2016-17&amp;flag=1&amp;title=Leonard%2021'%20Jump%20Shot%20(14%20PTS)", "Leonard 21' Jump Shot (14 PTS)")</f>
        <v>Leonard 21' Jump Shot (14 PTS)</v>
      </c>
      <c r="K4193" s="2" t="str">
        <f>HYPERLINK("https://www.nba.com/game/...-vs-...-0021600657/play-by-play?watchFullGame=true", "SAS vs CLE - Q2 03:59.00")</f>
        <v>SAS vs CLE - Q2 03:59.00</v>
      </c>
      <c r="L4193">
        <v>21</v>
      </c>
      <c r="M4193">
        <v>123</v>
      </c>
      <c r="N4193">
        <v>164</v>
      </c>
      <c r="O4193">
        <v>123</v>
      </c>
      <c r="P4193">
        <v>164</v>
      </c>
    </row>
    <row r="4194" spans="1:16" x14ac:dyDescent="0.25">
      <c r="A4194">
        <v>21600588</v>
      </c>
      <c r="B4194">
        <v>2016</v>
      </c>
      <c r="C4194" t="s">
        <v>16</v>
      </c>
      <c r="D4194" t="s">
        <v>19</v>
      </c>
      <c r="E4194">
        <v>20</v>
      </c>
      <c r="F4194">
        <v>11</v>
      </c>
      <c r="G4194">
        <v>1</v>
      </c>
      <c r="H4194" s="1">
        <v>4.6064814814814814E-3</v>
      </c>
      <c r="I4194" t="s">
        <v>18</v>
      </c>
      <c r="J4194" s="2" t="str">
        <f>HYPERLINK("https://www.nba.com/stats/events?CFID=&amp;CFPARAMS=&amp;GameEventID=48&amp;GameID=0021600588&amp;Season=2016-17&amp;flag=1&amp;title=Leonard%2024'%203PT%20Jump%20Shot%20(8%20PTS)%20(Gasol%203%20AST)", "Leonard 24' 3PT Jump Shot (8 PTS) (Gasol 3 AST)")</f>
        <v>Leonard 24' 3PT Jump Shot (8 PTS) (Gasol 3 AST)</v>
      </c>
      <c r="K4194" s="2" t="str">
        <f>HYPERLINK("https://www.nba.com/game/...-vs-...-0021600588/play-by-play?watchFullGame=true", "SAS vs LAL - Q1 06:38.00")</f>
        <v>SAS vs LAL - Q1 06:38.00</v>
      </c>
      <c r="L4194">
        <v>24</v>
      </c>
      <c r="M4194">
        <v>123</v>
      </c>
      <c r="N4194">
        <v>208</v>
      </c>
      <c r="O4194">
        <v>123</v>
      </c>
      <c r="P4194">
        <v>208</v>
      </c>
    </row>
    <row r="4195" spans="1:16" x14ac:dyDescent="0.25">
      <c r="A4195">
        <v>22201096</v>
      </c>
      <c r="B4195">
        <v>2022</v>
      </c>
      <c r="C4195" t="s">
        <v>16</v>
      </c>
      <c r="D4195" t="s">
        <v>19</v>
      </c>
      <c r="E4195">
        <v>73</v>
      </c>
      <c r="F4195">
        <v>68</v>
      </c>
      <c r="G4195">
        <v>3</v>
      </c>
      <c r="H4195" s="1">
        <v>4.31712962962963E-3</v>
      </c>
      <c r="I4195" t="s">
        <v>23</v>
      </c>
      <c r="J4195" s="2" t="str">
        <f>HYPERLINK("https://www.nba.com/stats/events?CFID=&amp;CFPARAMS=&amp;GameEventID=402&amp;GameID=0022201096&amp;Season=2022-23&amp;flag=1&amp;title=Leonard%2025'%203PT%20%20(24%20PTS)%20(R.%20Westbrook%205%20AST)", "25' 3PT  (24 PTS) (R. Westbrook 5 AST)")</f>
        <v>25' 3PT  (24 PTS) (R. Westbrook 5 AST)</v>
      </c>
      <c r="K4195" s="2" t="str">
        <f>HYPERLINK("https://www.nba.com/game/...-vs-...-0022201096/play-by-play?watchFullGame=true", "LAC vs OKC - Q3 06:13.00")</f>
        <v>LAC vs OKC - Q3 06:13.00</v>
      </c>
      <c r="L4195">
        <v>25.7</v>
      </c>
      <c r="M4195">
        <v>29.62</v>
      </c>
      <c r="N4195">
        <v>25.49</v>
      </c>
      <c r="O4195">
        <v>123</v>
      </c>
      <c r="P4195">
        <v>226</v>
      </c>
    </row>
    <row r="4196" spans="1:16" x14ac:dyDescent="0.25">
      <c r="A4196">
        <v>22400486</v>
      </c>
      <c r="B4196">
        <v>2024</v>
      </c>
      <c r="C4196" t="s">
        <v>16</v>
      </c>
      <c r="D4196" t="s">
        <v>19</v>
      </c>
      <c r="E4196">
        <v>72</v>
      </c>
      <c r="F4196">
        <v>47</v>
      </c>
      <c r="G4196">
        <v>2</v>
      </c>
      <c r="H4196" s="1">
        <v>1.1574074074074073E-3</v>
      </c>
      <c r="I4196" t="s">
        <v>23</v>
      </c>
      <c r="J4196" s="2" t="str">
        <f>HYPERLINK("https://www.nba.com/stats/events?CFID=&amp;CFPARAMS=&amp;GameEventID=314&amp;GameID=0022400486&amp;Season=2024-25&amp;flag=1&amp;title=Leonard%2026'%203PT%20%20(9%20PTS)%20(I.%20Zubac%203%20AST)", "26' 3PT  (9 PTS) (I. Zubac 3 AST)")</f>
        <v>26' 3PT  (9 PTS) (I. Zubac 3 AST)</v>
      </c>
      <c r="K4196" s="2" t="str">
        <f>HYPERLINK("https://www.nba.com/game/...-vs-...-0022400486/play-by-play?watchFullGame=true", "LAC vs ATL - Q2 01:40.00")</f>
        <v>LAC vs ATL - Q2 01:40.00</v>
      </c>
      <c r="L4196">
        <v>26.57</v>
      </c>
      <c r="M4196">
        <v>69.33</v>
      </c>
      <c r="N4196">
        <v>74.510000000000005</v>
      </c>
      <c r="O4196">
        <v>123</v>
      </c>
      <c r="P4196">
        <v>236</v>
      </c>
    </row>
    <row r="4197" spans="1:16" x14ac:dyDescent="0.25">
      <c r="A4197">
        <v>41800301</v>
      </c>
      <c r="B4197" t="s">
        <v>20</v>
      </c>
      <c r="C4197" t="s">
        <v>16</v>
      </c>
      <c r="D4197" t="s">
        <v>29</v>
      </c>
      <c r="E4197">
        <v>13</v>
      </c>
      <c r="F4197">
        <v>22</v>
      </c>
      <c r="G4197">
        <v>1</v>
      </c>
      <c r="H4197" s="1">
        <v>3.5648148148148149E-3</v>
      </c>
      <c r="I4197" t="s">
        <v>21</v>
      </c>
      <c r="J4197" s="2" t="str">
        <f>HYPERLINK("https://www.nba.com/stats/events?CFID=&amp;CFPARAMS=&amp;GameEventID=89&amp;GameID=0041800301&amp;Season=2018-19&amp;flag=1&amp;title=Leonard%2027'%203PT%20Pullup%20Jump%20Shot%20(5%20PTS)", "Leonard 27' 3PT Pullup Jump Shot (5 PTS)")</f>
        <v>Leonard 27' 3PT Pullup Jump Shot (5 PTS)</v>
      </c>
      <c r="K4197" s="2" t="str">
        <f>HYPERLINK("https://www.nba.com/game/...-vs-...-0041800301/play-by-play?watchFullGame=true", "TOR vs MIL - Q1 05:08.00")</f>
        <v>TOR vs MIL - Q1 05:08.00</v>
      </c>
      <c r="L4197">
        <v>27</v>
      </c>
      <c r="M4197">
        <v>123</v>
      </c>
      <c r="N4197">
        <v>236</v>
      </c>
      <c r="O4197">
        <v>123</v>
      </c>
      <c r="P4197">
        <v>236</v>
      </c>
    </row>
    <row r="4198" spans="1:16" x14ac:dyDescent="0.25">
      <c r="A4198">
        <v>41300222</v>
      </c>
      <c r="B4198" t="s">
        <v>26</v>
      </c>
      <c r="C4198" t="s">
        <v>32</v>
      </c>
      <c r="D4198" t="s">
        <v>19</v>
      </c>
      <c r="E4198">
        <v>22</v>
      </c>
      <c r="F4198">
        <v>18</v>
      </c>
      <c r="G4198">
        <v>1</v>
      </c>
      <c r="H4198" s="1">
        <v>1.7476851851851852E-3</v>
      </c>
      <c r="I4198" t="s">
        <v>18</v>
      </c>
      <c r="J4198" s="2" t="str">
        <f>HYPERLINK("https://www.nba.com/stats/events?CFID=&amp;CFPARAMS=&amp;GameEventID=93&amp;GameID=0041300222&amp;Season=2013-14&amp;flag=1&amp;title=Leonard%2012'%20Jump%20Shot%20(10%20PTS)", "Leonard 12' Jump Shot (10 PTS)")</f>
        <v>Leonard 12' Jump Shot (10 PTS)</v>
      </c>
      <c r="K4198" s="2" t="str">
        <f>HYPERLINK("https://www.nba.com/game/...-vs-...-0041300222/play-by-play?watchFullGame=true", "SAS vs POR - Q1 02:31.00")</f>
        <v>SAS vs POR - Q1 02:31.00</v>
      </c>
      <c r="L4198">
        <v>12</v>
      </c>
      <c r="M4198">
        <v>124</v>
      </c>
      <c r="N4198">
        <v>-3</v>
      </c>
      <c r="O4198">
        <v>124</v>
      </c>
      <c r="P4198">
        <v>-3</v>
      </c>
    </row>
    <row r="4199" spans="1:16" x14ac:dyDescent="0.25">
      <c r="A4199">
        <v>21400906</v>
      </c>
      <c r="B4199">
        <v>2014</v>
      </c>
      <c r="C4199" t="s">
        <v>32</v>
      </c>
      <c r="D4199" t="s">
        <v>34</v>
      </c>
      <c r="E4199">
        <v>4</v>
      </c>
      <c r="F4199">
        <v>0</v>
      </c>
      <c r="G4199">
        <v>1</v>
      </c>
      <c r="H4199" s="1">
        <v>7.5925925925925926E-3</v>
      </c>
      <c r="I4199" t="s">
        <v>18</v>
      </c>
      <c r="J4199" s="2" t="str">
        <f>HYPERLINK("https://www.nba.com/stats/events?CFID=&amp;CFPARAMS=&amp;GameEventID=6&amp;GameID=0021400906&amp;Season=2014-15&amp;flag=1&amp;title=Leonard%2012'%20Turnaround%20Fadeaway%20(4%20PTS)", "Leonard 12' Turnaround Fadeaway (4 PTS)")</f>
        <v>Leonard 12' Turnaround Fadeaway (4 PTS)</v>
      </c>
      <c r="K4199" s="2" t="str">
        <f>HYPERLINK("https://www.nba.com/game/...-vs-...-0021400906/play-by-play?watchFullGame=true", "SAS vs SAC - Q1 10:56.00")</f>
        <v>SAS vs SAC - Q1 10:56.00</v>
      </c>
      <c r="L4199">
        <v>12</v>
      </c>
      <c r="M4199">
        <v>124</v>
      </c>
      <c r="N4199">
        <v>3</v>
      </c>
      <c r="O4199">
        <v>124</v>
      </c>
      <c r="P4199">
        <v>3</v>
      </c>
    </row>
    <row r="4200" spans="1:16" x14ac:dyDescent="0.25">
      <c r="A4200">
        <v>22200480</v>
      </c>
      <c r="B4200">
        <v>2022</v>
      </c>
      <c r="C4200" t="s">
        <v>32</v>
      </c>
      <c r="D4200" t="s">
        <v>19</v>
      </c>
      <c r="E4200">
        <v>4</v>
      </c>
      <c r="F4200">
        <v>7</v>
      </c>
      <c r="G4200">
        <v>1</v>
      </c>
      <c r="H4200" s="1">
        <v>7.1064814814814819E-3</v>
      </c>
      <c r="I4200" t="s">
        <v>23</v>
      </c>
      <c r="J4200" s="2" t="str">
        <f>HYPERLINK("https://www.nba.com/stats/events?CFID=&amp;CFPARAMS=&amp;GameEventID=14&amp;GameID=0022200480&amp;Season=2022-23&amp;flag=1&amp;title=Leonard%2015'%20turnaround%20fadeaway%20Jump%20Shot%20(4%20PTS)", "15' turnaround fadeaway Jump Shot (4 PTS)")</f>
        <v>15' turnaround fadeaway Jump Shot (4 PTS)</v>
      </c>
      <c r="K4200" s="2" t="str">
        <f>HYPERLINK("https://www.nba.com/game/...-vs-...-0022200480/play-by-play?watchFullGame=true", "LAC vs PHI - Q1 10:14.00")</f>
        <v>LAC vs PHI - Q1 10:14.00</v>
      </c>
      <c r="L4200">
        <v>15.62</v>
      </c>
      <c r="M4200">
        <v>84.28</v>
      </c>
      <c r="N4200">
        <v>74.75</v>
      </c>
      <c r="O4200">
        <v>124</v>
      </c>
      <c r="P4200">
        <v>95</v>
      </c>
    </row>
    <row r="4201" spans="1:16" x14ac:dyDescent="0.25">
      <c r="A4201">
        <v>21400249</v>
      </c>
      <c r="B4201">
        <v>2014</v>
      </c>
      <c r="C4201" t="s">
        <v>32</v>
      </c>
      <c r="D4201" t="s">
        <v>34</v>
      </c>
      <c r="E4201">
        <v>33</v>
      </c>
      <c r="F4201">
        <v>51</v>
      </c>
      <c r="G4201">
        <v>2</v>
      </c>
      <c r="H4201" s="1">
        <v>3.3680555555555556E-3</v>
      </c>
      <c r="I4201" t="s">
        <v>18</v>
      </c>
      <c r="J4201" s="2" t="str">
        <f>HYPERLINK("https://www.nba.com/stats/events?CFID=&amp;CFPARAMS=&amp;GameEventID=213&amp;GameID=0021400249&amp;Season=2014-15&amp;flag=1&amp;title=Leonard%2016'%20Turnaround%20Fadeaway%20(13%20PTS)", "Leonard 16' Turnaround Fadeaway (13 PTS)")</f>
        <v>Leonard 16' Turnaround Fadeaway (13 PTS)</v>
      </c>
      <c r="K4201" s="2" t="str">
        <f>HYPERLINK("https://www.nba.com/game/...-vs-...-0021400249/play-by-play?watchFullGame=true", "SAS vs PHI - Q2 04:51.00")</f>
        <v>SAS vs PHI - Q2 04:51.00</v>
      </c>
      <c r="L4201">
        <v>16</v>
      </c>
      <c r="M4201">
        <v>124</v>
      </c>
      <c r="N4201">
        <v>96</v>
      </c>
      <c r="O4201">
        <v>124</v>
      </c>
      <c r="P4201">
        <v>96</v>
      </c>
    </row>
    <row r="4202" spans="1:16" x14ac:dyDescent="0.25">
      <c r="A4202">
        <v>41300405</v>
      </c>
      <c r="B4202" t="s">
        <v>26</v>
      </c>
      <c r="C4202" t="s">
        <v>16</v>
      </c>
      <c r="D4202" t="s">
        <v>19</v>
      </c>
      <c r="E4202">
        <v>5</v>
      </c>
      <c r="F4202">
        <v>13</v>
      </c>
      <c r="G4202">
        <v>1</v>
      </c>
      <c r="H4202" s="1">
        <v>5.0115740740740737E-3</v>
      </c>
      <c r="I4202" t="s">
        <v>18</v>
      </c>
      <c r="J4202" s="2" t="str">
        <f>HYPERLINK("https://www.nba.com/stats/events?CFID=&amp;CFPARAMS=&amp;GameEventID=45&amp;GameID=0041300405&amp;Season=2013-14&amp;flag=1&amp;title=Leonard%2024'%203PT%20Jump%20Shot%20(3%20PTS)%20(Parker%201%20AST)", "Leonard 24' 3PT Jump Shot (3 PTS) (Parker 1 AST)")</f>
        <v>Leonard 24' 3PT Jump Shot (3 PTS) (Parker 1 AST)</v>
      </c>
      <c r="K4202" s="2" t="str">
        <f>HYPERLINK("https://www.nba.com/game/...-vs-...-0041300405/play-by-play?watchFullGame=true", "SAS vs MIA - Q1 07:13.00")</f>
        <v>SAS vs MIA - Q1 07:13.00</v>
      </c>
      <c r="L4202">
        <v>24</v>
      </c>
      <c r="M4202">
        <v>124</v>
      </c>
      <c r="N4202">
        <v>209</v>
      </c>
      <c r="O4202">
        <v>124</v>
      </c>
      <c r="P4202">
        <v>209</v>
      </c>
    </row>
    <row r="4203" spans="1:16" x14ac:dyDescent="0.25">
      <c r="A4203">
        <v>22200970</v>
      </c>
      <c r="B4203">
        <v>2022</v>
      </c>
      <c r="C4203" t="s">
        <v>16</v>
      </c>
      <c r="D4203" t="s">
        <v>19</v>
      </c>
      <c r="E4203">
        <v>120</v>
      </c>
      <c r="F4203">
        <v>121</v>
      </c>
      <c r="G4203">
        <v>4</v>
      </c>
      <c r="H4203" s="1">
        <v>3.1481481481481482E-3</v>
      </c>
      <c r="I4203" t="s">
        <v>23</v>
      </c>
      <c r="J4203" s="2" t="str">
        <f>HYPERLINK("https://www.nba.com/stats/events?CFID=&amp;CFPARAMS=&amp;GameEventID=588&amp;GameID=0022200970&amp;Season=2022-23&amp;flag=1&amp;title=Leonard%2025'%203PT%20step%20back%20(24%20PTS)", "25' 3PT step back (24 PTS)")</f>
        <v>25' 3PT step back (24 PTS)</v>
      </c>
      <c r="K4203" s="2" t="str">
        <f>HYPERLINK("https://www.nba.com/game/...-vs-...-0022200970/play-by-play?watchFullGame=true", "LAC vs MEM - Q4 04:32.00")</f>
        <v>LAC vs MEM - Q4 04:32.00</v>
      </c>
      <c r="L4203">
        <v>25.14</v>
      </c>
      <c r="M4203">
        <v>71.14</v>
      </c>
      <c r="N4203">
        <v>74.75</v>
      </c>
      <c r="O4203">
        <v>124</v>
      </c>
      <c r="P4203">
        <v>219</v>
      </c>
    </row>
    <row r="4204" spans="1:16" x14ac:dyDescent="0.25">
      <c r="A4204">
        <v>21601161</v>
      </c>
      <c r="B4204">
        <v>2016</v>
      </c>
      <c r="C4204" t="s">
        <v>32</v>
      </c>
      <c r="D4204" t="s">
        <v>19</v>
      </c>
      <c r="E4204">
        <v>73</v>
      </c>
      <c r="F4204">
        <v>62</v>
      </c>
      <c r="G4204">
        <v>4</v>
      </c>
      <c r="H4204" s="1">
        <v>5.0810185185185186E-3</v>
      </c>
      <c r="I4204" t="s">
        <v>18</v>
      </c>
      <c r="J4204" s="2" t="str">
        <f>HYPERLINK("https://www.nba.com/stats/events?CFID=&amp;CFPARAMS=&amp;GameEventID=390&amp;GameID=0021601161&amp;Season=2016-17&amp;flag=1&amp;title=Leonard%2013'%20Jump%20Shot%20(22%20PTS)%20(Parker%207%20AST)", "Leonard 13' Jump Shot (22 PTS) (Parker 7 AST)")</f>
        <v>Leonard 13' Jump Shot (22 PTS) (Parker 7 AST)</v>
      </c>
      <c r="K4204" s="2" t="str">
        <f>HYPERLINK("https://www.nba.com/game/...-vs-...-0021601161/play-by-play?watchFullGame=true", "SAS vs MEM - Q4 07:19.00")</f>
        <v>SAS vs MEM - Q4 07:19.00</v>
      </c>
      <c r="L4204">
        <v>13</v>
      </c>
      <c r="M4204">
        <v>125</v>
      </c>
      <c r="N4204">
        <v>21</v>
      </c>
      <c r="O4204">
        <v>125</v>
      </c>
      <c r="P4204">
        <v>21</v>
      </c>
    </row>
    <row r="4205" spans="1:16" x14ac:dyDescent="0.25">
      <c r="A4205">
        <v>21600701</v>
      </c>
      <c r="B4205">
        <v>2016</v>
      </c>
      <c r="C4205" t="s">
        <v>32</v>
      </c>
      <c r="D4205" t="s">
        <v>33</v>
      </c>
      <c r="E4205">
        <v>36</v>
      </c>
      <c r="F4205">
        <v>35</v>
      </c>
      <c r="G4205">
        <v>2</v>
      </c>
      <c r="H4205" s="1">
        <v>5.2662037037037035E-3</v>
      </c>
      <c r="I4205" t="s">
        <v>18</v>
      </c>
      <c r="J4205" s="2" t="str">
        <f>HYPERLINK("https://www.nba.com/stats/events?CFID=&amp;CFPARAMS=&amp;GameEventID=176&amp;GameID=0021600701&amp;Season=2016-17&amp;flag=1&amp;title=Leonard%2013'%20Fadeaway%20Jumper%20(7%20PTS)", "Leonard 13' Fadeaway Jumper (7 PTS)")</f>
        <v>Leonard 13' Fadeaway Jumper (7 PTS)</v>
      </c>
      <c r="K4205" s="2" t="str">
        <f>HYPERLINK("https://www.nba.com/game/...-vs-...-0021600701/play-by-play?watchFullGame=true", "SAS vs NOP - Q2 07:35.00")</f>
        <v>SAS vs NOP - Q2 07:35.00</v>
      </c>
      <c r="L4205">
        <v>13</v>
      </c>
      <c r="M4205">
        <v>125</v>
      </c>
      <c r="N4205">
        <v>36</v>
      </c>
      <c r="O4205">
        <v>125</v>
      </c>
      <c r="P4205">
        <v>36</v>
      </c>
    </row>
    <row r="4206" spans="1:16" x14ac:dyDescent="0.25">
      <c r="A4206">
        <v>21500860</v>
      </c>
      <c r="B4206">
        <v>2015</v>
      </c>
      <c r="C4206" t="s">
        <v>32</v>
      </c>
      <c r="D4206" t="s">
        <v>29</v>
      </c>
      <c r="E4206">
        <v>27</v>
      </c>
      <c r="F4206">
        <v>22</v>
      </c>
      <c r="G4206">
        <v>2</v>
      </c>
      <c r="H4206" s="1">
        <v>5.2662037037037035E-3</v>
      </c>
      <c r="I4206" t="s">
        <v>18</v>
      </c>
      <c r="J4206" s="2" t="str">
        <f>HYPERLINK("https://www.nba.com/stats/events?CFID=&amp;CFPARAMS=&amp;GameEventID=149&amp;GameID=0021500860&amp;Season=2015-16&amp;flag=1&amp;title=Leonard%2015'%20Pullup%20Jump%20Shot%20(8%20PTS)", "Leonard 15' Pullup Jump Shot (8 PTS)")</f>
        <v>Leonard 15' Pullup Jump Shot (8 PTS)</v>
      </c>
      <c r="K4206" s="2" t="str">
        <f>HYPERLINK("https://www.nba.com/game/...-vs-...-0021500860/play-by-play?watchFullGame=true", "SAS vs UTA - Q2 07:35.00")</f>
        <v>SAS vs UTA - Q2 07:35.00</v>
      </c>
      <c r="L4206">
        <v>15</v>
      </c>
      <c r="M4206">
        <v>125</v>
      </c>
      <c r="N4206">
        <v>90</v>
      </c>
      <c r="O4206">
        <v>125</v>
      </c>
      <c r="P4206">
        <v>90</v>
      </c>
    </row>
    <row r="4207" spans="1:16" x14ac:dyDescent="0.25">
      <c r="A4207">
        <v>22200352</v>
      </c>
      <c r="B4207">
        <v>2022</v>
      </c>
      <c r="C4207" t="s">
        <v>32</v>
      </c>
      <c r="D4207" t="s">
        <v>19</v>
      </c>
      <c r="E4207">
        <v>117</v>
      </c>
      <c r="F4207">
        <v>119</v>
      </c>
      <c r="G4207">
        <v>4</v>
      </c>
      <c r="H4207" s="1">
        <v>1.6203703703703704E-5</v>
      </c>
      <c r="I4207" t="s">
        <v>23</v>
      </c>
      <c r="J4207" s="2" t="str">
        <f>HYPERLINK("https://www.nba.com/stats/events?CFID=&amp;CFPARAMS=&amp;GameEventID=666&amp;GameID=0022200352&amp;Season=2022-23&amp;flag=1&amp;title=Leonard%2017'%20step%20back%20Jump%20Shot%20(16%20PTS)", "17' step back Jump Shot (16 PTS)")</f>
        <v>17' step back Jump Shot (16 PTS)</v>
      </c>
      <c r="K4207" s="2" t="str">
        <f>HYPERLINK("https://www.nba.com/game/...-vs-...-0022200352/play-by-play?watchFullGame=true", "LAC vs CHA - Q4 00:01.40")</f>
        <v>LAC vs CHA - Q4 00:01.40</v>
      </c>
      <c r="L4207">
        <v>17.850000000000001</v>
      </c>
      <c r="M4207">
        <v>19.14</v>
      </c>
      <c r="N4207">
        <v>25</v>
      </c>
      <c r="O4207">
        <v>125</v>
      </c>
      <c r="P4207">
        <v>127</v>
      </c>
    </row>
    <row r="4208" spans="1:16" x14ac:dyDescent="0.25">
      <c r="A4208">
        <v>21300965</v>
      </c>
      <c r="B4208">
        <v>2013</v>
      </c>
      <c r="C4208" t="s">
        <v>32</v>
      </c>
      <c r="D4208" t="s">
        <v>29</v>
      </c>
      <c r="E4208">
        <v>6</v>
      </c>
      <c r="F4208">
        <v>0</v>
      </c>
      <c r="G4208">
        <v>1</v>
      </c>
      <c r="H4208" s="1">
        <v>6.6782407407407407E-3</v>
      </c>
      <c r="I4208" t="s">
        <v>18</v>
      </c>
      <c r="J4208" s="2" t="str">
        <f>HYPERLINK("https://www.nba.com/stats/events?CFID=&amp;CFPARAMS=&amp;GameEventID=19&amp;GameID=0021300965&amp;Season=2013-14&amp;flag=1&amp;title=Leonard%2018'%20Pullup%20Jump%20Shot%20(4%20PTS)%20(Duncan%201%20AST)", "Leonard 18' Pullup Jump Shot (4 PTS) (Duncan 1 AST)")</f>
        <v>Leonard 18' Pullup Jump Shot (4 PTS) (Duncan 1 AST)</v>
      </c>
      <c r="K4208" s="2" t="str">
        <f>HYPERLINK("https://www.nba.com/game/...-vs-...-0021300965/play-by-play?watchFullGame=true", "SAS vs POR - Q1 09:37.00")</f>
        <v>SAS vs POR - Q1 09:37.00</v>
      </c>
      <c r="L4208">
        <v>18</v>
      </c>
      <c r="M4208">
        <v>125</v>
      </c>
      <c r="N4208">
        <v>135</v>
      </c>
      <c r="O4208">
        <v>125</v>
      </c>
      <c r="P4208">
        <v>135</v>
      </c>
    </row>
    <row r="4209" spans="1:16" x14ac:dyDescent="0.25">
      <c r="A4209">
        <v>21900212</v>
      </c>
      <c r="B4209">
        <v>2019</v>
      </c>
      <c r="C4209" t="s">
        <v>32</v>
      </c>
      <c r="D4209" t="s">
        <v>22</v>
      </c>
      <c r="E4209">
        <v>45</v>
      </c>
      <c r="F4209">
        <v>42</v>
      </c>
      <c r="G4209">
        <v>3</v>
      </c>
      <c r="H4209" s="1">
        <v>7.5115740740740742E-3</v>
      </c>
      <c r="I4209" t="s">
        <v>23</v>
      </c>
      <c r="J4209" s="2" t="str">
        <f>HYPERLINK("https://www.nba.com/stats/events?CFID=&amp;CFPARAMS=&amp;GameEventID=358&amp;GameID=0021900212&amp;Season=2019-20&amp;flag=1&amp;title=Leonard%2020'%20jumpshot%20(13%20PTS)%20(M.%20Harkless%201%20AST)", "20' jumpshot (13 PTS) (M. Harkless 1 AST)")</f>
        <v>20' jumpshot (13 PTS) (M. Harkless 1 AST)</v>
      </c>
      <c r="K4209" s="2" t="str">
        <f>HYPERLINK("https://www.nba.com/game/...-vs-...-0021900212/play-by-play?watchFullGame=true", "LAC vs BOS - Q3 10:49.00")</f>
        <v>LAC vs BOS - Q3 10:49.00</v>
      </c>
      <c r="L4209">
        <v>19.61</v>
      </c>
      <c r="M4209">
        <v>78.89</v>
      </c>
      <c r="N4209">
        <v>74.930000000000007</v>
      </c>
      <c r="O4209">
        <v>125</v>
      </c>
      <c r="P4209">
        <v>146</v>
      </c>
    </row>
    <row r="4210" spans="1:16" x14ac:dyDescent="0.25">
      <c r="A4210">
        <v>22400751</v>
      </c>
      <c r="B4210">
        <v>2024</v>
      </c>
      <c r="C4210" t="s">
        <v>32</v>
      </c>
      <c r="D4210" t="s">
        <v>19</v>
      </c>
      <c r="E4210">
        <v>9</v>
      </c>
      <c r="F4210">
        <v>17</v>
      </c>
      <c r="G4210">
        <v>1</v>
      </c>
      <c r="H4210" s="1">
        <v>5.6712962962962967E-3</v>
      </c>
      <c r="I4210" t="s">
        <v>23</v>
      </c>
      <c r="J4210" s="2" t="str">
        <f>HYPERLINK("https://www.nba.com/stats/events?CFID=&amp;CFPARAMS=&amp;GameEventID=39&amp;GameID=0022400751&amp;Season=2024-25&amp;flag=1&amp;title=Leonard%2019'%20Jump%20Shot%20(2%20PTS)", "19' Jump Shot (2 PTS)")</f>
        <v>19' Jump Shot (2 PTS)</v>
      </c>
      <c r="K4210" s="2" t="str">
        <f>HYPERLINK("https://www.nba.com/game/...-vs-...-0022400751/play-by-play?watchFullGame=true", "LAC vs UTA - Q1 08:10.00")</f>
        <v>LAC vs UTA - Q1 08:10.00</v>
      </c>
      <c r="L4210">
        <v>19.3</v>
      </c>
      <c r="M4210">
        <v>21.24</v>
      </c>
      <c r="N4210">
        <v>25</v>
      </c>
      <c r="O4210">
        <v>125</v>
      </c>
      <c r="P4210">
        <v>147</v>
      </c>
    </row>
    <row r="4211" spans="1:16" x14ac:dyDescent="0.25">
      <c r="A4211">
        <v>41500231</v>
      </c>
      <c r="B4211" t="s">
        <v>25</v>
      </c>
      <c r="C4211" t="s">
        <v>32</v>
      </c>
      <c r="D4211" t="s">
        <v>29</v>
      </c>
      <c r="E4211">
        <v>8</v>
      </c>
      <c r="F4211">
        <v>4</v>
      </c>
      <c r="G4211">
        <v>1</v>
      </c>
      <c r="H4211" s="1">
        <v>6.7824074074074071E-3</v>
      </c>
      <c r="I4211" t="s">
        <v>18</v>
      </c>
      <c r="J4211" s="2" t="str">
        <f>HYPERLINK("https://www.nba.com/stats/events?CFID=&amp;CFPARAMS=&amp;GameEventID=14&amp;GameID=0041500231&amp;Season=2015-16&amp;flag=1&amp;title=Leonard%2019'%20Pullup%20Jump%20Shot%20(4%20PTS)", "Leonard 19' Pullup Jump Shot (4 PTS)")</f>
        <v>Leonard 19' Pullup Jump Shot (4 PTS)</v>
      </c>
      <c r="K4211" s="2" t="str">
        <f>HYPERLINK("https://www.nba.com/game/...-vs-...-0041500231/play-by-play?watchFullGame=true", "SAS vs OKC - Q1 09:46.00")</f>
        <v>SAS vs OKC - Q1 09:46.00</v>
      </c>
      <c r="L4211">
        <v>19</v>
      </c>
      <c r="M4211">
        <v>125</v>
      </c>
      <c r="N4211">
        <v>149</v>
      </c>
      <c r="O4211">
        <v>125</v>
      </c>
      <c r="P4211">
        <v>149</v>
      </c>
    </row>
    <row r="4212" spans="1:16" x14ac:dyDescent="0.25">
      <c r="A4212">
        <v>21600003</v>
      </c>
      <c r="B4212">
        <v>2016</v>
      </c>
      <c r="C4212" t="s">
        <v>32</v>
      </c>
      <c r="D4212" t="s">
        <v>19</v>
      </c>
      <c r="E4212">
        <v>73</v>
      </c>
      <c r="F4212">
        <v>91</v>
      </c>
      <c r="G4212">
        <v>3</v>
      </c>
      <c r="H4212" s="1">
        <v>6.9444444444444447E-4</v>
      </c>
      <c r="I4212" t="s">
        <v>18</v>
      </c>
      <c r="J4212" s="2" t="str">
        <f>HYPERLINK("https://www.nba.com/stats/events?CFID=&amp;CFPARAMS=&amp;GameEventID=385&amp;GameID=0021600003&amp;Season=2016-17&amp;flag=1&amp;title=Leonard%2019'%20Jump%20Shot%20(25%20PTS)", "Leonard 19' Jump Shot (25 PTS)")</f>
        <v>Leonard 19' Jump Shot (25 PTS)</v>
      </c>
      <c r="K4212" s="2" t="str">
        <f>HYPERLINK("https://www.nba.com/game/...-vs-...-0021600003/play-by-play?watchFullGame=true", "SAS vs GSW - Q3 01:00.00")</f>
        <v>SAS vs GSW - Q3 01:00.00</v>
      </c>
      <c r="L4212">
        <v>19</v>
      </c>
      <c r="M4212">
        <v>125</v>
      </c>
      <c r="N4212">
        <v>149</v>
      </c>
      <c r="O4212">
        <v>125</v>
      </c>
      <c r="P4212">
        <v>149</v>
      </c>
    </row>
    <row r="4213" spans="1:16" x14ac:dyDescent="0.25">
      <c r="A4213">
        <v>21601118</v>
      </c>
      <c r="B4213">
        <v>2016</v>
      </c>
      <c r="C4213" t="s">
        <v>32</v>
      </c>
      <c r="D4213" t="s">
        <v>31</v>
      </c>
      <c r="E4213">
        <v>19</v>
      </c>
      <c r="F4213">
        <v>3</v>
      </c>
      <c r="G4213">
        <v>1</v>
      </c>
      <c r="H4213" s="1">
        <v>4.1898148148148146E-3</v>
      </c>
      <c r="I4213" t="s">
        <v>18</v>
      </c>
      <c r="J4213" s="2" t="str">
        <f>HYPERLINK("https://www.nba.com/stats/events?CFID=&amp;CFPARAMS=&amp;GameEventID=66&amp;GameID=0021601118&amp;Season=2016-17&amp;flag=1&amp;title=Leonard%2020'%20Step%20Back%20Jump%20Shot%20(6%20PTS)", "Leonard 20' Step Back Jump Shot (6 PTS)")</f>
        <v>Leonard 20' Step Back Jump Shot (6 PTS)</v>
      </c>
      <c r="K4213" s="2" t="str">
        <f>HYPERLINK("https://www.nba.com/game/...-vs-...-0021601118/play-by-play?watchFullGame=true", "SAS vs GSW - Q1 06:02.00")</f>
        <v>SAS vs GSW - Q1 06:02.00</v>
      </c>
      <c r="L4213">
        <v>20</v>
      </c>
      <c r="M4213">
        <v>125</v>
      </c>
      <c r="N4213">
        <v>151</v>
      </c>
      <c r="O4213">
        <v>125</v>
      </c>
      <c r="P4213">
        <v>151</v>
      </c>
    </row>
    <row r="4214" spans="1:16" x14ac:dyDescent="0.25">
      <c r="A4214">
        <v>22000472</v>
      </c>
      <c r="B4214">
        <v>2020</v>
      </c>
      <c r="C4214" t="s">
        <v>16</v>
      </c>
      <c r="D4214" t="s">
        <v>19</v>
      </c>
      <c r="E4214">
        <v>30</v>
      </c>
      <c r="F4214">
        <v>28</v>
      </c>
      <c r="G4214">
        <v>1</v>
      </c>
      <c r="H4214" s="1">
        <v>3.1481481481481481E-4</v>
      </c>
      <c r="I4214" t="s">
        <v>23</v>
      </c>
      <c r="J4214" s="2" t="str">
        <f>HYPERLINK("https://www.nba.com/stats/events?CFID=&amp;CFPARAMS=&amp;GameEventID=139&amp;GameID=0022000472&amp;Season=2020-21&amp;flag=1&amp;title=Leonard%2025'%203PT%20%20(14%20PTS)%20(T.%20Mann%201%20AST)", "25' 3PT  (14 PTS) (T. Mann 1 AST)")</f>
        <v>25' 3PT  (14 PTS) (T. Mann 1 AST)</v>
      </c>
      <c r="K4214" s="2" t="str">
        <f>HYPERLINK("https://www.nba.com/game/...-vs-...-0022000472/play-by-play?watchFullGame=true", "LAC vs BKN - Q1 00:27.20")</f>
        <v>LAC vs BKN - Q1 00:27.20</v>
      </c>
      <c r="L4214">
        <v>25.19</v>
      </c>
      <c r="M4214">
        <v>71.17</v>
      </c>
      <c r="N4214">
        <v>75.069999999999993</v>
      </c>
      <c r="O4214">
        <v>125</v>
      </c>
      <c r="P4214">
        <v>218</v>
      </c>
    </row>
    <row r="4215" spans="1:16" x14ac:dyDescent="0.25">
      <c r="A4215">
        <v>41800214</v>
      </c>
      <c r="B4215" t="s">
        <v>20</v>
      </c>
      <c r="C4215" t="s">
        <v>16</v>
      </c>
      <c r="D4215" t="s">
        <v>29</v>
      </c>
      <c r="E4215">
        <v>11</v>
      </c>
      <c r="F4215">
        <v>18</v>
      </c>
      <c r="G4215">
        <v>1</v>
      </c>
      <c r="H4215" s="1">
        <v>4.2361111111111115E-3</v>
      </c>
      <c r="I4215" t="s">
        <v>21</v>
      </c>
      <c r="J4215" s="2" t="str">
        <f>HYPERLINK("https://www.nba.com/stats/events?CFID=&amp;CFPARAMS=&amp;GameEventID=63&amp;GameID=0041800214&amp;Season=2018-19&amp;flag=1&amp;title=Leonard%2025'%203PT%20Pullup%20Jump%20Shot%20(7%20PTS)", "Leonard 25' 3PT Pullup Jump Shot (7 PTS)")</f>
        <v>Leonard 25' 3PT Pullup Jump Shot (7 PTS)</v>
      </c>
      <c r="K4215" s="2" t="str">
        <f>HYPERLINK("https://www.nba.com/game/...-vs-...-0041800214/play-by-play?watchFullGame=true", "TOR vs PHI - Q1 06:06.00")</f>
        <v>TOR vs PHI - Q1 06:06.00</v>
      </c>
      <c r="L4215">
        <v>25</v>
      </c>
      <c r="M4215">
        <v>126</v>
      </c>
      <c r="N4215">
        <v>219</v>
      </c>
      <c r="O4215">
        <v>126</v>
      </c>
      <c r="P4215">
        <v>219</v>
      </c>
    </row>
    <row r="4216" spans="1:16" x14ac:dyDescent="0.25">
      <c r="A4216">
        <v>22200902</v>
      </c>
      <c r="B4216">
        <v>2022</v>
      </c>
      <c r="C4216" t="s">
        <v>16</v>
      </c>
      <c r="D4216" t="s">
        <v>19</v>
      </c>
      <c r="E4216">
        <v>83</v>
      </c>
      <c r="F4216">
        <v>76</v>
      </c>
      <c r="G4216">
        <v>3</v>
      </c>
      <c r="H4216" s="1">
        <v>8.0208333333333329E-3</v>
      </c>
      <c r="I4216" t="s">
        <v>23</v>
      </c>
      <c r="J4216" s="2" t="str">
        <f>HYPERLINK("https://www.nba.com/stats/events?CFID=&amp;CFPARAMS=&amp;GameEventID=353&amp;GameID=0022200902&amp;Season=2022-23&amp;flag=1&amp;title=Leonard%2026'%203PT%20%20(20%20PTS)%20(R.%20Westbrook%207%20AST)", "26' 3PT  (20 PTS) (R. Westbrook 7 AST)")</f>
        <v>26' 3PT  (20 PTS) (R. Westbrook 7 AST)</v>
      </c>
      <c r="K4216" s="2" t="str">
        <f>HYPERLINK("https://www.nba.com/game/...-vs-...-0022200902/play-by-play?watchFullGame=true", "LAC vs SAC - Q3 11:33.00")</f>
        <v>LAC vs SAC - Q3 11:33.00</v>
      </c>
      <c r="L4216">
        <v>26.3</v>
      </c>
      <c r="M4216">
        <v>30.14</v>
      </c>
      <c r="N4216">
        <v>24.75</v>
      </c>
      <c r="O4216">
        <v>126</v>
      </c>
      <c r="P4216">
        <v>231</v>
      </c>
    </row>
    <row r="4217" spans="1:16" x14ac:dyDescent="0.25">
      <c r="A4217">
        <v>21500207</v>
      </c>
      <c r="B4217">
        <v>2015</v>
      </c>
      <c r="C4217" t="s">
        <v>32</v>
      </c>
      <c r="D4217" t="s">
        <v>33</v>
      </c>
      <c r="E4217">
        <v>20</v>
      </c>
      <c r="F4217">
        <v>15</v>
      </c>
      <c r="G4217">
        <v>1</v>
      </c>
      <c r="H4217" s="1">
        <v>8.3333333333333339E-4</v>
      </c>
      <c r="I4217" t="s">
        <v>18</v>
      </c>
      <c r="J4217" s="2" t="str">
        <f>HYPERLINK("https://www.nba.com/stats/events?CFID=&amp;CFPARAMS=&amp;GameEventID=96&amp;GameID=0021500207&amp;Season=2015-16&amp;flag=1&amp;title=Leonard%2013'%20Fadeaway%20Jumper%20(11%20PTS)", "Leonard 13' Fadeaway Jumper (11 PTS)")</f>
        <v>Leonard 13' Fadeaway Jumper (11 PTS)</v>
      </c>
      <c r="K4217" s="2" t="str">
        <f>HYPERLINK("https://www.nba.com/game/...-vs-...-0021500207/play-by-play?watchFullGame=true", "SAS vs PHX - Q1 01:12.00")</f>
        <v>SAS vs PHX - Q1 01:12.00</v>
      </c>
      <c r="L4217">
        <v>13</v>
      </c>
      <c r="M4217">
        <v>127</v>
      </c>
      <c r="N4217">
        <v>-6</v>
      </c>
      <c r="O4217">
        <v>127</v>
      </c>
      <c r="P4217">
        <v>-6</v>
      </c>
    </row>
    <row r="4218" spans="1:16" x14ac:dyDescent="0.25">
      <c r="A4218">
        <v>21300898</v>
      </c>
      <c r="B4218">
        <v>2013</v>
      </c>
      <c r="C4218" t="s">
        <v>32</v>
      </c>
      <c r="D4218" t="s">
        <v>19</v>
      </c>
      <c r="E4218">
        <v>36</v>
      </c>
      <c r="F4218">
        <v>36</v>
      </c>
      <c r="G4218">
        <v>2</v>
      </c>
      <c r="H4218" s="1">
        <v>4.0277777777777777E-3</v>
      </c>
      <c r="I4218" t="s">
        <v>18</v>
      </c>
      <c r="J4218" s="2" t="str">
        <f>HYPERLINK("https://www.nba.com/stats/events?CFID=&amp;CFPARAMS=&amp;GameEventID=213&amp;GameID=0021300898&amp;Season=2013-14&amp;flag=1&amp;title=Leonard%2013'%20Jump%20Shot%20(7%20PTS)%20(Duncan%201%20AST)", "Leonard 13' Jump Shot (7 PTS) (Duncan 1 AST)")</f>
        <v>Leonard 13' Jump Shot (7 PTS) (Duncan 1 AST)</v>
      </c>
      <c r="K4218" s="2" t="str">
        <f>HYPERLINK("https://www.nba.com/game/...-vs-...-0021300898/play-by-play?watchFullGame=true", "SAS vs CLE - Q2 05:48.00")</f>
        <v>SAS vs CLE - Q2 05:48.00</v>
      </c>
      <c r="L4218">
        <v>13</v>
      </c>
      <c r="M4218">
        <v>127</v>
      </c>
      <c r="N4218">
        <v>9</v>
      </c>
      <c r="O4218">
        <v>127</v>
      </c>
      <c r="P4218">
        <v>9</v>
      </c>
    </row>
    <row r="4219" spans="1:16" x14ac:dyDescent="0.25">
      <c r="A4219">
        <v>21301186</v>
      </c>
      <c r="B4219">
        <v>2013</v>
      </c>
      <c r="C4219" t="s">
        <v>32</v>
      </c>
      <c r="D4219" t="s">
        <v>19</v>
      </c>
      <c r="E4219">
        <v>72</v>
      </c>
      <c r="F4219">
        <v>76</v>
      </c>
      <c r="G4219">
        <v>3</v>
      </c>
      <c r="H4219" s="1">
        <v>3.9467592592592592E-3</v>
      </c>
      <c r="I4219" t="s">
        <v>18</v>
      </c>
      <c r="J4219" s="2" t="str">
        <f>HYPERLINK("https://www.nba.com/stats/events?CFID=&amp;CFPARAMS=&amp;GameEventID=317&amp;GameID=0021301186&amp;Season=2013-14&amp;flag=1&amp;title=Leonard%2013'%20Jump%20Shot%20(8%20PTS)", "Leonard 13' Jump Shot (8 PTS)")</f>
        <v>Leonard 13' Jump Shot (8 PTS)</v>
      </c>
      <c r="K4219" s="2" t="str">
        <f>HYPERLINK("https://www.nba.com/game/...-vs-...-0021301186/play-by-play?watchFullGame=true", "SAS vs PHX - Q3 05:41.00")</f>
        <v>SAS vs PHX - Q3 05:41.00</v>
      </c>
      <c r="L4219">
        <v>13</v>
      </c>
      <c r="M4219">
        <v>127</v>
      </c>
      <c r="N4219">
        <v>12</v>
      </c>
      <c r="O4219">
        <v>127</v>
      </c>
      <c r="P4219">
        <v>12</v>
      </c>
    </row>
    <row r="4220" spans="1:16" x14ac:dyDescent="0.25">
      <c r="A4220">
        <v>22300223</v>
      </c>
      <c r="B4220">
        <v>2023</v>
      </c>
      <c r="C4220" t="s">
        <v>32</v>
      </c>
      <c r="D4220" t="s">
        <v>19</v>
      </c>
      <c r="E4220">
        <v>56</v>
      </c>
      <c r="F4220">
        <v>70</v>
      </c>
      <c r="G4220">
        <v>3</v>
      </c>
      <c r="H4220" s="1">
        <v>7.6967592592592591E-3</v>
      </c>
      <c r="I4220" t="s">
        <v>23</v>
      </c>
      <c r="J4220" s="2" t="str">
        <f>HYPERLINK("https://www.nba.com/stats/events?CFID=&amp;CFPARAMS=&amp;GameEventID=316&amp;GameID=0022300223&amp;Season=2023-24&amp;flag=1&amp;title=Leonard%2013'%20fadeaway%20Jump%20Shot%20(14%20PTS)%20(J.%20Harden%207%20AST)", "13' fadeaway Jump Shot (14 PTS) (J. Harden 7 AST)")</f>
        <v>13' fadeaway Jump Shot (14 PTS) (J. Harden 7 AST)</v>
      </c>
      <c r="K4220" s="2" t="str">
        <f>HYPERLINK("https://www.nba.com/game/...-vs-...-0022300223/play-by-play?watchFullGame=true", "LAC vs SAS - Q3 11:05.00")</f>
        <v>LAC vs SAS - Q3 11:05.00</v>
      </c>
      <c r="L4220">
        <v>13.01</v>
      </c>
      <c r="M4220">
        <v>8.36</v>
      </c>
      <c r="N4220">
        <v>24.51</v>
      </c>
      <c r="O4220">
        <v>127</v>
      </c>
      <c r="P4220">
        <v>26</v>
      </c>
    </row>
    <row r="4221" spans="1:16" x14ac:dyDescent="0.25">
      <c r="A4221">
        <v>22000775</v>
      </c>
      <c r="B4221">
        <v>2020</v>
      </c>
      <c r="C4221" t="s">
        <v>32</v>
      </c>
      <c r="D4221" t="s">
        <v>19</v>
      </c>
      <c r="E4221">
        <v>64</v>
      </c>
      <c r="F4221">
        <v>39</v>
      </c>
      <c r="G4221">
        <v>2</v>
      </c>
      <c r="H4221" s="1">
        <v>5.4513888888888893E-3</v>
      </c>
      <c r="I4221" t="s">
        <v>23</v>
      </c>
      <c r="J4221" s="2" t="str">
        <f>HYPERLINK("https://www.nba.com/stats/events?CFID=&amp;CFPARAMS=&amp;GameEventID=228&amp;GameID=0022000775&amp;Season=2020-21&amp;flag=1&amp;title=Leonard%2013'%20pullup%20Jump%20Shot%20(9%20PTS)%20(D.%20Cousins%202%20AST)", "13' pullup Jump Shot (9 PTS) (D. Cousins 2 AST)")</f>
        <v>13' pullup Jump Shot (9 PTS) (D. Cousins 2 AST)</v>
      </c>
      <c r="K4221" s="2" t="str">
        <f>HYPERLINK("https://www.nba.com/game/...-vs-...-0022000775/play-by-play?watchFullGame=true", "LAC vs POR - Q2 07:51.00")</f>
        <v>LAC vs POR - Q2 07:51.00</v>
      </c>
      <c r="L4221">
        <v>13.87</v>
      </c>
      <c r="M4221">
        <v>88.39</v>
      </c>
      <c r="N4221">
        <v>75.31</v>
      </c>
      <c r="O4221">
        <v>127</v>
      </c>
      <c r="P4221">
        <v>57</v>
      </c>
    </row>
    <row r="4222" spans="1:16" x14ac:dyDescent="0.25">
      <c r="A4222">
        <v>22400983</v>
      </c>
      <c r="B4222">
        <v>2024</v>
      </c>
      <c r="C4222" t="s">
        <v>32</v>
      </c>
      <c r="D4222" t="s">
        <v>19</v>
      </c>
      <c r="E4222">
        <v>51</v>
      </c>
      <c r="F4222">
        <v>29</v>
      </c>
      <c r="G4222">
        <v>2</v>
      </c>
      <c r="H4222" s="1">
        <v>3.7384259259259259E-3</v>
      </c>
      <c r="I4222" t="s">
        <v>23</v>
      </c>
      <c r="J4222" s="2" t="str">
        <f>HYPERLINK("https://www.nba.com/stats/events?CFID=&amp;CFPARAMS=&amp;GameEventID=248&amp;GameID=0022400983&amp;Season=2024-25&amp;flag=1&amp;title=Leonard%2015'%20turnaround%20fadeaway%20Jump%20Shot%20(9%20PTS)%20(A.%20Coffey%201%20AST)", "15' turnaround fadeaway Jump Shot (9 PTS) (A. Coffey 1 AST)")</f>
        <v>15' turnaround fadeaway Jump Shot (9 PTS) (A. Coffey 1 AST)</v>
      </c>
      <c r="K4222" s="2" t="str">
        <f>HYPERLINK("https://www.nba.com/game/...-vs-...-0022400983/play-by-play?watchFullGame=true", "LAC vs WAS - Q2 05:23.00")</f>
        <v>LAC vs WAS - Q2 05:23.00</v>
      </c>
      <c r="L4222">
        <v>15.26</v>
      </c>
      <c r="M4222">
        <v>85.5</v>
      </c>
      <c r="N4222">
        <v>75.489999999999995</v>
      </c>
      <c r="O4222">
        <v>127</v>
      </c>
      <c r="P4222">
        <v>84</v>
      </c>
    </row>
    <row r="4223" spans="1:16" x14ac:dyDescent="0.25">
      <c r="A4223">
        <v>22000239</v>
      </c>
      <c r="B4223">
        <v>2020</v>
      </c>
      <c r="C4223" t="s">
        <v>32</v>
      </c>
      <c r="D4223" t="s">
        <v>19</v>
      </c>
      <c r="E4223">
        <v>118</v>
      </c>
      <c r="F4223">
        <v>105</v>
      </c>
      <c r="G4223">
        <v>4</v>
      </c>
      <c r="H4223" s="1">
        <v>7.9861111111111116E-4</v>
      </c>
      <c r="I4223" t="s">
        <v>23</v>
      </c>
      <c r="J4223" s="2" t="str">
        <f>HYPERLINK("https://www.nba.com/stats/events?CFID=&amp;CFPARAMS=&amp;GameEventID=596&amp;GameID=0022000239&amp;Season=2020-21&amp;flag=1&amp;title=Leonard%2016'%20pullup%20Jump%20Shot%20(31%20PTS)", "16' pullup Jump Shot (31 PTS)")</f>
        <v>16' pullup Jump Shot (31 PTS)</v>
      </c>
      <c r="K4223" s="2" t="str">
        <f>HYPERLINK("https://www.nba.com/game/...-vs-...-0022000239/play-by-play?watchFullGame=true", "LAC vs OKC - Q4 01:09.00")</f>
        <v>LAC vs OKC - Q4 01:09.00</v>
      </c>
      <c r="L4223">
        <v>16.579999999999998</v>
      </c>
      <c r="M4223">
        <v>16.899999999999999</v>
      </c>
      <c r="N4223">
        <v>24.58</v>
      </c>
      <c r="O4223">
        <v>127</v>
      </c>
      <c r="P4223">
        <v>106</v>
      </c>
    </row>
    <row r="4224" spans="1:16" x14ac:dyDescent="0.25">
      <c r="A4224">
        <v>22400842</v>
      </c>
      <c r="B4224">
        <v>2024</v>
      </c>
      <c r="C4224" t="s">
        <v>32</v>
      </c>
      <c r="D4224" t="s">
        <v>19</v>
      </c>
      <c r="E4224">
        <v>73</v>
      </c>
      <c r="F4224">
        <v>75</v>
      </c>
      <c r="G4224">
        <v>3</v>
      </c>
      <c r="H4224" s="1">
        <v>5.2893518518518515E-3</v>
      </c>
      <c r="I4224" t="s">
        <v>23</v>
      </c>
      <c r="J4224" s="2" t="str">
        <f>HYPERLINK("https://www.nba.com/stats/events?CFID=&amp;CFPARAMS=&amp;GameEventID=375&amp;GameID=0022400842&amp;Season=2024-25&amp;flag=1&amp;title=Leonard%2016'%20pullup%20Jump%20Shot%20(14%20PTS)", "16' pullup Jump Shot (14 PTS)")</f>
        <v>16' pullup Jump Shot (14 PTS)</v>
      </c>
      <c r="K4224" s="2" t="str">
        <f>HYPERLINK("https://www.nba.com/game/...-vs-...-0022400842/play-by-play?watchFullGame=true", "LAC vs CHI - Q3 07:37.00")</f>
        <v>LAC vs CHI - Q3 07:37.00</v>
      </c>
      <c r="L4224">
        <v>16.59</v>
      </c>
      <c r="M4224">
        <v>83.13</v>
      </c>
      <c r="N4224">
        <v>75.489999999999995</v>
      </c>
      <c r="O4224">
        <v>127</v>
      </c>
      <c r="P4224">
        <v>106</v>
      </c>
    </row>
    <row r="4225" spans="1:16" x14ac:dyDescent="0.25">
      <c r="A4225">
        <v>21400921</v>
      </c>
      <c r="B4225">
        <v>2014</v>
      </c>
      <c r="C4225" t="s">
        <v>32</v>
      </c>
      <c r="D4225" t="s">
        <v>19</v>
      </c>
      <c r="E4225">
        <v>46</v>
      </c>
      <c r="F4225">
        <v>44</v>
      </c>
      <c r="G4225">
        <v>2</v>
      </c>
      <c r="H4225" s="1">
        <v>4.5949074074074078E-3</v>
      </c>
      <c r="I4225" t="s">
        <v>18</v>
      </c>
      <c r="J4225" s="2" t="str">
        <f>HYPERLINK("https://www.nba.com/stats/events?CFID=&amp;CFPARAMS=&amp;GameEventID=177&amp;GameID=0021400921&amp;Season=2014-15&amp;flag=1&amp;title=Leonard%2017'%20Jump%20Shot%20(9%20PTS)", "Leonard 17' Jump Shot (9 PTS)")</f>
        <v>Leonard 17' Jump Shot (9 PTS)</v>
      </c>
      <c r="K4225" s="2" t="str">
        <f>HYPERLINK("https://www.nba.com/game/...-vs-...-0021400921/play-by-play?watchFullGame=true", "SAS vs DEN - Q2 06:37.00")</f>
        <v>SAS vs DEN - Q2 06:37.00</v>
      </c>
      <c r="L4225">
        <v>17</v>
      </c>
      <c r="M4225">
        <v>127</v>
      </c>
      <c r="N4225">
        <v>107</v>
      </c>
      <c r="O4225">
        <v>127</v>
      </c>
      <c r="P4225">
        <v>107</v>
      </c>
    </row>
    <row r="4226" spans="1:16" x14ac:dyDescent="0.25">
      <c r="A4226">
        <v>21600441</v>
      </c>
      <c r="B4226">
        <v>2016</v>
      </c>
      <c r="C4226" t="s">
        <v>32</v>
      </c>
      <c r="D4226" t="s">
        <v>29</v>
      </c>
      <c r="E4226">
        <v>20</v>
      </c>
      <c r="F4226">
        <v>14</v>
      </c>
      <c r="G4226">
        <v>1</v>
      </c>
      <c r="H4226" s="1">
        <v>2.1875000000000002E-3</v>
      </c>
      <c r="I4226" t="s">
        <v>18</v>
      </c>
      <c r="J4226" s="2" t="str">
        <f>HYPERLINK("https://www.nba.com/stats/events?CFID=&amp;CFPARAMS=&amp;GameEventID=101&amp;GameID=0021600441&amp;Season=2016-17&amp;flag=1&amp;title=Leonard%2017'%20Pullup%20Jump%20Shot%20(6%20PTS)", "Leonard 17' Pullup Jump Shot (6 PTS)")</f>
        <v>Leonard 17' Pullup Jump Shot (6 PTS)</v>
      </c>
      <c r="K4226" s="2" t="str">
        <f>HYPERLINK("https://www.nba.com/game/...-vs-...-0021600441/play-by-play?watchFullGame=true", "SAS vs LAC - Q1 03:09.00")</f>
        <v>SAS vs LAC - Q1 03:09.00</v>
      </c>
      <c r="L4226">
        <v>17</v>
      </c>
      <c r="M4226">
        <v>127</v>
      </c>
      <c r="N4226">
        <v>120</v>
      </c>
      <c r="O4226">
        <v>127</v>
      </c>
      <c r="P4226">
        <v>120</v>
      </c>
    </row>
    <row r="4227" spans="1:16" x14ac:dyDescent="0.25">
      <c r="A4227">
        <v>21601151</v>
      </c>
      <c r="B4227">
        <v>2016</v>
      </c>
      <c r="C4227" t="s">
        <v>32</v>
      </c>
      <c r="D4227" t="s">
        <v>29</v>
      </c>
      <c r="E4227">
        <v>84</v>
      </c>
      <c r="F4227">
        <v>68</v>
      </c>
      <c r="G4227">
        <v>3</v>
      </c>
      <c r="H4227" s="1">
        <v>1.8865740740740742E-3</v>
      </c>
      <c r="I4227" t="s">
        <v>18</v>
      </c>
      <c r="J4227" s="2" t="str">
        <f>HYPERLINK("https://www.nba.com/stats/events?CFID=&amp;CFPARAMS=&amp;GameEventID=318&amp;GameID=0021601151&amp;Season=2016-17&amp;flag=1&amp;title=Leonard%2017'%20Pullup%20Jump%20Shot%20(23%20PTS)", "Leonard 17' Pullup Jump Shot (23 PTS)")</f>
        <v>Leonard 17' Pullup Jump Shot (23 PTS)</v>
      </c>
      <c r="K4227" s="2" t="str">
        <f>HYPERLINK("https://www.nba.com/game/...-vs-...-0021601151/play-by-play?watchFullGame=true", "SAS vs UTA - Q3 02:43.00")</f>
        <v>SAS vs UTA - Q3 02:43.00</v>
      </c>
      <c r="L4227">
        <v>17</v>
      </c>
      <c r="M4227">
        <v>127</v>
      </c>
      <c r="N4227">
        <v>120</v>
      </c>
      <c r="O4227">
        <v>127</v>
      </c>
      <c r="P4227">
        <v>120</v>
      </c>
    </row>
    <row r="4228" spans="1:16" x14ac:dyDescent="0.25">
      <c r="A4228">
        <v>21500156</v>
      </c>
      <c r="B4228">
        <v>2015</v>
      </c>
      <c r="C4228" t="s">
        <v>32</v>
      </c>
      <c r="D4228" t="s">
        <v>19</v>
      </c>
      <c r="E4228">
        <v>77</v>
      </c>
      <c r="F4228">
        <v>69</v>
      </c>
      <c r="G4228">
        <v>4</v>
      </c>
      <c r="H4228" s="1">
        <v>4.7685185185185183E-3</v>
      </c>
      <c r="I4228" t="s">
        <v>18</v>
      </c>
      <c r="J4228" s="2" t="str">
        <f>HYPERLINK("https://www.nba.com/stats/events?CFID=&amp;CFPARAMS=&amp;GameEventID=408&amp;GameID=0021500156&amp;Season=2015-16&amp;flag=1&amp;title=Leonard%2018'%20Jump%20Shot%20(16%20PTS)%20(Mills%202%20AST)", "Leonard 18' Jump Shot (16 PTS) (Mills 2 AST)")</f>
        <v>Leonard 18' Jump Shot (16 PTS) (Mills 2 AST)</v>
      </c>
      <c r="K4228" s="2" t="str">
        <f>HYPERLINK("https://www.nba.com/game/...-vs-...-0021500156/play-by-play?watchFullGame=true", "SAS vs POR - Q4 06:52.00")</f>
        <v>SAS vs POR - Q4 06:52.00</v>
      </c>
      <c r="L4228">
        <v>18</v>
      </c>
      <c r="M4228">
        <v>127</v>
      </c>
      <c r="N4228">
        <v>129</v>
      </c>
      <c r="O4228">
        <v>127</v>
      </c>
      <c r="P4228">
        <v>129</v>
      </c>
    </row>
    <row r="4229" spans="1:16" x14ac:dyDescent="0.25">
      <c r="A4229">
        <v>22201096</v>
      </c>
      <c r="B4229">
        <v>2022</v>
      </c>
      <c r="C4229" t="s">
        <v>32</v>
      </c>
      <c r="D4229" t="s">
        <v>19</v>
      </c>
      <c r="E4229">
        <v>9</v>
      </c>
      <c r="F4229">
        <v>11</v>
      </c>
      <c r="G4229">
        <v>1</v>
      </c>
      <c r="H4229" s="1">
        <v>5.2546296296296299E-3</v>
      </c>
      <c r="I4229" t="s">
        <v>23</v>
      </c>
      <c r="J4229" s="2" t="str">
        <f>HYPERLINK("https://www.nba.com/stats/events?CFID=&amp;CFPARAMS=&amp;GameEventID=44&amp;GameID=0022201096&amp;Season=2022-23&amp;flag=1&amp;title=Leonard%2018'%20pullup%20Jump%20Shot%20(6%20PTS)%20(R.%20Westbrook%203%20AST)", "18' pullup Jump Shot (6 PTS) (R. Westbrook 3 AST)")</f>
        <v>18' pullup Jump Shot (6 PTS) (R. Westbrook 3 AST)</v>
      </c>
      <c r="K4229" s="2" t="str">
        <f>HYPERLINK("https://www.nba.com/game/...-vs-...-0022201096/play-by-play?watchFullGame=true", "LAC vs OKC - Q1 07:34.00")</f>
        <v>LAC vs OKC - Q1 07:34.00</v>
      </c>
      <c r="L4229">
        <v>18.190000000000001</v>
      </c>
      <c r="M4229">
        <v>80.599999999999994</v>
      </c>
      <c r="N4229">
        <v>75.489999999999995</v>
      </c>
      <c r="O4229">
        <v>127</v>
      </c>
      <c r="P4229">
        <v>130</v>
      </c>
    </row>
    <row r="4230" spans="1:16" x14ac:dyDescent="0.25">
      <c r="A4230">
        <v>21600925</v>
      </c>
      <c r="B4230">
        <v>2016</v>
      </c>
      <c r="C4230" t="s">
        <v>32</v>
      </c>
      <c r="D4230" t="s">
        <v>19</v>
      </c>
      <c r="E4230">
        <v>5</v>
      </c>
      <c r="F4230">
        <v>7</v>
      </c>
      <c r="G4230">
        <v>1</v>
      </c>
      <c r="H4230" s="1">
        <v>5.9606481481481481E-3</v>
      </c>
      <c r="I4230" t="s">
        <v>18</v>
      </c>
      <c r="J4230" s="2" t="str">
        <f>HYPERLINK("https://www.nba.com/stats/events?CFID=&amp;CFPARAMS=&amp;GameEventID=30&amp;GameID=0021600925&amp;Season=2016-17&amp;flag=1&amp;title=Leonard%2019'%20Jump%20Shot%20(2%20PTS)%20(Dedmon%201%20AST)", "Leonard 19' Jump Shot (2 PTS) (Dedmon 1 AST)")</f>
        <v>Leonard 19' Jump Shot (2 PTS) (Dedmon 1 AST)</v>
      </c>
      <c r="K4230" s="2" t="str">
        <f>HYPERLINK("https://www.nba.com/game/...-vs-...-0021600925/play-by-play?watchFullGame=true", "SAS vs MIN - Q1 08:35.00")</f>
        <v>SAS vs MIN - Q1 08:35.00</v>
      </c>
      <c r="L4230">
        <v>19</v>
      </c>
      <c r="M4230">
        <v>127</v>
      </c>
      <c r="N4230">
        <v>141</v>
      </c>
      <c r="O4230">
        <v>127</v>
      </c>
      <c r="P4230">
        <v>141</v>
      </c>
    </row>
    <row r="4231" spans="1:16" x14ac:dyDescent="0.25">
      <c r="A4231">
        <v>21500235</v>
      </c>
      <c r="B4231">
        <v>2015</v>
      </c>
      <c r="C4231" t="s">
        <v>32</v>
      </c>
      <c r="D4231" t="s">
        <v>19</v>
      </c>
      <c r="E4231">
        <v>42</v>
      </c>
      <c r="F4231">
        <v>48</v>
      </c>
      <c r="G4231">
        <v>3</v>
      </c>
      <c r="H4231" s="1">
        <v>7.4999999999999997E-3</v>
      </c>
      <c r="I4231" t="s">
        <v>18</v>
      </c>
      <c r="J4231" s="2" t="str">
        <f>HYPERLINK("https://www.nba.com/stats/events?CFID=&amp;CFPARAMS=&amp;GameEventID=251&amp;GameID=0021500235&amp;Season=2015-16&amp;flag=1&amp;title=Leonard%2019'%20Jump%20Shot%20(14%20PTS)%20(Aldridge%201%20AST)", "Leonard 19' Jump Shot (14 PTS) (Aldridge 1 AST)")</f>
        <v>Leonard 19' Jump Shot (14 PTS) (Aldridge 1 AST)</v>
      </c>
      <c r="K4231" s="2" t="str">
        <f>HYPERLINK("https://www.nba.com/game/...-vs-...-0021500235/play-by-play?watchFullGame=true", "SAS vs DEN - Q3 10:48.00")</f>
        <v>SAS vs DEN - Q3 10:48.00</v>
      </c>
      <c r="L4231">
        <v>19</v>
      </c>
      <c r="M4231">
        <v>127</v>
      </c>
      <c r="N4231">
        <v>144</v>
      </c>
      <c r="O4231">
        <v>127</v>
      </c>
      <c r="P4231">
        <v>144</v>
      </c>
    </row>
    <row r="4232" spans="1:16" x14ac:dyDescent="0.25">
      <c r="A4232">
        <v>21400610</v>
      </c>
      <c r="B4232">
        <v>2014</v>
      </c>
      <c r="C4232" t="s">
        <v>32</v>
      </c>
      <c r="D4232" t="s">
        <v>29</v>
      </c>
      <c r="E4232">
        <v>8</v>
      </c>
      <c r="F4232">
        <v>2</v>
      </c>
      <c r="G4232">
        <v>1</v>
      </c>
      <c r="H4232" s="1">
        <v>6.122685185185185E-3</v>
      </c>
      <c r="I4232" t="s">
        <v>18</v>
      </c>
      <c r="J4232" s="2" t="str">
        <f>HYPERLINK("https://www.nba.com/stats/events?CFID=&amp;CFPARAMS=&amp;GameEventID=20&amp;GameID=0021400610&amp;Season=2014-15&amp;flag=1&amp;title=Leonard%2020'%20Pullup%20Jump%20Shot%20(2%20PTS)", "Leonard 20' Pullup Jump Shot (2 PTS)")</f>
        <v>Leonard 20' Pullup Jump Shot (2 PTS)</v>
      </c>
      <c r="K4232" s="2" t="str">
        <f>HYPERLINK("https://www.nba.com/game/...-vs-...-0021400610/play-by-play?watchFullGame=true", "SAS vs UTA - Q1 08:49.00")</f>
        <v>SAS vs UTA - Q1 08:49.00</v>
      </c>
      <c r="L4232">
        <v>20</v>
      </c>
      <c r="M4232">
        <v>127</v>
      </c>
      <c r="N4232">
        <v>149</v>
      </c>
      <c r="O4232">
        <v>127</v>
      </c>
      <c r="P4232">
        <v>149</v>
      </c>
    </row>
    <row r="4233" spans="1:16" x14ac:dyDescent="0.25">
      <c r="A4233">
        <v>21901307</v>
      </c>
      <c r="B4233">
        <v>2019</v>
      </c>
      <c r="C4233" t="s">
        <v>32</v>
      </c>
      <c r="D4233" t="s">
        <v>22</v>
      </c>
      <c r="E4233">
        <v>3</v>
      </c>
      <c r="F4233">
        <v>2</v>
      </c>
      <c r="G4233">
        <v>1</v>
      </c>
      <c r="H4233" s="1">
        <v>6.9097222222222225E-3</v>
      </c>
      <c r="I4233" t="s">
        <v>23</v>
      </c>
      <c r="J4233" s="2" t="str">
        <f>HYPERLINK("https://www.nba.com/stats/events?CFID=&amp;CFPARAMS=&amp;GameEventID=22&amp;GameID=0021901307&amp;Season=2019-20&amp;flag=1&amp;title=Leonard%2021'%20jumpshot%20(2%20PTS)", "21' jumpshot (2 PTS)")</f>
        <v>21' jumpshot (2 PTS)</v>
      </c>
      <c r="K4233" s="2" t="str">
        <f>HYPERLINK("https://www.nba.com/game/...-vs-...-0021901307/play-by-play?watchFullGame=true", "LAC vs DEN - Q1 09:57.00")</f>
        <v>LAC vs DEN - Q1 09:57.00</v>
      </c>
      <c r="L4233">
        <v>21.03</v>
      </c>
      <c r="M4233">
        <v>22.82</v>
      </c>
      <c r="N4233">
        <v>24.58</v>
      </c>
      <c r="O4233">
        <v>127</v>
      </c>
      <c r="P4233">
        <v>162</v>
      </c>
    </row>
    <row r="4234" spans="1:16" x14ac:dyDescent="0.25">
      <c r="A4234">
        <v>21600032</v>
      </c>
      <c r="B4234">
        <v>2016</v>
      </c>
      <c r="C4234" t="s">
        <v>16</v>
      </c>
      <c r="D4234" t="s">
        <v>19</v>
      </c>
      <c r="E4234">
        <v>74</v>
      </c>
      <c r="F4234">
        <v>56</v>
      </c>
      <c r="G4234">
        <v>3</v>
      </c>
      <c r="H4234" s="1">
        <v>3.5069444444444445E-3</v>
      </c>
      <c r="I4234" t="s">
        <v>18</v>
      </c>
      <c r="J4234" s="2" t="str">
        <f>HYPERLINK("https://www.nba.com/stats/events?CFID=&amp;CFPARAMS=&amp;GameEventID=326&amp;GameID=0021600032&amp;Season=2016-17&amp;flag=1&amp;title=Leonard%2025'%203PT%20Jump%20Shot%20(16%20PTS)%20(Mills%205%20AST)", "Leonard 25' 3PT Jump Shot (16 PTS) (Mills 5 AST)")</f>
        <v>Leonard 25' 3PT Jump Shot (16 PTS) (Mills 5 AST)</v>
      </c>
      <c r="K4234" s="2" t="str">
        <f>HYPERLINK("https://www.nba.com/game/...-vs-...-0021600032/play-by-play?watchFullGame=true", "SAS vs NOP - Q3 05:03.00")</f>
        <v>SAS vs NOP - Q3 05:03.00</v>
      </c>
      <c r="L4234">
        <v>25</v>
      </c>
      <c r="M4234">
        <v>127</v>
      </c>
      <c r="N4234">
        <v>218</v>
      </c>
      <c r="O4234">
        <v>127</v>
      </c>
      <c r="P4234">
        <v>218</v>
      </c>
    </row>
    <row r="4235" spans="1:16" x14ac:dyDescent="0.25">
      <c r="A4235">
        <v>21600558</v>
      </c>
      <c r="B4235">
        <v>2016</v>
      </c>
      <c r="C4235" t="s">
        <v>32</v>
      </c>
      <c r="D4235" t="s">
        <v>31</v>
      </c>
      <c r="E4235">
        <v>58</v>
      </c>
      <c r="F4235">
        <v>58</v>
      </c>
      <c r="G4235">
        <v>3</v>
      </c>
      <c r="H4235" s="1">
        <v>3.6458333333333334E-3</v>
      </c>
      <c r="I4235" t="s">
        <v>18</v>
      </c>
      <c r="J4235" s="2" t="str">
        <f>HYPERLINK("https://www.nba.com/stats/events?CFID=&amp;CFPARAMS=&amp;GameEventID=303&amp;GameID=0021600558&amp;Season=2016-17&amp;flag=1&amp;title=Leonard%2013'%20Step%20Back%20Jump%20Shot%20(19%20PTS)", "Leonard 13' Step Back Jump Shot (19 PTS)")</f>
        <v>Leonard 13' Step Back Jump Shot (19 PTS)</v>
      </c>
      <c r="K4235" s="2" t="str">
        <f>HYPERLINK("https://www.nba.com/game/...-vs-...-0021600558/play-by-play?watchFullGame=true", "SAS vs CHA - Q3 05:15.00")</f>
        <v>SAS vs CHA - Q3 05:15.00</v>
      </c>
      <c r="L4235">
        <v>13</v>
      </c>
      <c r="M4235">
        <v>128</v>
      </c>
      <c r="N4235">
        <v>0</v>
      </c>
      <c r="O4235">
        <v>128</v>
      </c>
      <c r="P4235">
        <v>0</v>
      </c>
    </row>
    <row r="4236" spans="1:16" x14ac:dyDescent="0.25">
      <c r="A4236">
        <v>21900458</v>
      </c>
      <c r="B4236">
        <v>2019</v>
      </c>
      <c r="C4236" t="s">
        <v>32</v>
      </c>
      <c r="D4236" t="s">
        <v>22</v>
      </c>
      <c r="E4236">
        <v>0</v>
      </c>
      <c r="F4236">
        <v>3</v>
      </c>
      <c r="G4236">
        <v>1</v>
      </c>
      <c r="H4236" s="1">
        <v>7.6967592592592591E-3</v>
      </c>
      <c r="I4236" t="s">
        <v>23</v>
      </c>
      <c r="J4236" s="2" t="str">
        <f>HYPERLINK("https://www.nba.com/stats/events?CFID=&amp;CFPARAMS=&amp;GameEventID=14&amp;GameID=0021900458&amp;Season=2019-20&amp;flag=1&amp;title=Leonard%2013'%20jumpshot%20(2%20PTS)", "13' jumpshot (2 PTS)")</f>
        <v>13' jumpshot (2 PTS)</v>
      </c>
      <c r="K4236" s="2" t="str">
        <f>HYPERLINK("https://www.nba.com/game/...-vs-...-0021900458/play-by-play?watchFullGame=true", "LAC vs LAL - Q1 11:05.00")</f>
        <v>LAC vs LAL - Q1 11:05.00</v>
      </c>
      <c r="L4236">
        <v>13.13</v>
      </c>
      <c r="M4236">
        <v>8.1999999999999993</v>
      </c>
      <c r="N4236">
        <v>24.44</v>
      </c>
      <c r="O4236">
        <v>128</v>
      </c>
      <c r="P4236">
        <v>25</v>
      </c>
    </row>
    <row r="4237" spans="1:16" x14ac:dyDescent="0.25">
      <c r="A4237">
        <v>41800114</v>
      </c>
      <c r="B4237" t="s">
        <v>20</v>
      </c>
      <c r="C4237" t="s">
        <v>32</v>
      </c>
      <c r="D4237" t="s">
        <v>33</v>
      </c>
      <c r="E4237">
        <v>39</v>
      </c>
      <c r="F4237">
        <v>47</v>
      </c>
      <c r="G4237">
        <v>2</v>
      </c>
      <c r="H4237" s="1">
        <v>2.7546296296296294E-3</v>
      </c>
      <c r="I4237" t="s">
        <v>21</v>
      </c>
      <c r="J4237" s="2" t="str">
        <f>HYPERLINK("https://www.nba.com/stats/events?CFID=&amp;CFPARAMS=&amp;GameEventID=245&amp;GameID=0041800114&amp;Season=2018-19&amp;flag=1&amp;title=Leonard%2015'%20Fadeaway%20Jumper%20(13%20PTS)", "Leonard 15' Fadeaway Jumper (13 PTS)")</f>
        <v>Leonard 15' Fadeaway Jumper (13 PTS)</v>
      </c>
      <c r="K4237" s="2" t="str">
        <f>HYPERLINK("https://www.nba.com/game/...-vs-...-0041800114/play-by-play?watchFullGame=true", "TOR vs ORL - Q2 03:58.00")</f>
        <v>TOR vs ORL - Q2 03:58.00</v>
      </c>
      <c r="L4237">
        <v>15</v>
      </c>
      <c r="M4237">
        <v>128</v>
      </c>
      <c r="N4237">
        <v>84</v>
      </c>
      <c r="O4237">
        <v>128</v>
      </c>
      <c r="P4237">
        <v>84</v>
      </c>
    </row>
    <row r="4238" spans="1:16" x14ac:dyDescent="0.25">
      <c r="A4238">
        <v>21500960</v>
      </c>
      <c r="B4238">
        <v>2015</v>
      </c>
      <c r="C4238" t="s">
        <v>32</v>
      </c>
      <c r="D4238" t="s">
        <v>19</v>
      </c>
      <c r="E4238">
        <v>13</v>
      </c>
      <c r="F4238">
        <v>11</v>
      </c>
      <c r="G4238">
        <v>1</v>
      </c>
      <c r="H4238" s="1">
        <v>5.2777777777777779E-3</v>
      </c>
      <c r="I4238" t="s">
        <v>18</v>
      </c>
      <c r="J4238" s="2" t="str">
        <f>HYPERLINK("https://www.nba.com/stats/events?CFID=&amp;CFPARAMS=&amp;GameEventID=40&amp;GameID=0021500960&amp;Season=2015-16&amp;flag=1&amp;title=Leonard%2017'%20Jump%20Shot%20(7%20PTS)%20(Parker%203%20AST)", "Leonard 17' Jump Shot (7 PTS) (Parker 3 AST)")</f>
        <v>Leonard 17' Jump Shot (7 PTS) (Parker 3 AST)</v>
      </c>
      <c r="K4238" s="2" t="str">
        <f>HYPERLINK("https://www.nba.com/game/...-vs-...-0021500960/play-by-play?watchFullGame=true", "SAS vs CHI - Q1 07:36.00")</f>
        <v>SAS vs CHI - Q1 07:36.00</v>
      </c>
      <c r="L4238">
        <v>17</v>
      </c>
      <c r="M4238">
        <v>128</v>
      </c>
      <c r="N4238">
        <v>105</v>
      </c>
      <c r="O4238">
        <v>128</v>
      </c>
      <c r="P4238">
        <v>105</v>
      </c>
    </row>
    <row r="4239" spans="1:16" x14ac:dyDescent="0.25">
      <c r="A4239">
        <v>41800216</v>
      </c>
      <c r="B4239" t="s">
        <v>20</v>
      </c>
      <c r="C4239" t="s">
        <v>32</v>
      </c>
      <c r="D4239" t="s">
        <v>29</v>
      </c>
      <c r="E4239">
        <v>23</v>
      </c>
      <c r="F4239">
        <v>17</v>
      </c>
      <c r="G4239">
        <v>1</v>
      </c>
      <c r="H4239" s="1">
        <v>1.4930555555555556E-3</v>
      </c>
      <c r="I4239" t="s">
        <v>21</v>
      </c>
      <c r="J4239" s="2" t="str">
        <f>HYPERLINK("https://www.nba.com/stats/events?CFID=&amp;CFPARAMS=&amp;GameEventID=132&amp;GameID=0041800216&amp;Season=2018-19&amp;flag=1&amp;title=Leonard%2017'%20Pullup%20Jump%20Shot%20(6%20PTS)", "Leonard 17' Pullup Jump Shot (6 PTS)")</f>
        <v>Leonard 17' Pullup Jump Shot (6 PTS)</v>
      </c>
      <c r="K4239" s="2" t="str">
        <f>HYPERLINK("https://www.nba.com/game/...-vs-...-0041800216/play-by-play?watchFullGame=true", "TOR vs PHI - Q1 02:09.00")</f>
        <v>TOR vs PHI - Q1 02:09.00</v>
      </c>
      <c r="L4239">
        <v>17</v>
      </c>
      <c r="M4239">
        <v>128</v>
      </c>
      <c r="N4239">
        <v>106</v>
      </c>
      <c r="O4239">
        <v>128</v>
      </c>
      <c r="P4239">
        <v>106</v>
      </c>
    </row>
    <row r="4240" spans="1:16" x14ac:dyDescent="0.25">
      <c r="A4240">
        <v>22000756</v>
      </c>
      <c r="B4240">
        <v>2020</v>
      </c>
      <c r="C4240" t="s">
        <v>32</v>
      </c>
      <c r="D4240" t="s">
        <v>19</v>
      </c>
      <c r="E4240">
        <v>81</v>
      </c>
      <c r="F4240">
        <v>59</v>
      </c>
      <c r="G4240">
        <v>4</v>
      </c>
      <c r="H4240" s="1">
        <v>7.4768518518518517E-3</v>
      </c>
      <c r="I4240" t="s">
        <v>23</v>
      </c>
      <c r="J4240" s="2" t="str">
        <f>HYPERLINK("https://www.nba.com/stats/events?CFID=&amp;CFPARAMS=&amp;GameEventID=508&amp;GameID=0022000756&amp;Season=2020-21&amp;flag=1&amp;title=Leonard%2018'%20pullup%20Jump%20Shot%20(15%20PTS)", "18' pullup Jump Shot (15 PTS)")</f>
        <v>18' pullup Jump Shot (15 PTS)</v>
      </c>
      <c r="K4240" s="2" t="str">
        <f>HYPERLINK("https://www.nba.com/game/...-vs-...-0022000756/play-by-play?watchFullGame=true", "LAC vs LAL - Q4 10:46.00")</f>
        <v>LAC vs LAL - Q4 10:46.00</v>
      </c>
      <c r="L4240">
        <v>18.79</v>
      </c>
      <c r="M4240">
        <v>20.190000000000001</v>
      </c>
      <c r="N4240">
        <v>24.33</v>
      </c>
      <c r="O4240">
        <v>128</v>
      </c>
      <c r="P4240">
        <v>137</v>
      </c>
    </row>
    <row r="4241" spans="1:16" x14ac:dyDescent="0.25">
      <c r="A4241">
        <v>21500939</v>
      </c>
      <c r="B4241">
        <v>2015</v>
      </c>
      <c r="C4241" t="s">
        <v>16</v>
      </c>
      <c r="D4241" t="s">
        <v>19</v>
      </c>
      <c r="E4241">
        <v>22</v>
      </c>
      <c r="F4241">
        <v>13</v>
      </c>
      <c r="G4241">
        <v>1</v>
      </c>
      <c r="H4241" s="1">
        <v>4.1203703703703704E-4</v>
      </c>
      <c r="I4241" t="s">
        <v>18</v>
      </c>
      <c r="J4241" s="2" t="str">
        <f>HYPERLINK("https://www.nba.com/stats/events?CFID=&amp;CFPARAMS=&amp;GameEventID=109&amp;GameID=0021500939&amp;Season=2015-16&amp;flag=1&amp;title=Leonard%2025'%203PT%20Jump%20Shot%20(9%20PTS)%20(Mills%201%20AST)", "Leonard 25' 3PT Jump Shot (9 PTS) (Mills 1 AST)")</f>
        <v>Leonard 25' 3PT Jump Shot (9 PTS) (Mills 1 AST)</v>
      </c>
      <c r="K4241" s="2" t="str">
        <f>HYPERLINK("https://www.nba.com/game/...-vs-...-0021500939/play-by-play?watchFullGame=true", "SAS vs IND - Q1 00:35.60")</f>
        <v>SAS vs IND - Q1 00:35.60</v>
      </c>
      <c r="L4241">
        <v>25</v>
      </c>
      <c r="M4241">
        <v>128</v>
      </c>
      <c r="N4241">
        <v>210</v>
      </c>
      <c r="O4241">
        <v>128</v>
      </c>
      <c r="P4241">
        <v>210</v>
      </c>
    </row>
    <row r="4242" spans="1:16" x14ac:dyDescent="0.25">
      <c r="A4242">
        <v>21600575</v>
      </c>
      <c r="B4242">
        <v>2016</v>
      </c>
      <c r="C4242" t="s">
        <v>16</v>
      </c>
      <c r="D4242" t="s">
        <v>19</v>
      </c>
      <c r="E4242">
        <v>26</v>
      </c>
      <c r="F4242">
        <v>23</v>
      </c>
      <c r="G4242">
        <v>2</v>
      </c>
      <c r="H4242" s="1">
        <v>8.1481481481481474E-3</v>
      </c>
      <c r="I4242" t="s">
        <v>18</v>
      </c>
      <c r="J4242" s="2" t="str">
        <f>HYPERLINK("https://www.nba.com/stats/events?CFID=&amp;CFPARAMS=&amp;GameEventID=133&amp;GameID=0021600575&amp;Season=2016-17&amp;flag=1&amp;title=Leonard%2025'%203PT%20Jump%20Shot%20(7%20PTS)%20(Mills%202%20AST)", "Leonard 25' 3PT Jump Shot (7 PTS) (Mills 2 AST)")</f>
        <v>Leonard 25' 3PT Jump Shot (7 PTS) (Mills 2 AST)</v>
      </c>
      <c r="K4242" s="2" t="str">
        <f>HYPERLINK("https://www.nba.com/game/...-vs-...-0021600575/play-by-play?watchFullGame=true", "SAS vs MIL - Q2 11:44.00")</f>
        <v>SAS vs MIL - Q2 11:44.00</v>
      </c>
      <c r="L4242">
        <v>25</v>
      </c>
      <c r="M4242">
        <v>128</v>
      </c>
      <c r="N4242">
        <v>213</v>
      </c>
      <c r="O4242">
        <v>128</v>
      </c>
      <c r="P4242">
        <v>213</v>
      </c>
    </row>
    <row r="4243" spans="1:16" x14ac:dyDescent="0.25">
      <c r="A4243">
        <v>21900458</v>
      </c>
      <c r="B4243">
        <v>2019</v>
      </c>
      <c r="C4243" t="s">
        <v>16</v>
      </c>
      <c r="D4243" t="s">
        <v>22</v>
      </c>
      <c r="E4243">
        <v>80</v>
      </c>
      <c r="F4243">
        <v>76</v>
      </c>
      <c r="G4243">
        <v>3</v>
      </c>
      <c r="H4243" s="1">
        <v>2.1643518518518518E-3</v>
      </c>
      <c r="I4243" t="s">
        <v>23</v>
      </c>
      <c r="J4243" s="2" t="str">
        <f>HYPERLINK("https://www.nba.com/stats/events?CFID=&amp;CFPARAMS=&amp;GameEventID=501&amp;GameID=0021900458&amp;Season=2019-20&amp;flag=1&amp;title=Leonard%2026'%203PT%20%20(24%20PTS)%20(J.%20Green%201%20AST)", "26' 3PT  (24 PTS) (J. Green 1 AST)")</f>
        <v>26' 3PT  (24 PTS) (J. Green 1 AST)</v>
      </c>
      <c r="K4243" s="2" t="str">
        <f>HYPERLINK("https://www.nba.com/game/...-vs-...-0021900458/play-by-play?watchFullGame=true", "LAC vs LAL - Q3 03:07.00")</f>
        <v>LAC vs LAL - Q3 03:07.00</v>
      </c>
      <c r="L4243">
        <v>26.27</v>
      </c>
      <c r="M4243">
        <v>70.61</v>
      </c>
      <c r="N4243">
        <v>75.67</v>
      </c>
      <c r="O4243">
        <v>128</v>
      </c>
      <c r="P4243">
        <v>224</v>
      </c>
    </row>
    <row r="4244" spans="1:16" x14ac:dyDescent="0.25">
      <c r="A4244">
        <v>21400986</v>
      </c>
      <c r="B4244">
        <v>2014</v>
      </c>
      <c r="C4244" t="s">
        <v>32</v>
      </c>
      <c r="D4244" t="s">
        <v>19</v>
      </c>
      <c r="E4244">
        <v>83</v>
      </c>
      <c r="F4244">
        <v>56</v>
      </c>
      <c r="G4244">
        <v>3</v>
      </c>
      <c r="H4244" s="1">
        <v>3.5300925925925925E-3</v>
      </c>
      <c r="I4244" t="s">
        <v>18</v>
      </c>
      <c r="J4244" s="2" t="str">
        <f>HYPERLINK("https://www.nba.com/stats/events?CFID=&amp;CFPARAMS=&amp;GameEventID=310&amp;GameID=0021400986&amp;Season=2014-15&amp;flag=1&amp;title=Leonard%2015'%20Jump%20Shot%20(15%20PTS)%20(Parker%208%20AST)", "Leonard 15' Jump Shot (15 PTS) (Parker 8 AST)")</f>
        <v>Leonard 15' Jump Shot (15 PTS) (Parker 8 AST)</v>
      </c>
      <c r="K4244" s="2" t="str">
        <f>HYPERLINK("https://www.nba.com/game/...-vs-...-0021400986/play-by-play?watchFullGame=true", "SAS vs MIN - Q3 05:05.00")</f>
        <v>SAS vs MIN - Q3 05:05.00</v>
      </c>
      <c r="L4244">
        <v>15</v>
      </c>
      <c r="M4244">
        <v>129</v>
      </c>
      <c r="N4244">
        <v>74</v>
      </c>
      <c r="O4244">
        <v>129</v>
      </c>
      <c r="P4244">
        <v>74</v>
      </c>
    </row>
    <row r="4245" spans="1:16" x14ac:dyDescent="0.25">
      <c r="A4245">
        <v>41400164</v>
      </c>
      <c r="B4245" t="s">
        <v>28</v>
      </c>
      <c r="C4245" t="s">
        <v>32</v>
      </c>
      <c r="D4245" t="s">
        <v>29</v>
      </c>
      <c r="E4245">
        <v>70</v>
      </c>
      <c r="F4245">
        <v>69</v>
      </c>
      <c r="G4245">
        <v>3</v>
      </c>
      <c r="H4245" s="1">
        <v>1.9907407407407408E-3</v>
      </c>
      <c r="I4245" t="s">
        <v>18</v>
      </c>
      <c r="J4245" s="2" t="str">
        <f>HYPERLINK("https://www.nba.com/stats/events?CFID=&amp;CFPARAMS=&amp;GameEventID=344&amp;GameID=0041400164&amp;Season=2014-15&amp;flag=1&amp;title=Leonard%2018'%20Pullup%20Jump%20Shot%20(18%20PTS)", "Leonard 18' Pullup Jump Shot (18 PTS)")</f>
        <v>Leonard 18' Pullup Jump Shot (18 PTS)</v>
      </c>
      <c r="K4245" s="2" t="str">
        <f>HYPERLINK("https://www.nba.com/game/...-vs-...-0041400164/play-by-play?watchFullGame=true", "SAS vs LAC - Q3 02:52.00")</f>
        <v>SAS vs LAC - Q3 02:52.00</v>
      </c>
      <c r="L4245">
        <v>18</v>
      </c>
      <c r="M4245">
        <v>129</v>
      </c>
      <c r="N4245">
        <v>121</v>
      </c>
      <c r="O4245">
        <v>129</v>
      </c>
      <c r="P4245">
        <v>121</v>
      </c>
    </row>
    <row r="4246" spans="1:16" x14ac:dyDescent="0.25">
      <c r="A4246">
        <v>22200480</v>
      </c>
      <c r="B4246">
        <v>2022</v>
      </c>
      <c r="C4246" t="s">
        <v>32</v>
      </c>
      <c r="D4246" t="s">
        <v>19</v>
      </c>
      <c r="E4246">
        <v>55</v>
      </c>
      <c r="F4246">
        <v>67</v>
      </c>
      <c r="G4246">
        <v>3</v>
      </c>
      <c r="H4246" s="1">
        <v>7.083333333333333E-3</v>
      </c>
      <c r="I4246" t="s">
        <v>23</v>
      </c>
      <c r="J4246" s="2" t="str">
        <f>HYPERLINK("https://www.nba.com/stats/events?CFID=&amp;CFPARAMS=&amp;GameEventID=308&amp;GameID=0022200480&amp;Season=2022-23&amp;flag=1&amp;title=Leonard%2017'%20pullup%20Jump%20Shot%20(17%20PTS)", "17' pullup Jump Shot (17 PTS)")</f>
        <v>17' pullup Jump Shot (17 PTS)</v>
      </c>
      <c r="K4246" s="2" t="str">
        <f>HYPERLINK("https://www.nba.com/game/...-vs-...-0022200480/play-by-play?watchFullGame=true", "LAC vs PHI - Q3 10:12.00")</f>
        <v>LAC vs PHI - Q3 10:12.00</v>
      </c>
      <c r="L4246">
        <v>17.739999999999998</v>
      </c>
      <c r="M4246">
        <v>18.579999999999998</v>
      </c>
      <c r="N4246">
        <v>24.26</v>
      </c>
      <c r="O4246">
        <v>129</v>
      </c>
      <c r="P4246">
        <v>122</v>
      </c>
    </row>
    <row r="4247" spans="1:16" x14ac:dyDescent="0.25">
      <c r="A4247">
        <v>22201215</v>
      </c>
      <c r="B4247">
        <v>2022</v>
      </c>
      <c r="C4247" t="s">
        <v>32</v>
      </c>
      <c r="D4247" t="s">
        <v>19</v>
      </c>
      <c r="E4247">
        <v>102</v>
      </c>
      <c r="F4247">
        <v>92</v>
      </c>
      <c r="G4247">
        <v>3</v>
      </c>
      <c r="H4247" s="1">
        <v>1.9212962962962964E-3</v>
      </c>
      <c r="I4247" t="s">
        <v>23</v>
      </c>
      <c r="J4247" s="2" t="str">
        <f>HYPERLINK("https://www.nba.com/stats/events?CFID=&amp;CFPARAMS=&amp;GameEventID=461&amp;GameID=0022201215&amp;Season=2022-23&amp;flag=1&amp;title=Leonard%2018'%20step%20back%20Jump%20Shot%20(27%20PTS)%20(R.%20Covington%201%20AST)", "18' step back Jump Shot (27 PTS) (R. Covington 1 AST)")</f>
        <v>18' step back Jump Shot (27 PTS) (R. Covington 1 AST)</v>
      </c>
      <c r="K4247" s="2" t="str">
        <f>HYPERLINK("https://www.nba.com/game/...-vs-...-0022201215/play-by-play?watchFullGame=true", "LAC vs POR - Q3 02:46.00")</f>
        <v>LAC vs POR - Q3 02:46.00</v>
      </c>
      <c r="L4247">
        <v>18.440000000000001</v>
      </c>
      <c r="M4247">
        <v>19.63</v>
      </c>
      <c r="N4247">
        <v>24.26</v>
      </c>
      <c r="O4247">
        <v>129</v>
      </c>
      <c r="P4247">
        <v>132</v>
      </c>
    </row>
    <row r="4248" spans="1:16" x14ac:dyDescent="0.25">
      <c r="A4248">
        <v>41300221</v>
      </c>
      <c r="B4248" t="s">
        <v>26</v>
      </c>
      <c r="C4248" t="s">
        <v>32</v>
      </c>
      <c r="D4248" t="s">
        <v>29</v>
      </c>
      <c r="E4248">
        <v>14</v>
      </c>
      <c r="F4248">
        <v>5</v>
      </c>
      <c r="G4248">
        <v>1</v>
      </c>
      <c r="H4248" s="1">
        <v>3.6342592592592594E-3</v>
      </c>
      <c r="I4248" t="s">
        <v>18</v>
      </c>
      <c r="J4248" s="2" t="str">
        <f>HYPERLINK("https://www.nba.com/stats/events?CFID=&amp;CFPARAMS=&amp;GameEventID=65&amp;GameID=0041300221&amp;Season=2013-14&amp;flag=1&amp;title=Leonard%2019'%20Pullup%20Jump%20Shot%20(4%20PTS)", "Leonard 19' Pullup Jump Shot (4 PTS)")</f>
        <v>Leonard 19' Pullup Jump Shot (4 PTS)</v>
      </c>
      <c r="K4248" s="2" t="str">
        <f>HYPERLINK("https://www.nba.com/game/...-vs-...-0041300221/play-by-play?watchFullGame=true", "SAS vs POR - Q1 05:14.00")</f>
        <v>SAS vs POR - Q1 05:14.00</v>
      </c>
      <c r="L4248">
        <v>19</v>
      </c>
      <c r="M4248">
        <v>129</v>
      </c>
      <c r="N4248">
        <v>134</v>
      </c>
      <c r="O4248">
        <v>129</v>
      </c>
      <c r="P4248">
        <v>134</v>
      </c>
    </row>
    <row r="4249" spans="1:16" x14ac:dyDescent="0.25">
      <c r="A4249">
        <v>22300074</v>
      </c>
      <c r="B4249">
        <v>2023</v>
      </c>
      <c r="C4249" t="s">
        <v>16</v>
      </c>
      <c r="D4249" t="s">
        <v>19</v>
      </c>
      <c r="E4249">
        <v>89</v>
      </c>
      <c r="F4249">
        <v>63</v>
      </c>
      <c r="G4249">
        <v>3</v>
      </c>
      <c r="H4249" s="1">
        <v>3.9236111111111112E-3</v>
      </c>
      <c r="I4249" t="s">
        <v>23</v>
      </c>
      <c r="J4249" s="2" t="str">
        <f>HYPERLINK("https://www.nba.com/stats/events?CFID=&amp;CFPARAMS=&amp;GameEventID=437&amp;GameID=0022300074&amp;Season=2023-24&amp;flag=1&amp;title=Leonard%2026'%203PT%20running%20(18%20PTS)%20(R.%20Westbrook%2010%20AST)", "26' 3PT running (18 PTS) (R. Westbrook 10 AST)")</f>
        <v>26' 3PT running (18 PTS) (R. Westbrook 10 AST)</v>
      </c>
      <c r="K4249" s="2" t="str">
        <f>HYPERLINK("https://www.nba.com/game/...-vs-...-0022300074/play-by-play?watchFullGame=true", "LAC vs POR - Q3 05:39.00")</f>
        <v>LAC vs POR - Q3 05:39.00</v>
      </c>
      <c r="L4249">
        <v>26</v>
      </c>
      <c r="M4249">
        <v>29.62</v>
      </c>
      <c r="N4249">
        <v>24.26</v>
      </c>
      <c r="O4249">
        <v>129</v>
      </c>
      <c r="P4249">
        <v>226</v>
      </c>
    </row>
    <row r="4250" spans="1:16" x14ac:dyDescent="0.25">
      <c r="A4250">
        <v>21500450</v>
      </c>
      <c r="B4250">
        <v>2015</v>
      </c>
      <c r="C4250" t="s">
        <v>32</v>
      </c>
      <c r="D4250" t="s">
        <v>29</v>
      </c>
      <c r="E4250">
        <v>6</v>
      </c>
      <c r="F4250">
        <v>6</v>
      </c>
      <c r="G4250">
        <v>1</v>
      </c>
      <c r="H4250" s="1">
        <v>7.1643518518518514E-3</v>
      </c>
      <c r="I4250" t="s">
        <v>18</v>
      </c>
      <c r="J4250" s="2" t="str">
        <f>HYPERLINK("https://www.nba.com/stats/events?CFID=&amp;CFPARAMS=&amp;GameEventID=17&amp;GameID=0021500450&amp;Season=2015-16&amp;flag=1&amp;title=Leonard%2013'%20Pullup%20Jump%20Shot%20(2%20PTS)", "Leonard 13' Pullup Jump Shot (2 PTS)")</f>
        <v>Leonard 13' Pullup Jump Shot (2 PTS)</v>
      </c>
      <c r="K4250" s="2" t="str">
        <f>HYPERLINK("https://www.nba.com/game/...-vs-...-0021500450/play-by-play?watchFullGame=true", "SAS vs DEN - Q1 10:19.00")</f>
        <v>SAS vs DEN - Q1 10:19.00</v>
      </c>
      <c r="L4250">
        <v>13</v>
      </c>
      <c r="M4250">
        <v>130</v>
      </c>
      <c r="N4250">
        <v>0</v>
      </c>
      <c r="O4250">
        <v>130</v>
      </c>
      <c r="P4250">
        <v>0</v>
      </c>
    </row>
    <row r="4251" spans="1:16" x14ac:dyDescent="0.25">
      <c r="A4251">
        <v>21500224</v>
      </c>
      <c r="B4251">
        <v>2015</v>
      </c>
      <c r="C4251" t="s">
        <v>32</v>
      </c>
      <c r="D4251" t="s">
        <v>19</v>
      </c>
      <c r="E4251">
        <v>55</v>
      </c>
      <c r="F4251">
        <v>45</v>
      </c>
      <c r="G4251">
        <v>3</v>
      </c>
      <c r="H4251" s="1">
        <v>4.8611111111111112E-3</v>
      </c>
      <c r="I4251" t="s">
        <v>18</v>
      </c>
      <c r="J4251" s="2" t="str">
        <f>HYPERLINK("https://www.nba.com/stats/events?CFID=&amp;CFPARAMS=&amp;GameEventID=303&amp;GameID=0021500224&amp;Season=2015-16&amp;flag=1&amp;title=Leonard%2013'%20Jump%20Shot%20(13%20PTS)%20(Parker%205%20AST)", "Leonard 13' Jump Shot (13 PTS) (Parker 5 AST)")</f>
        <v>Leonard 13' Jump Shot (13 PTS) (Parker 5 AST)</v>
      </c>
      <c r="K4251" s="2" t="str">
        <f>HYPERLINK("https://www.nba.com/game/...-vs-...-0021500224/play-by-play?watchFullGame=true", "SAS vs DAL - Q3 07:00.00")</f>
        <v>SAS vs DAL - Q3 07:00.00</v>
      </c>
      <c r="L4251">
        <v>13</v>
      </c>
      <c r="M4251">
        <v>130</v>
      </c>
      <c r="N4251">
        <v>7</v>
      </c>
      <c r="O4251">
        <v>130</v>
      </c>
      <c r="P4251">
        <v>7</v>
      </c>
    </row>
    <row r="4252" spans="1:16" x14ac:dyDescent="0.25">
      <c r="A4252">
        <v>41800211</v>
      </c>
      <c r="B4252" t="s">
        <v>20</v>
      </c>
      <c r="C4252" t="s">
        <v>32</v>
      </c>
      <c r="D4252" t="s">
        <v>33</v>
      </c>
      <c r="E4252">
        <v>6</v>
      </c>
      <c r="F4252">
        <v>7</v>
      </c>
      <c r="G4252">
        <v>1</v>
      </c>
      <c r="H4252" s="1">
        <v>6.2615740740740739E-3</v>
      </c>
      <c r="I4252" t="s">
        <v>21</v>
      </c>
      <c r="J4252" s="2" t="str">
        <f>HYPERLINK("https://www.nba.com/stats/events?CFID=&amp;CFPARAMS=&amp;GameEventID=28&amp;GameID=0041800211&amp;Season=2018-19&amp;flag=1&amp;title=Leonard%2013'%20Fadeaway%20Jumper%20(4%20PTS)", "Leonard 13' Fadeaway Jumper (4 PTS)")</f>
        <v>Leonard 13' Fadeaway Jumper (4 PTS)</v>
      </c>
      <c r="K4252" s="2" t="str">
        <f>HYPERLINK("https://www.nba.com/game/...-vs-...-0041800211/play-by-play?watchFullGame=true", "TOR vs PHI - Q1 09:01.00")</f>
        <v>TOR vs PHI - Q1 09:01.00</v>
      </c>
      <c r="L4252">
        <v>13</v>
      </c>
      <c r="M4252">
        <v>130</v>
      </c>
      <c r="N4252">
        <v>15</v>
      </c>
      <c r="O4252">
        <v>130</v>
      </c>
      <c r="P4252">
        <v>15</v>
      </c>
    </row>
    <row r="4253" spans="1:16" x14ac:dyDescent="0.25">
      <c r="A4253">
        <v>22200480</v>
      </c>
      <c r="B4253">
        <v>2022</v>
      </c>
      <c r="C4253" t="s">
        <v>32</v>
      </c>
      <c r="D4253" t="s">
        <v>19</v>
      </c>
      <c r="E4253">
        <v>13</v>
      </c>
      <c r="F4253">
        <v>19</v>
      </c>
      <c r="G4253">
        <v>1</v>
      </c>
      <c r="H4253" s="1">
        <v>4.2361111111111115E-3</v>
      </c>
      <c r="I4253" t="s">
        <v>23</v>
      </c>
      <c r="J4253" s="2" t="str">
        <f>HYPERLINK("https://www.nba.com/stats/events?CFID=&amp;CFPARAMS=&amp;GameEventID=53&amp;GameID=0022200480&amp;Season=2022-23&amp;flag=1&amp;title=Leonard%2013'%20fadeaway%20Jump%20Shot%20(8%20PTS)%20(R.%20Jackson%201%20AST)", "13' fadeaway Jump Shot (8 PTS) (R. Jackson 1 AST)")</f>
        <v>13' fadeaway Jump Shot (8 PTS) (R. Jackson 1 AST)</v>
      </c>
      <c r="K4253" s="2" t="str">
        <f>HYPERLINK("https://www.nba.com/game/...-vs-...-0022200480/play-by-play?watchFullGame=true", "LAC vs PHI - Q1 06:06.00")</f>
        <v>LAC vs PHI - Q1 06:06.00</v>
      </c>
      <c r="L4253">
        <v>13.08</v>
      </c>
      <c r="M4253">
        <v>92.82</v>
      </c>
      <c r="N4253">
        <v>75.98</v>
      </c>
      <c r="O4253">
        <v>130</v>
      </c>
      <c r="P4253">
        <v>15</v>
      </c>
    </row>
    <row r="4254" spans="1:16" x14ac:dyDescent="0.25">
      <c r="A4254">
        <v>21600150</v>
      </c>
      <c r="B4254">
        <v>2016</v>
      </c>
      <c r="C4254" t="s">
        <v>32</v>
      </c>
      <c r="D4254" t="s">
        <v>33</v>
      </c>
      <c r="E4254">
        <v>78</v>
      </c>
      <c r="F4254">
        <v>66</v>
      </c>
      <c r="G4254">
        <v>4</v>
      </c>
      <c r="H4254" s="1">
        <v>4.8495370370370368E-3</v>
      </c>
      <c r="I4254" t="s">
        <v>18</v>
      </c>
      <c r="J4254" s="2" t="str">
        <f>HYPERLINK("https://www.nba.com/stats/events?CFID=&amp;CFPARAMS=&amp;GameEventID=429&amp;GameID=0021600150&amp;Season=2016-17&amp;flag=1&amp;title=Leonard%2014'%20Fadeaway%20Jumper%20(18%20PTS)", "Leonard 14' Fadeaway Jumper (18 PTS)")</f>
        <v>Leonard 14' Fadeaway Jumper (18 PTS)</v>
      </c>
      <c r="K4254" s="2" t="str">
        <f>HYPERLINK("https://www.nba.com/game/...-vs-...-0021600150/play-by-play?watchFullGame=true", "SAS vs MIA - Q4 06:59.00")</f>
        <v>SAS vs MIA - Q4 06:59.00</v>
      </c>
      <c r="L4254">
        <v>14</v>
      </c>
      <c r="M4254">
        <v>130</v>
      </c>
      <c r="N4254">
        <v>47</v>
      </c>
      <c r="O4254">
        <v>130</v>
      </c>
      <c r="P4254">
        <v>47</v>
      </c>
    </row>
    <row r="4255" spans="1:16" x14ac:dyDescent="0.25">
      <c r="A4255">
        <v>21900115</v>
      </c>
      <c r="B4255">
        <v>2019</v>
      </c>
      <c r="C4255" t="s">
        <v>32</v>
      </c>
      <c r="D4255" t="s">
        <v>22</v>
      </c>
      <c r="E4255">
        <v>17</v>
      </c>
      <c r="F4255">
        <v>12</v>
      </c>
      <c r="G4255">
        <v>1</v>
      </c>
      <c r="H4255" s="1">
        <v>3.5532407407407409E-3</v>
      </c>
      <c r="I4255" t="s">
        <v>23</v>
      </c>
      <c r="J4255" s="2" t="str">
        <f>HYPERLINK("https://www.nba.com/stats/events?CFID=&amp;CFPARAMS=&amp;GameEventID=88&amp;GameID=0021900115&amp;Season=2019-20&amp;flag=1&amp;title=[LAC]%20Leonard%20jumpshot:%20Made%20(6%20PTS)", "[LAC] Leonard jumpshot: Made (6 PTS)")</f>
        <v>[LAC] Leonard jumpshot: Made (6 PTS)</v>
      </c>
      <c r="K4255" s="2" t="str">
        <f>HYPERLINK("https://www.nba.com/game/...-vs-...-0021900115/play-by-play?watchFullGame=true", "LAC vs POR - Q1 05:07.00")</f>
        <v>LAC vs POR - Q1 05:07.00</v>
      </c>
      <c r="L4255">
        <v>14.13</v>
      </c>
      <c r="M4255">
        <v>10.82</v>
      </c>
      <c r="N4255">
        <v>23.95</v>
      </c>
      <c r="O4255">
        <v>130</v>
      </c>
      <c r="P4255">
        <v>49</v>
      </c>
    </row>
    <row r="4256" spans="1:16" x14ac:dyDescent="0.25">
      <c r="A4256">
        <v>22000009</v>
      </c>
      <c r="B4256">
        <v>2020</v>
      </c>
      <c r="C4256" t="s">
        <v>32</v>
      </c>
      <c r="D4256" t="s">
        <v>19</v>
      </c>
      <c r="E4256">
        <v>85</v>
      </c>
      <c r="F4256">
        <v>102</v>
      </c>
      <c r="G4256">
        <v>4</v>
      </c>
      <c r="H4256" s="1">
        <v>6.8055555555555551E-3</v>
      </c>
      <c r="I4256" t="s">
        <v>23</v>
      </c>
      <c r="J4256" s="2" t="str">
        <f>HYPERLINK("https://www.nba.com/stats/events?CFID=&amp;CFPARAMS=&amp;GameEventID=602&amp;GameID=0022000009&amp;Season=2020-21&amp;flag=1&amp;title=Leonard%2014'%20fadeaway%20Jump%20Shot%20(21%20PTS)", "14' fadeaway Jump Shot (21 PTS)")</f>
        <v>14' fadeaway Jump Shot (21 PTS)</v>
      </c>
      <c r="K4256" s="2" t="str">
        <f>HYPERLINK("https://www.nba.com/game/...-vs-...-0022000009/play-by-play?watchFullGame=true", "LAC vs DEN - Q4 09:48.00")</f>
        <v>LAC vs DEN - Q4 09:48.00</v>
      </c>
      <c r="L4256">
        <v>14.98</v>
      </c>
      <c r="M4256">
        <v>86.55</v>
      </c>
      <c r="N4256">
        <v>76.05</v>
      </c>
      <c r="O4256">
        <v>130</v>
      </c>
      <c r="P4256">
        <v>74</v>
      </c>
    </row>
    <row r="4257" spans="1:16" x14ac:dyDescent="0.25">
      <c r="A4257">
        <v>21501215</v>
      </c>
      <c r="B4257">
        <v>2015</v>
      </c>
      <c r="C4257" t="s">
        <v>32</v>
      </c>
      <c r="D4257" t="s">
        <v>19</v>
      </c>
      <c r="E4257">
        <v>13</v>
      </c>
      <c r="F4257">
        <v>15</v>
      </c>
      <c r="G4257">
        <v>1</v>
      </c>
      <c r="H4257" s="1">
        <v>4.2245370370370371E-3</v>
      </c>
      <c r="I4257" t="s">
        <v>18</v>
      </c>
      <c r="J4257" s="2" t="str">
        <f>HYPERLINK("https://www.nba.com/stats/events?CFID=&amp;CFPARAMS=&amp;GameEventID=58&amp;GameID=0021501215&amp;Season=2015-16&amp;flag=1&amp;title=Leonard%2016'%20Jump%20Shot%20(2%20PTS)%20(Parker%201%20AST)", "Leonard 16' Jump Shot (2 PTS) (Parker 1 AST)")</f>
        <v>Leonard 16' Jump Shot (2 PTS) (Parker 1 AST)</v>
      </c>
      <c r="K4257" s="2" t="str">
        <f>HYPERLINK("https://www.nba.com/game/...-vs-...-0021501215/play-by-play?watchFullGame=true", "SAS vs OKC - Q1 06:05.00")</f>
        <v>SAS vs OKC - Q1 06:05.00</v>
      </c>
      <c r="L4257">
        <v>16</v>
      </c>
      <c r="M4257">
        <v>130</v>
      </c>
      <c r="N4257">
        <v>90</v>
      </c>
      <c r="O4257">
        <v>130</v>
      </c>
      <c r="P4257">
        <v>90</v>
      </c>
    </row>
    <row r="4258" spans="1:16" x14ac:dyDescent="0.25">
      <c r="A4258">
        <v>21500905</v>
      </c>
      <c r="B4258">
        <v>2015</v>
      </c>
      <c r="C4258" t="s">
        <v>32</v>
      </c>
      <c r="D4258" t="s">
        <v>29</v>
      </c>
      <c r="E4258">
        <v>28</v>
      </c>
      <c r="F4258">
        <v>26</v>
      </c>
      <c r="G4258">
        <v>1</v>
      </c>
      <c r="H4258" s="1">
        <v>3.8194444444444444E-5</v>
      </c>
      <c r="I4258" t="s">
        <v>18</v>
      </c>
      <c r="J4258" s="2" t="str">
        <f>HYPERLINK("https://www.nba.com/stats/events?CFID=&amp;CFPARAMS=&amp;GameEventID=102&amp;GameID=0021500905&amp;Season=2015-16&amp;flag=1&amp;title=Leonard%2017'%20Pullup%20Jump%20Shot%20(11%20PTS)", "Leonard 17' Pullup Jump Shot (11 PTS)")</f>
        <v>Leonard 17' Pullup Jump Shot (11 PTS)</v>
      </c>
      <c r="K4258" s="2" t="str">
        <f>HYPERLINK("https://www.nba.com/game/...-vs-...-0021500905/play-by-play?watchFullGame=true", "SAS vs DET - Q1 00:03.30")</f>
        <v>SAS vs DET - Q1 00:03.30</v>
      </c>
      <c r="L4258">
        <v>17</v>
      </c>
      <c r="M4258">
        <v>130</v>
      </c>
      <c r="N4258">
        <v>111</v>
      </c>
      <c r="O4258">
        <v>130</v>
      </c>
      <c r="P4258">
        <v>111</v>
      </c>
    </row>
    <row r="4259" spans="1:16" x14ac:dyDescent="0.25">
      <c r="A4259">
        <v>22000701</v>
      </c>
      <c r="B4259">
        <v>2020</v>
      </c>
      <c r="C4259" t="s">
        <v>32</v>
      </c>
      <c r="D4259" t="s">
        <v>19</v>
      </c>
      <c r="E4259">
        <v>113</v>
      </c>
      <c r="F4259">
        <v>97</v>
      </c>
      <c r="G4259">
        <v>4</v>
      </c>
      <c r="H4259" s="1">
        <v>4.3287037037037035E-3</v>
      </c>
      <c r="I4259" t="s">
        <v>23</v>
      </c>
      <c r="J4259" s="2" t="str">
        <f>HYPERLINK("https://www.nba.com/stats/events?CFID=&amp;CFPARAMS=&amp;GameEventID=582&amp;GameID=0022000701&amp;Season=2020-21&amp;flag=1&amp;title=Leonard%2017'%20step%20back%20Jump%20Shot%20(26%20PTS)", "17' step back Jump Shot (26 PTS)")</f>
        <v>17' step back Jump Shot (26 PTS)</v>
      </c>
      <c r="K4259" s="2" t="str">
        <f>HYPERLINK("https://www.nba.com/game/...-vs-...-0022000701/play-by-play?watchFullGame=true", "LAC vs PHI - Q4 06:14.00")</f>
        <v>LAC vs PHI - Q4 06:14.00</v>
      </c>
      <c r="L4259">
        <v>17.170000000000002</v>
      </c>
      <c r="M4259">
        <v>82.44</v>
      </c>
      <c r="N4259">
        <v>75.91</v>
      </c>
      <c r="O4259">
        <v>130</v>
      </c>
      <c r="P4259">
        <v>113</v>
      </c>
    </row>
    <row r="4260" spans="1:16" x14ac:dyDescent="0.25">
      <c r="A4260">
        <v>21501118</v>
      </c>
      <c r="B4260">
        <v>2015</v>
      </c>
      <c r="C4260" t="s">
        <v>32</v>
      </c>
      <c r="D4260" t="s">
        <v>29</v>
      </c>
      <c r="E4260">
        <v>6</v>
      </c>
      <c r="F4260">
        <v>5</v>
      </c>
      <c r="G4260">
        <v>1</v>
      </c>
      <c r="H4260" s="1">
        <v>7.2337962962962963E-3</v>
      </c>
      <c r="I4260" t="s">
        <v>18</v>
      </c>
      <c r="J4260" s="2" t="str">
        <f>HYPERLINK("https://www.nba.com/stats/events?CFID=&amp;CFPARAMS=&amp;GameEventID=12&amp;GameID=0021501118&amp;Season=2015-16&amp;flag=1&amp;title=Leonard%2018'%20Pullup%20Jump%20Shot%20(2%20PTS)", "Leonard 18' Pullup Jump Shot (2 PTS)")</f>
        <v>Leonard 18' Pullup Jump Shot (2 PTS)</v>
      </c>
      <c r="K4260" s="2" t="str">
        <f>HYPERLINK("https://www.nba.com/game/...-vs-...-0021501118/play-by-play?watchFullGame=true", "SAS vs NOP - Q1 10:25.00")</f>
        <v>SAS vs NOP - Q1 10:25.00</v>
      </c>
      <c r="L4260">
        <v>18</v>
      </c>
      <c r="M4260">
        <v>130</v>
      </c>
      <c r="N4260">
        <v>120</v>
      </c>
      <c r="O4260">
        <v>130</v>
      </c>
      <c r="P4260">
        <v>120</v>
      </c>
    </row>
    <row r="4261" spans="1:16" x14ac:dyDescent="0.25">
      <c r="A4261">
        <v>21601085</v>
      </c>
      <c r="B4261">
        <v>2016</v>
      </c>
      <c r="C4261" t="s">
        <v>32</v>
      </c>
      <c r="D4261" t="s">
        <v>29</v>
      </c>
      <c r="E4261">
        <v>103</v>
      </c>
      <c r="F4261">
        <v>90</v>
      </c>
      <c r="G4261">
        <v>4</v>
      </c>
      <c r="H4261" s="1">
        <v>2.3148148148148147E-3</v>
      </c>
      <c r="I4261" t="s">
        <v>18</v>
      </c>
      <c r="J4261" s="2" t="str">
        <f>HYPERLINK("https://www.nba.com/stats/events?CFID=&amp;CFPARAMS=&amp;GameEventID=465&amp;GameID=0021601085&amp;Season=2016-17&amp;flag=1&amp;title=Leonard%2018'%20Pullup%20Jump%20Shot%20(26%20PTS)%20(Aldridge%202%20AST)", "Leonard 18' Pullup Jump Shot (26 PTS) (Aldridge 2 AST)")</f>
        <v>Leonard 18' Pullup Jump Shot (26 PTS) (Aldridge 2 AST)</v>
      </c>
      <c r="K4261" s="2" t="str">
        <f>HYPERLINK("https://www.nba.com/game/...-vs-...-0021601085/play-by-play?watchFullGame=true", "SAS vs NYK - Q4 03:20.00")</f>
        <v>SAS vs NYK - Q4 03:20.00</v>
      </c>
      <c r="L4261">
        <v>18</v>
      </c>
      <c r="M4261">
        <v>130</v>
      </c>
      <c r="N4261">
        <v>124</v>
      </c>
      <c r="O4261">
        <v>130</v>
      </c>
      <c r="P4261">
        <v>124</v>
      </c>
    </row>
    <row r="4262" spans="1:16" x14ac:dyDescent="0.25">
      <c r="A4262">
        <v>41200405</v>
      </c>
      <c r="B4262" t="s">
        <v>27</v>
      </c>
      <c r="C4262" t="s">
        <v>32</v>
      </c>
      <c r="D4262" t="s">
        <v>19</v>
      </c>
      <c r="E4262">
        <v>12</v>
      </c>
      <c r="F4262">
        <v>8</v>
      </c>
      <c r="G4262">
        <v>1</v>
      </c>
      <c r="H4262" s="1">
        <v>6.076388888888889E-3</v>
      </c>
      <c r="I4262" t="s">
        <v>18</v>
      </c>
      <c r="J4262" s="2" t="str">
        <f>HYPERLINK("https://www.nba.com/stats/events?CFID=&amp;CFPARAMS=&amp;GameEventID=34&amp;GameID=0041200405&amp;Season=2012-13&amp;flag=1&amp;title=Leonard%2018'%20Jump%20Shot%20(2%20PTS)", "Leonard 18' Jump Shot (2 PTS)")</f>
        <v>Leonard 18' Jump Shot (2 PTS)</v>
      </c>
      <c r="K4262" s="2" t="str">
        <f>HYPERLINK("https://www.nba.com/game/...-vs-...-0041200405/play-by-play?watchFullGame=true", "SAS vs MIA - Q1 08:45.00")</f>
        <v>SAS vs MIA - Q1 08:45.00</v>
      </c>
      <c r="L4262">
        <v>18</v>
      </c>
      <c r="M4262">
        <v>130</v>
      </c>
      <c r="N4262">
        <v>127</v>
      </c>
      <c r="O4262">
        <v>130</v>
      </c>
      <c r="P4262">
        <v>127</v>
      </c>
    </row>
    <row r="4263" spans="1:16" x14ac:dyDescent="0.25">
      <c r="A4263">
        <v>21400291</v>
      </c>
      <c r="B4263">
        <v>2014</v>
      </c>
      <c r="C4263" t="s">
        <v>32</v>
      </c>
      <c r="D4263" t="s">
        <v>29</v>
      </c>
      <c r="E4263">
        <v>83</v>
      </c>
      <c r="F4263">
        <v>61</v>
      </c>
      <c r="G4263">
        <v>3</v>
      </c>
      <c r="H4263" s="1">
        <v>4.386574074074074E-3</v>
      </c>
      <c r="I4263" t="s">
        <v>18</v>
      </c>
      <c r="J4263" s="2" t="str">
        <f>HYPERLINK("https://www.nba.com/stats/events?CFID=&amp;CFPARAMS=&amp;GameEventID=335&amp;GameID=0021400291&amp;Season=2014-15&amp;flag=1&amp;title=Leonard%2019'%20Pullup%20Jump%20Shot%20(14%20PTS)%20(Joseph%203%20AST)", "Leonard 19' Pullup Jump Shot (14 PTS) (Joseph 3 AST)")</f>
        <v>Leonard 19' Pullup Jump Shot (14 PTS) (Joseph 3 AST)</v>
      </c>
      <c r="K4263" s="2" t="str">
        <f>HYPERLINK("https://www.nba.com/game/...-vs-...-0021400291/play-by-play?watchFullGame=true", "SAS vs MIN - Q3 06:19.00")</f>
        <v>SAS vs MIN - Q3 06:19.00</v>
      </c>
      <c r="L4263">
        <v>19</v>
      </c>
      <c r="M4263">
        <v>130</v>
      </c>
      <c r="N4263">
        <v>145</v>
      </c>
      <c r="O4263">
        <v>130</v>
      </c>
      <c r="P4263">
        <v>145</v>
      </c>
    </row>
    <row r="4264" spans="1:16" x14ac:dyDescent="0.25">
      <c r="A4264">
        <v>21301221</v>
      </c>
      <c r="B4264">
        <v>2013</v>
      </c>
      <c r="C4264" t="s">
        <v>16</v>
      </c>
      <c r="D4264" t="s">
        <v>19</v>
      </c>
      <c r="E4264">
        <v>56</v>
      </c>
      <c r="F4264">
        <v>62</v>
      </c>
      <c r="G4264">
        <v>3</v>
      </c>
      <c r="H4264" s="1">
        <v>6.3425925925925924E-3</v>
      </c>
      <c r="I4264" t="s">
        <v>18</v>
      </c>
      <c r="J4264" s="2" t="str">
        <f>HYPERLINK("https://www.nba.com/stats/events?CFID=&amp;CFPARAMS=&amp;GameEventID=276&amp;GameID=0021301221&amp;Season=2013-14&amp;flag=1&amp;title=Leonard%2024'%203PT%20Jump%20Shot%20(12%20PTS)%20(Ginobili%204%20AST)", "Leonard 24' 3PT Jump Shot (12 PTS) (Ginobili 4 AST)")</f>
        <v>Leonard 24' 3PT Jump Shot (12 PTS) (Ginobili 4 AST)</v>
      </c>
      <c r="K4264" s="2" t="str">
        <f>HYPERLINK("https://www.nba.com/game/...-vs-...-0021301221/play-by-play?watchFullGame=true", "SAS vs LAL - Q3 09:08.00")</f>
        <v>SAS vs LAL - Q3 09:08.00</v>
      </c>
      <c r="L4264">
        <v>24</v>
      </c>
      <c r="M4264">
        <v>130</v>
      </c>
      <c r="N4264">
        <v>203</v>
      </c>
      <c r="O4264">
        <v>130</v>
      </c>
      <c r="P4264">
        <v>203</v>
      </c>
    </row>
    <row r="4265" spans="1:16" x14ac:dyDescent="0.25">
      <c r="A4265">
        <v>21500860</v>
      </c>
      <c r="B4265">
        <v>2015</v>
      </c>
      <c r="C4265" t="s">
        <v>16</v>
      </c>
      <c r="D4265" t="s">
        <v>19</v>
      </c>
      <c r="E4265">
        <v>31</v>
      </c>
      <c r="F4265">
        <v>29</v>
      </c>
      <c r="G4265">
        <v>2</v>
      </c>
      <c r="H4265" s="1">
        <v>3.2060185185185186E-3</v>
      </c>
      <c r="I4265" t="s">
        <v>18</v>
      </c>
      <c r="J4265" s="2" t="str">
        <f>HYPERLINK("https://www.nba.com/stats/events?CFID=&amp;CFPARAMS=&amp;GameEventID=176&amp;GameID=0021500860&amp;Season=2015-16&amp;flag=1&amp;title=Leonard%2025'%203PT%20Jump%20Shot%20(11%20PTS)%20(Green%201%20AST)", "Leonard 25' 3PT Jump Shot (11 PTS) (Green 1 AST)")</f>
        <v>Leonard 25' 3PT Jump Shot (11 PTS) (Green 1 AST)</v>
      </c>
      <c r="K4265" s="2" t="str">
        <f>HYPERLINK("https://www.nba.com/game/...-vs-...-0021500860/play-by-play?watchFullGame=true", "SAS vs UTA - Q2 04:37.00")</f>
        <v>SAS vs UTA - Q2 04:37.00</v>
      </c>
      <c r="L4265">
        <v>25</v>
      </c>
      <c r="M4265">
        <v>130</v>
      </c>
      <c r="N4265">
        <v>213</v>
      </c>
      <c r="O4265">
        <v>130</v>
      </c>
      <c r="P4265">
        <v>213</v>
      </c>
    </row>
    <row r="4266" spans="1:16" x14ac:dyDescent="0.25">
      <c r="A4266">
        <v>21900339</v>
      </c>
      <c r="B4266">
        <v>2019</v>
      </c>
      <c r="C4266" t="s">
        <v>16</v>
      </c>
      <c r="D4266" t="s">
        <v>22</v>
      </c>
      <c r="E4266">
        <v>50</v>
      </c>
      <c r="F4266">
        <v>52</v>
      </c>
      <c r="G4266">
        <v>2</v>
      </c>
      <c r="H4266" s="1">
        <v>3.5300925925925925E-3</v>
      </c>
      <c r="I4266" t="s">
        <v>23</v>
      </c>
      <c r="J4266" s="2" t="str">
        <f>HYPERLINK("https://www.nba.com/stats/events?CFID=&amp;CFPARAMS=&amp;GameEventID=278&amp;GameID=0021900339&amp;Season=2019-20&amp;flag=1&amp;title=Leonard%2026'%203PT%20%20(13%20PTS)%20(P.%20Beverley%202%20AST)", "26' 3PT  (13 PTS) (P. Beverley 2 AST)")</f>
        <v>26' 3PT  (13 PTS) (P. Beverley 2 AST)</v>
      </c>
      <c r="K4266" s="2" t="str">
        <f>HYPERLINK("https://www.nba.com/game/...-vs-...-0021900339/play-by-play?watchFullGame=true", "LAC vs WAS - Q2 05:05.00")</f>
        <v>LAC vs WAS - Q2 05:05.00</v>
      </c>
      <c r="L4266">
        <v>26.12</v>
      </c>
      <c r="M4266">
        <v>70.88</v>
      </c>
      <c r="N4266">
        <v>75.91</v>
      </c>
      <c r="O4266">
        <v>130</v>
      </c>
      <c r="P4266">
        <v>221</v>
      </c>
    </row>
    <row r="4267" spans="1:16" x14ac:dyDescent="0.25">
      <c r="A4267">
        <v>22300865</v>
      </c>
      <c r="B4267">
        <v>2023</v>
      </c>
      <c r="C4267" t="s">
        <v>16</v>
      </c>
      <c r="D4267" t="s">
        <v>19</v>
      </c>
      <c r="E4267">
        <v>33</v>
      </c>
      <c r="F4267">
        <v>28</v>
      </c>
      <c r="G4267">
        <v>1</v>
      </c>
      <c r="H4267" s="1">
        <v>8.3333333333333339E-4</v>
      </c>
      <c r="I4267" t="s">
        <v>23</v>
      </c>
      <c r="J4267" s="2" t="str">
        <f>HYPERLINK("https://www.nba.com/stats/events?CFID=&amp;CFPARAMS=&amp;GameEventID=137&amp;GameID=0022300865&amp;Season=2023-24&amp;flag=1&amp;title=Leonard%2025'%203PT%20%20(9%20PTS)%20(R.%20Westbrook%201%20AST)", "25' 3PT  (9 PTS) (R. Westbrook 1 AST)")</f>
        <v>25' 3PT  (9 PTS) (R. Westbrook 1 AST)</v>
      </c>
      <c r="K4267" s="2" t="str">
        <f>HYPERLINK("https://www.nba.com/game/...-vs-...-0022300865/play-by-play?watchFullGame=true", "LAC vs WAS - Q1 01:12.00")</f>
        <v>LAC vs WAS - Q1 01:12.00</v>
      </c>
      <c r="L4267">
        <v>25.87</v>
      </c>
      <c r="M4267">
        <v>70.61</v>
      </c>
      <c r="N4267">
        <v>75.98</v>
      </c>
      <c r="O4267">
        <v>130</v>
      </c>
      <c r="P4267">
        <v>224</v>
      </c>
    </row>
    <row r="4268" spans="1:16" x14ac:dyDescent="0.25">
      <c r="A4268">
        <v>22301064</v>
      </c>
      <c r="B4268">
        <v>2023</v>
      </c>
      <c r="C4268" t="s">
        <v>16</v>
      </c>
      <c r="D4268" t="s">
        <v>19</v>
      </c>
      <c r="E4268">
        <v>76</v>
      </c>
      <c r="F4268">
        <v>80</v>
      </c>
      <c r="G4268">
        <v>3</v>
      </c>
      <c r="H4268" s="1">
        <v>6.041666666666667E-4</v>
      </c>
      <c r="I4268" t="s">
        <v>23</v>
      </c>
      <c r="J4268" s="2" t="str">
        <f>HYPERLINK("https://www.nba.com/stats/events?CFID=&amp;CFPARAMS=&amp;GameEventID=450&amp;GameID=0022301064&amp;Season=2023-24&amp;flag=1&amp;title=Leonard%2026'%203PT%20%20(23%20PTS)%20(R.%20Westbrook%205%20AST)", "26' 3PT  (23 PTS) (R. Westbrook 5 AST)")</f>
        <v>26' 3PT  (23 PTS) (R. Westbrook 5 AST)</v>
      </c>
      <c r="K4268" s="2" t="str">
        <f>HYPERLINK("https://www.nba.com/game/...-vs-...-0022301064/play-by-play?watchFullGame=true", "LAC vs ORL - Q3 00:52.20")</f>
        <v>LAC vs ORL - Q3 00:52.20</v>
      </c>
      <c r="L4268">
        <v>26.48</v>
      </c>
      <c r="M4268">
        <v>69.86</v>
      </c>
      <c r="N4268">
        <v>75.98</v>
      </c>
      <c r="O4268">
        <v>130</v>
      </c>
      <c r="P4268">
        <v>231</v>
      </c>
    </row>
    <row r="4269" spans="1:16" x14ac:dyDescent="0.25">
      <c r="A4269">
        <v>22300637</v>
      </c>
      <c r="B4269">
        <v>2023</v>
      </c>
      <c r="C4269" t="s">
        <v>32</v>
      </c>
      <c r="D4269" t="s">
        <v>19</v>
      </c>
      <c r="E4269">
        <v>44</v>
      </c>
      <c r="F4269">
        <v>56</v>
      </c>
      <c r="G4269">
        <v>2</v>
      </c>
      <c r="H4269" s="1">
        <v>2.650462962962963E-3</v>
      </c>
      <c r="I4269" t="s">
        <v>23</v>
      </c>
      <c r="J4269" s="2" t="str">
        <f>HYPERLINK("https://www.nba.com/stats/events?CFID=&amp;CFPARAMS=&amp;GameEventID=274&amp;GameID=0022300637&amp;Season=2023-24&amp;flag=1&amp;title=Leonard%2013'%20pullup%20Jump%20Shot%20(6%20PTS)", "13' pullup Jump Shot (6 PTS)")</f>
        <v>13' pullup Jump Shot (6 PTS)</v>
      </c>
      <c r="K4269" s="2" t="str">
        <f>HYPERLINK("https://www.nba.com/game/...-vs-...-0022300637/play-by-play?watchFullGame=true", "LAC vs TOR - Q2 03:49.00")</f>
        <v>LAC vs TOR - Q2 03:49.00</v>
      </c>
      <c r="L4269">
        <v>13.13</v>
      </c>
      <c r="M4269">
        <v>93.64</v>
      </c>
      <c r="N4269">
        <v>76.23</v>
      </c>
      <c r="O4269">
        <v>131</v>
      </c>
      <c r="P4269">
        <v>7</v>
      </c>
    </row>
    <row r="4270" spans="1:16" x14ac:dyDescent="0.25">
      <c r="A4270">
        <v>21900157</v>
      </c>
      <c r="B4270">
        <v>2019</v>
      </c>
      <c r="C4270" t="s">
        <v>32</v>
      </c>
      <c r="D4270" t="s">
        <v>22</v>
      </c>
      <c r="E4270">
        <v>31</v>
      </c>
      <c r="F4270">
        <v>19</v>
      </c>
      <c r="G4270">
        <v>2</v>
      </c>
      <c r="H4270" s="1">
        <v>7.6273148148148151E-3</v>
      </c>
      <c r="I4270" t="s">
        <v>23</v>
      </c>
      <c r="J4270" s="2" t="str">
        <f>HYPERLINK("https://www.nba.com/stats/events?CFID=&amp;CFPARAMS=&amp;GameEventID=199&amp;GameID=0021900157&amp;Season=2019-20&amp;flag=1&amp;title=Leonard%2015'%20jumpshot%20(9%20PTS)", "15' jumpshot (9 PTS)")</f>
        <v>15' jumpshot (9 PTS)</v>
      </c>
      <c r="K4270" s="2" t="str">
        <f>HYPERLINK("https://www.nba.com/game/...-vs-...-0021900157/play-by-play?watchFullGame=true", "LAC vs HOU - Q2 10:59.00")</f>
        <v>LAC vs HOU - Q2 10:59.00</v>
      </c>
      <c r="L4270">
        <v>14.95</v>
      </c>
      <c r="M4270">
        <v>87.3</v>
      </c>
      <c r="N4270">
        <v>76.16</v>
      </c>
      <c r="O4270">
        <v>131</v>
      </c>
      <c r="P4270">
        <v>67</v>
      </c>
    </row>
    <row r="4271" spans="1:16" x14ac:dyDescent="0.25">
      <c r="A4271">
        <v>21900589</v>
      </c>
      <c r="B4271">
        <v>2019</v>
      </c>
      <c r="C4271" t="s">
        <v>32</v>
      </c>
      <c r="D4271" t="s">
        <v>22</v>
      </c>
      <c r="E4271">
        <v>16</v>
      </c>
      <c r="F4271">
        <v>20</v>
      </c>
      <c r="G4271">
        <v>1</v>
      </c>
      <c r="H4271" s="1">
        <v>3.449074074074074E-3</v>
      </c>
      <c r="I4271" t="s">
        <v>23</v>
      </c>
      <c r="J4271" s="2" t="str">
        <f>HYPERLINK("https://www.nba.com/stats/events?CFID=&amp;CFPARAMS=&amp;GameEventID=74&amp;GameID=0021900589&amp;Season=2019-20&amp;flag=1&amp;title=Leonard%2016'%20jumpshot%20(6%20PTS)%20(I.%20Zubac%201%20AST)", "16' jumpshot (6 PTS) (I. Zubac 1 AST)")</f>
        <v>16' jumpshot (6 PTS) (I. Zubac 1 AST)</v>
      </c>
      <c r="K4271" s="2" t="str">
        <f>HYPERLINK("https://www.nba.com/game/...-vs-...-0021900589/play-by-play?watchFullGame=true", "LAC vs DEN - Q1 04:58.00")</f>
        <v>LAC vs DEN - Q1 04:58.00</v>
      </c>
      <c r="L4271">
        <v>15.52</v>
      </c>
      <c r="M4271">
        <v>13.88</v>
      </c>
      <c r="N4271">
        <v>23.84</v>
      </c>
      <c r="O4271">
        <v>131</v>
      </c>
      <c r="P4271">
        <v>78</v>
      </c>
    </row>
    <row r="4272" spans="1:16" x14ac:dyDescent="0.25">
      <c r="A4272">
        <v>22200918</v>
      </c>
      <c r="B4272">
        <v>2022</v>
      </c>
      <c r="C4272" t="s">
        <v>32</v>
      </c>
      <c r="D4272" t="s">
        <v>19</v>
      </c>
      <c r="E4272">
        <v>83</v>
      </c>
      <c r="F4272">
        <v>70</v>
      </c>
      <c r="G4272">
        <v>3</v>
      </c>
      <c r="H4272" s="1">
        <v>4.340277777777778E-3</v>
      </c>
      <c r="I4272" t="s">
        <v>23</v>
      </c>
      <c r="J4272" s="2" t="str">
        <f>HYPERLINK("https://www.nba.com/stats/events?CFID=&amp;CFPARAMS=&amp;GameEventID=383&amp;GameID=0022200918&amp;Season=2022-23&amp;flag=1&amp;title=Leonard%2022'%20pullup%20Jump%20Shot%20(18%20PTS)%20(M.%20Morris%20Sr.%202%20AST)", "22' pullup Jump Shot (18 PTS) (M. Morris Sr. 2 AST)")</f>
        <v>22' pullup Jump Shot (18 PTS) (M. Morris Sr. 2 AST)</v>
      </c>
      <c r="K4272" s="2" t="str">
        <f>HYPERLINK("https://www.nba.com/game/...-vs-...-0022200918/play-by-play?watchFullGame=true", "LAC vs DEN - Q3 06:15.00")</f>
        <v>LAC vs DEN - Q3 06:15.00</v>
      </c>
      <c r="L4272">
        <v>22.84</v>
      </c>
      <c r="M4272">
        <v>25.49</v>
      </c>
      <c r="N4272">
        <v>23.8</v>
      </c>
      <c r="O4272">
        <v>131</v>
      </c>
      <c r="P4272">
        <v>187</v>
      </c>
    </row>
    <row r="4273" spans="1:16" x14ac:dyDescent="0.25">
      <c r="A4273">
        <v>21901271</v>
      </c>
      <c r="B4273">
        <v>2019</v>
      </c>
      <c r="C4273" t="s">
        <v>16</v>
      </c>
      <c r="D4273" t="s">
        <v>22</v>
      </c>
      <c r="E4273">
        <v>20</v>
      </c>
      <c r="F4273">
        <v>23</v>
      </c>
      <c r="G4273">
        <v>1</v>
      </c>
      <c r="H4273" s="1">
        <v>1.0185185185185184E-3</v>
      </c>
      <c r="I4273" t="s">
        <v>23</v>
      </c>
      <c r="J4273" s="2" t="str">
        <f>HYPERLINK("https://www.nba.com/stats/events?CFID=&amp;CFPARAMS=&amp;GameEventID=140&amp;GameID=0021901271&amp;Season=2019-20&amp;flag=1&amp;title=Leonard%2026'%203PT%20%20(5%20PTS)", "26' 3PT  (5 PTS)")</f>
        <v>26' 3PT  (5 PTS)</v>
      </c>
      <c r="K4273" s="2" t="str">
        <f>HYPERLINK("https://www.nba.com/game/...-vs-...-0021901271/play-by-play?watchFullGame=true", "LAC vs DAL - Q1 01:28.00")</f>
        <v>LAC vs DAL - Q1 01:28.00</v>
      </c>
      <c r="L4273">
        <v>26.5</v>
      </c>
      <c r="M4273">
        <v>29.52</v>
      </c>
      <c r="N4273">
        <v>23.84</v>
      </c>
      <c r="O4273">
        <v>131</v>
      </c>
      <c r="P4273">
        <v>225</v>
      </c>
    </row>
    <row r="4274" spans="1:16" x14ac:dyDescent="0.25">
      <c r="A4274">
        <v>22301225</v>
      </c>
      <c r="B4274">
        <v>2023</v>
      </c>
      <c r="C4274" t="s">
        <v>16</v>
      </c>
      <c r="D4274" t="s">
        <v>19</v>
      </c>
      <c r="E4274">
        <v>93</v>
      </c>
      <c r="F4274">
        <v>108</v>
      </c>
      <c r="G4274">
        <v>4</v>
      </c>
      <c r="H4274" s="1">
        <v>3.6689814814814814E-3</v>
      </c>
      <c r="I4274" t="s">
        <v>23</v>
      </c>
      <c r="J4274" s="2" t="str">
        <f>HYPERLINK("https://www.nba.com/stats/events?CFID=&amp;CFPARAMS=&amp;GameEventID=602&amp;GameID=0022301225&amp;Season=2023-24&amp;flag=1&amp;title=Leonard%2026'%203PT%20pullup%20(39%20PTS)", "26' 3PT pullup (39 PTS)")</f>
        <v>26' 3PT pullup (39 PTS)</v>
      </c>
      <c r="K4274" s="2" t="str">
        <f>HYPERLINK("https://www.nba.com/game/...-vs-...-0022301225/play-by-play?watchFullGame=true", "LAC vs UTA - Q4 05:17.00")</f>
        <v>LAC vs UTA - Q4 05:17.00</v>
      </c>
      <c r="L4274">
        <v>26.57</v>
      </c>
      <c r="M4274">
        <v>30.17</v>
      </c>
      <c r="N4274">
        <v>23.77</v>
      </c>
      <c r="O4274">
        <v>131</v>
      </c>
      <c r="P4274">
        <v>231</v>
      </c>
    </row>
    <row r="4275" spans="1:16" x14ac:dyDescent="0.25">
      <c r="A4275">
        <v>22201082</v>
      </c>
      <c r="B4275">
        <v>2022</v>
      </c>
      <c r="C4275" t="s">
        <v>32</v>
      </c>
      <c r="D4275" t="s">
        <v>19</v>
      </c>
      <c r="E4275">
        <v>93</v>
      </c>
      <c r="F4275">
        <v>91</v>
      </c>
      <c r="G4275">
        <v>4</v>
      </c>
      <c r="H4275" s="1">
        <v>3.0324074074074073E-3</v>
      </c>
      <c r="I4275" t="s">
        <v>23</v>
      </c>
      <c r="J4275" s="2" t="str">
        <f>HYPERLINK("https://www.nba.com/stats/events?CFID=&amp;CFPARAMS=&amp;GameEventID=605&amp;GameID=0022201082&amp;Season=2022-23&amp;flag=1&amp;title=Leonard%2013'%20fadeaway%20Jump%20Shot%20(21%20PTS)", "13' fadeaway Jump Shot (21 PTS)")</f>
        <v>13' fadeaway Jump Shot (21 PTS)</v>
      </c>
      <c r="K4275" s="2" t="str">
        <f>HYPERLINK("https://www.nba.com/game/...-vs-...-0022201082/play-by-play?watchFullGame=true", "LAC vs OKC - Q4 04:22.00")</f>
        <v>LAC vs OKC - Q4 04:22.00</v>
      </c>
      <c r="L4275">
        <v>13.3</v>
      </c>
      <c r="M4275">
        <v>6.88</v>
      </c>
      <c r="N4275">
        <v>23.53</v>
      </c>
      <c r="O4275">
        <v>132</v>
      </c>
      <c r="P4275">
        <v>12</v>
      </c>
    </row>
    <row r="4276" spans="1:16" x14ac:dyDescent="0.25">
      <c r="A4276">
        <v>21500224</v>
      </c>
      <c r="B4276">
        <v>2015</v>
      </c>
      <c r="C4276" t="s">
        <v>32</v>
      </c>
      <c r="D4276" t="s">
        <v>24</v>
      </c>
      <c r="E4276">
        <v>72</v>
      </c>
      <c r="F4276">
        <v>66</v>
      </c>
      <c r="G4276">
        <v>4</v>
      </c>
      <c r="H4276" s="1">
        <v>5.7175925925925927E-3</v>
      </c>
      <c r="I4276" t="s">
        <v>18</v>
      </c>
      <c r="J4276" s="2" t="str">
        <f>HYPERLINK("https://www.nba.com/stats/events?CFID=&amp;CFPARAMS=&amp;GameEventID=414&amp;GameID=0021500224&amp;Season=2015-16&amp;flag=1&amp;title=Leonard%2013'%20Turnaround%20Jump%20Shot%20(19%20PTS)", "Leonard 13' Turnaround Jump Shot (19 PTS)")</f>
        <v>Leonard 13' Turnaround Jump Shot (19 PTS)</v>
      </c>
      <c r="K4276" s="2" t="str">
        <f>HYPERLINK("https://www.nba.com/game/...-vs-...-0021500224/play-by-play?watchFullGame=true", "SAS vs DAL - Q4 08:14.00")</f>
        <v>SAS vs DAL - Q4 08:14.00</v>
      </c>
      <c r="L4276">
        <v>13</v>
      </c>
      <c r="M4276">
        <v>132</v>
      </c>
      <c r="N4276">
        <v>16</v>
      </c>
      <c r="O4276">
        <v>132</v>
      </c>
      <c r="P4276">
        <v>16</v>
      </c>
    </row>
    <row r="4277" spans="1:16" x14ac:dyDescent="0.25">
      <c r="A4277">
        <v>21500013</v>
      </c>
      <c r="B4277">
        <v>2015</v>
      </c>
      <c r="C4277" t="s">
        <v>32</v>
      </c>
      <c r="D4277" t="s">
        <v>33</v>
      </c>
      <c r="E4277">
        <v>90</v>
      </c>
      <c r="F4277">
        <v>97</v>
      </c>
      <c r="G4277">
        <v>4</v>
      </c>
      <c r="H4277" s="1">
        <v>4.5717592592592589E-3</v>
      </c>
      <c r="I4277" t="s">
        <v>18</v>
      </c>
      <c r="J4277" s="2" t="str">
        <f>HYPERLINK("https://www.nba.com/stats/events?CFID=&amp;CFPARAMS=&amp;GameEventID=460&amp;GameID=0021500013&amp;Season=2015-16&amp;flag=1&amp;title=Leonard%2013'%20Fadeaway%20Jumper%20(27%20PTS)", "Leonard 13' Fadeaway Jumper (27 PTS)")</f>
        <v>Leonard 13' Fadeaway Jumper (27 PTS)</v>
      </c>
      <c r="K4277" s="2" t="str">
        <f>HYPERLINK("https://www.nba.com/game/...-vs-...-0021500013/play-by-play?watchFullGame=true", "SAS vs OKC - Q4 06:35.00")</f>
        <v>SAS vs OKC - Q4 06:35.00</v>
      </c>
      <c r="L4277">
        <v>13</v>
      </c>
      <c r="M4277">
        <v>132</v>
      </c>
      <c r="N4277">
        <v>26</v>
      </c>
      <c r="O4277">
        <v>132</v>
      </c>
      <c r="P4277">
        <v>26</v>
      </c>
    </row>
    <row r="4278" spans="1:16" x14ac:dyDescent="0.25">
      <c r="A4278">
        <v>41600311</v>
      </c>
      <c r="B4278" t="s">
        <v>30</v>
      </c>
      <c r="C4278" t="s">
        <v>32</v>
      </c>
      <c r="D4278" t="s">
        <v>33</v>
      </c>
      <c r="E4278">
        <v>0</v>
      </c>
      <c r="F4278">
        <v>2</v>
      </c>
      <c r="G4278">
        <v>1</v>
      </c>
      <c r="H4278" s="1">
        <v>7.5578703703703702E-3</v>
      </c>
      <c r="I4278" t="s">
        <v>18</v>
      </c>
      <c r="J4278" s="2" t="str">
        <f>HYPERLINK("https://www.nba.com/stats/events?CFID=&amp;CFPARAMS=&amp;GameEventID=9&amp;GameID=0041600311&amp;Season=2016-17&amp;flag=1&amp;title=Leonard%2014'%20Fadeaway%20Jumper%20(2%20PTS)%20(Mills%201%20AST)", "Leonard 14' Fadeaway Jumper (2 PTS) (Mills 1 AST)")</f>
        <v>Leonard 14' Fadeaway Jumper (2 PTS) (Mills 1 AST)</v>
      </c>
      <c r="K4278" s="2" t="str">
        <f>HYPERLINK("https://www.nba.com/game/...-vs-...-0041600311/play-by-play?watchFullGame=true", "SAS vs GSW - Q1 10:53.00")</f>
        <v>SAS vs GSW - Q1 10:53.00</v>
      </c>
      <c r="L4278">
        <v>14</v>
      </c>
      <c r="M4278">
        <v>132</v>
      </c>
      <c r="N4278">
        <v>46</v>
      </c>
      <c r="O4278">
        <v>132</v>
      </c>
      <c r="P4278">
        <v>46</v>
      </c>
    </row>
    <row r="4279" spans="1:16" x14ac:dyDescent="0.25">
      <c r="A4279">
        <v>22400793</v>
      </c>
      <c r="B4279">
        <v>2024</v>
      </c>
      <c r="C4279" t="s">
        <v>32</v>
      </c>
      <c r="D4279" t="s">
        <v>19</v>
      </c>
      <c r="E4279">
        <v>80</v>
      </c>
      <c r="F4279">
        <v>91</v>
      </c>
      <c r="G4279">
        <v>4</v>
      </c>
      <c r="H4279" s="1">
        <v>7.8935185185185185E-3</v>
      </c>
      <c r="I4279" t="s">
        <v>23</v>
      </c>
      <c r="J4279" s="2" t="str">
        <f>HYPERLINK("https://www.nba.com/stats/events?CFID=&amp;CFPARAMS=&amp;GameEventID=485&amp;GameID=0022400793&amp;Season=2024-25&amp;flag=1&amp;title=Leonard%2014'%20turnaround%20fadeaway%20Jump%20Shot%20(22%20PTS)", "14' turnaround fadeaway Jump Shot (22 PTS)")</f>
        <v>14' turnaround fadeaway Jump Shot (22 PTS)</v>
      </c>
      <c r="K4279" s="2" t="str">
        <f>HYPERLINK("https://www.nba.com/game/...-vs-...-0022400793/play-by-play?watchFullGame=true", "LAC vs MIL - Q4 11:22.00")</f>
        <v>LAC vs MIL - Q4 11:22.00</v>
      </c>
      <c r="L4279">
        <v>14.13</v>
      </c>
      <c r="M4279">
        <v>89.18</v>
      </c>
      <c r="N4279">
        <v>76.47</v>
      </c>
      <c r="O4279">
        <v>132</v>
      </c>
      <c r="P4279">
        <v>49</v>
      </c>
    </row>
    <row r="4280" spans="1:16" x14ac:dyDescent="0.25">
      <c r="A4280">
        <v>41200231</v>
      </c>
      <c r="B4280" t="s">
        <v>27</v>
      </c>
      <c r="C4280" t="s">
        <v>32</v>
      </c>
      <c r="D4280" t="s">
        <v>29</v>
      </c>
      <c r="E4280">
        <v>61</v>
      </c>
      <c r="F4280">
        <v>66</v>
      </c>
      <c r="G4280">
        <v>3</v>
      </c>
      <c r="H4280" s="1">
        <v>5.6828703703703702E-3</v>
      </c>
      <c r="I4280" t="s">
        <v>18</v>
      </c>
      <c r="J4280" s="2" t="str">
        <f>HYPERLINK("https://www.nba.com/stats/events?CFID=&amp;CFPARAMS=&amp;GameEventID=300&amp;GameID=0041200231&amp;Season=2012-13&amp;flag=1&amp;title=Leonard%2015'%20Pullup%20Jump%20Shot%20(7%20PTS)%20(Parker%205%20AST)", "Leonard 15' Pullup Jump Shot (7 PTS) (Parker 5 AST)")</f>
        <v>Leonard 15' Pullup Jump Shot (7 PTS) (Parker 5 AST)</v>
      </c>
      <c r="K4280" s="2" t="str">
        <f>HYPERLINK("https://www.nba.com/game/...-vs-...-0041200231/play-by-play?watchFullGame=true", "SAS vs GSW - Q3 08:11.00")</f>
        <v>SAS vs GSW - Q3 08:11.00</v>
      </c>
      <c r="L4280">
        <v>15</v>
      </c>
      <c r="M4280">
        <v>132</v>
      </c>
      <c r="N4280">
        <v>74</v>
      </c>
      <c r="O4280">
        <v>132</v>
      </c>
      <c r="P4280">
        <v>74</v>
      </c>
    </row>
    <row r="4281" spans="1:16" x14ac:dyDescent="0.25">
      <c r="A4281">
        <v>21400595</v>
      </c>
      <c r="B4281">
        <v>2014</v>
      </c>
      <c r="C4281" t="s">
        <v>32</v>
      </c>
      <c r="D4281" t="s">
        <v>29</v>
      </c>
      <c r="E4281">
        <v>12</v>
      </c>
      <c r="F4281">
        <v>8</v>
      </c>
      <c r="G4281">
        <v>1</v>
      </c>
      <c r="H4281" s="1">
        <v>5.3935185185185188E-3</v>
      </c>
      <c r="I4281" t="s">
        <v>18</v>
      </c>
      <c r="J4281" s="2" t="str">
        <f>HYPERLINK("https://www.nba.com/stats/events?CFID=&amp;CFPARAMS=&amp;GameEventID=32&amp;GameID=0021400595&amp;Season=2014-15&amp;flag=1&amp;title=Leonard%2015'%20Pullup%20Jump%20Shot%20(6%20PTS)%20(Parker%201%20AST)", "Leonard 15' Pullup Jump Shot (6 PTS) (Parker 1 AST)")</f>
        <v>Leonard 15' Pullup Jump Shot (6 PTS) (Parker 1 AST)</v>
      </c>
      <c r="K4281" s="2" t="str">
        <f>HYPERLINK("https://www.nba.com/game/...-vs-...-0021400595/play-by-play?watchFullGame=true", "SAS vs POR - Q1 07:46.00")</f>
        <v>SAS vs POR - Q1 07:46.00</v>
      </c>
      <c r="L4281">
        <v>15</v>
      </c>
      <c r="M4281">
        <v>132</v>
      </c>
      <c r="N4281">
        <v>74</v>
      </c>
      <c r="O4281">
        <v>132</v>
      </c>
      <c r="P4281">
        <v>74</v>
      </c>
    </row>
    <row r="4282" spans="1:16" x14ac:dyDescent="0.25">
      <c r="A4282">
        <v>22200687</v>
      </c>
      <c r="B4282">
        <v>2022</v>
      </c>
      <c r="C4282" t="s">
        <v>32</v>
      </c>
      <c r="D4282" t="s">
        <v>19</v>
      </c>
      <c r="E4282">
        <v>74</v>
      </c>
      <c r="F4282">
        <v>67</v>
      </c>
      <c r="G4282">
        <v>3</v>
      </c>
      <c r="H4282" s="1">
        <v>7.743055555555556E-3</v>
      </c>
      <c r="I4282" t="s">
        <v>23</v>
      </c>
      <c r="J4282" s="2" t="str">
        <f>HYPERLINK("https://www.nba.com/stats/events?CFID=&amp;CFPARAMS=&amp;GameEventID=301&amp;GameID=0022200687&amp;Season=2022-23&amp;flag=1&amp;title=Leonard%2015'%20turnaround%20Jump%20Shot%20(17%20PTS)", "15' turnaround Jump Shot (17 PTS)")</f>
        <v>15' turnaround Jump Shot (17 PTS)</v>
      </c>
      <c r="K4282" s="2" t="str">
        <f>HYPERLINK("https://www.nba.com/game/...-vs-...-0022200687/play-by-play?watchFullGame=true", "LAC vs SAS - Q3 11:09.00")</f>
        <v>LAC vs SAS - Q3 11:09.00</v>
      </c>
      <c r="L4282">
        <v>15.49</v>
      </c>
      <c r="M4282">
        <v>14.14</v>
      </c>
      <c r="N4282">
        <v>23.53</v>
      </c>
      <c r="O4282">
        <v>132</v>
      </c>
      <c r="P4282">
        <v>80</v>
      </c>
    </row>
    <row r="4283" spans="1:16" x14ac:dyDescent="0.25">
      <c r="A4283">
        <v>21400648</v>
      </c>
      <c r="B4283">
        <v>2014</v>
      </c>
      <c r="C4283" t="s">
        <v>32</v>
      </c>
      <c r="D4283" t="s">
        <v>19</v>
      </c>
      <c r="E4283">
        <v>53</v>
      </c>
      <c r="F4283">
        <v>32</v>
      </c>
      <c r="G4283">
        <v>2</v>
      </c>
      <c r="H4283" s="1">
        <v>1.3078703703703703E-3</v>
      </c>
      <c r="I4283" t="s">
        <v>18</v>
      </c>
      <c r="J4283" s="2" t="str">
        <f>HYPERLINK("https://www.nba.com/stats/events?CFID=&amp;CFPARAMS=&amp;GameEventID=231&amp;GameID=0021400648&amp;Season=2014-15&amp;flag=1&amp;title=Leonard%2016'%20Jump%20Shot%20(9%20PTS)", "Leonard 16' Jump Shot (9 PTS)")</f>
        <v>Leonard 16' Jump Shot (9 PTS)</v>
      </c>
      <c r="K4283" s="2" t="str">
        <f>HYPERLINK("https://www.nba.com/game/...-vs-...-0021400648/play-by-play?watchFullGame=true", "SAS vs LAL - Q2 01:53.00")</f>
        <v>SAS vs LAL - Q2 01:53.00</v>
      </c>
      <c r="L4283">
        <v>16</v>
      </c>
      <c r="M4283">
        <v>132</v>
      </c>
      <c r="N4283">
        <v>96</v>
      </c>
      <c r="O4283">
        <v>132</v>
      </c>
      <c r="P4283">
        <v>96</v>
      </c>
    </row>
    <row r="4284" spans="1:16" x14ac:dyDescent="0.25">
      <c r="A4284">
        <v>21600575</v>
      </c>
      <c r="B4284">
        <v>2016</v>
      </c>
      <c r="C4284" t="s">
        <v>32</v>
      </c>
      <c r="D4284" t="s">
        <v>19</v>
      </c>
      <c r="E4284">
        <v>2</v>
      </c>
      <c r="F4284">
        <v>0</v>
      </c>
      <c r="G4284">
        <v>1</v>
      </c>
      <c r="H4284" s="1">
        <v>7.8125E-3</v>
      </c>
      <c r="I4284" t="s">
        <v>18</v>
      </c>
      <c r="J4284" s="2" t="str">
        <f>HYPERLINK("https://www.nba.com/stats/events?CFID=&amp;CFPARAMS=&amp;GameEventID=6&amp;GameID=0021600575&amp;Season=2016-17&amp;flag=1&amp;title=Leonard%2018'%20Jump%20Shot%20(2%20PTS)%20(Lee%201%20AST)", "Leonard 18' Jump Shot (2 PTS) (Lee 1 AST)")</f>
        <v>Leonard 18' Jump Shot (2 PTS) (Lee 1 AST)</v>
      </c>
      <c r="K4284" s="2" t="str">
        <f>HYPERLINK("https://www.nba.com/game/...-vs-...-0021600575/play-by-play?watchFullGame=true", "SAS vs MIL - Q1 11:15.00")</f>
        <v>SAS vs MIL - Q1 11:15.00</v>
      </c>
      <c r="L4284">
        <v>18</v>
      </c>
      <c r="M4284">
        <v>132</v>
      </c>
      <c r="N4284">
        <v>126</v>
      </c>
      <c r="O4284">
        <v>132</v>
      </c>
      <c r="P4284">
        <v>126</v>
      </c>
    </row>
    <row r="4285" spans="1:16" x14ac:dyDescent="0.25">
      <c r="A4285">
        <v>21500342</v>
      </c>
      <c r="B4285">
        <v>2015</v>
      </c>
      <c r="C4285" t="s">
        <v>32</v>
      </c>
      <c r="D4285" t="s">
        <v>29</v>
      </c>
      <c r="E4285">
        <v>54</v>
      </c>
      <c r="F4285">
        <v>49</v>
      </c>
      <c r="G4285">
        <v>3</v>
      </c>
      <c r="H4285" s="1">
        <v>7.4421296296296293E-3</v>
      </c>
      <c r="I4285" t="s">
        <v>18</v>
      </c>
      <c r="J4285" s="2" t="str">
        <f>HYPERLINK("https://www.nba.com/stats/events?CFID=&amp;CFPARAMS=&amp;GameEventID=234&amp;GameID=0021500342&amp;Season=2015-16&amp;flag=1&amp;title=Leonard%2020'%20Pullup%20Jump%20Shot%20(12%20PTS)%20(McCallum%203%20AST)", "Leonard 20' Pullup Jump Shot (12 PTS) (McCallum 3 AST)")</f>
        <v>Leonard 20' Pullup Jump Shot (12 PTS) (McCallum 3 AST)</v>
      </c>
      <c r="K4285" s="2" t="str">
        <f>HYPERLINK("https://www.nba.com/game/...-vs-...-0021500342/play-by-play?watchFullGame=true", "SAS vs LAL - Q3 10:43.00")</f>
        <v>SAS vs LAL - Q3 10:43.00</v>
      </c>
      <c r="L4285">
        <v>20</v>
      </c>
      <c r="M4285">
        <v>132</v>
      </c>
      <c r="N4285">
        <v>156</v>
      </c>
      <c r="O4285">
        <v>132</v>
      </c>
      <c r="P4285">
        <v>156</v>
      </c>
    </row>
    <row r="4286" spans="1:16" x14ac:dyDescent="0.25">
      <c r="A4286">
        <v>21601118</v>
      </c>
      <c r="B4286">
        <v>2016</v>
      </c>
      <c r="C4286" t="s">
        <v>32</v>
      </c>
      <c r="D4286" t="s">
        <v>29</v>
      </c>
      <c r="E4286">
        <v>69</v>
      </c>
      <c r="F4286">
        <v>72</v>
      </c>
      <c r="G4286">
        <v>3</v>
      </c>
      <c r="H4286" s="1">
        <v>3.0092592592592593E-3</v>
      </c>
      <c r="I4286" t="s">
        <v>18</v>
      </c>
      <c r="J4286" s="2" t="str">
        <f>HYPERLINK("https://www.nba.com/stats/events?CFID=&amp;CFPARAMS=&amp;GameEventID=353&amp;GameID=0021601118&amp;Season=2016-17&amp;flag=1&amp;title=Leonard%2021'%20Pullup%20Jump%20Shot%20(16%20PTS)", "Leonard 21' Pullup Jump Shot (16 PTS)")</f>
        <v>Leonard 21' Pullup Jump Shot (16 PTS)</v>
      </c>
      <c r="K4286" s="2" t="str">
        <f>HYPERLINK("https://www.nba.com/game/...-vs-...-0021601118/play-by-play?watchFullGame=true", "SAS vs GSW - Q3 04:20.00")</f>
        <v>SAS vs GSW - Q3 04:20.00</v>
      </c>
      <c r="L4286">
        <v>21</v>
      </c>
      <c r="M4286">
        <v>132</v>
      </c>
      <c r="N4286">
        <v>164</v>
      </c>
      <c r="O4286">
        <v>132</v>
      </c>
      <c r="P4286">
        <v>164</v>
      </c>
    </row>
    <row r="4287" spans="1:16" x14ac:dyDescent="0.25">
      <c r="A4287">
        <v>21400739</v>
      </c>
      <c r="B4287">
        <v>2014</v>
      </c>
      <c r="C4287" t="s">
        <v>32</v>
      </c>
      <c r="D4287" t="s">
        <v>19</v>
      </c>
      <c r="E4287">
        <v>100</v>
      </c>
      <c r="F4287">
        <v>96</v>
      </c>
      <c r="G4287">
        <v>4</v>
      </c>
      <c r="H4287" s="1">
        <v>2.1296296296296298E-3</v>
      </c>
      <c r="I4287" t="s">
        <v>18</v>
      </c>
      <c r="J4287" s="2" t="str">
        <f>HYPERLINK("https://www.nba.com/stats/events?CFID=&amp;CFPARAMS=&amp;GameEventID=399&amp;GameID=0021400739&amp;Season=2014-15&amp;flag=1&amp;title=Leonard%2022'%20Jump%20Shot%20(16%20PTS)%20(Diaw%203%20AST)", "Leonard 22' Jump Shot (16 PTS) (Diaw 3 AST)")</f>
        <v>Leonard 22' Jump Shot (16 PTS) (Diaw 3 AST)</v>
      </c>
      <c r="K4287" s="2" t="str">
        <f>HYPERLINK("https://www.nba.com/game/...-vs-...-0021400739/play-by-play?watchFullGame=true", "SAS vs ORL - Q4 03:04.00")</f>
        <v>SAS vs ORL - Q4 03:04.00</v>
      </c>
      <c r="L4287">
        <v>22</v>
      </c>
      <c r="M4287">
        <v>132</v>
      </c>
      <c r="N4287">
        <v>181</v>
      </c>
      <c r="O4287">
        <v>132</v>
      </c>
      <c r="P4287">
        <v>181</v>
      </c>
    </row>
    <row r="4288" spans="1:16" x14ac:dyDescent="0.25">
      <c r="A4288">
        <v>22201162</v>
      </c>
      <c r="B4288">
        <v>2022</v>
      </c>
      <c r="C4288" t="s">
        <v>16</v>
      </c>
      <c r="D4288" t="s">
        <v>19</v>
      </c>
      <c r="E4288">
        <v>55</v>
      </c>
      <c r="F4288">
        <v>59</v>
      </c>
      <c r="G4288">
        <v>3</v>
      </c>
      <c r="H4288" s="1">
        <v>8.1481481481481474E-3</v>
      </c>
      <c r="I4288" t="s">
        <v>23</v>
      </c>
      <c r="J4288" s="2" t="str">
        <f>HYPERLINK("https://www.nba.com/stats/events?CFID=&amp;CFPARAMS=&amp;GameEventID=343&amp;GameID=0022201162&amp;Season=2022-23&amp;flag=1&amp;title=Leonard%2025'%203PT%20%20(15%20PTS)%20(N.%20Batum%203%20AST)", "25' 3PT  (15 PTS) (N. Batum 3 AST)")</f>
        <v>25' 3PT  (15 PTS) (N. Batum 3 AST)</v>
      </c>
      <c r="K4288" s="2" t="str">
        <f>HYPERLINK("https://www.nba.com/game/...-vs-...-0022201162/play-by-play?watchFullGame=true", "LAC vs NOP - Q3 11:44.00")</f>
        <v>LAC vs NOP - Q3 11:44.00</v>
      </c>
      <c r="L4288">
        <v>25.26</v>
      </c>
      <c r="M4288">
        <v>28.47</v>
      </c>
      <c r="N4288">
        <v>23.53</v>
      </c>
      <c r="O4288">
        <v>132</v>
      </c>
      <c r="P4288">
        <v>215</v>
      </c>
    </row>
    <row r="4289" spans="1:16" x14ac:dyDescent="0.25">
      <c r="A4289">
        <v>21600383</v>
      </c>
      <c r="B4289">
        <v>2016</v>
      </c>
      <c r="C4289" t="s">
        <v>32</v>
      </c>
      <c r="D4289" t="s">
        <v>29</v>
      </c>
      <c r="E4289">
        <v>40</v>
      </c>
      <c r="F4289">
        <v>33</v>
      </c>
      <c r="G4289">
        <v>2</v>
      </c>
      <c r="H4289" s="1">
        <v>4.5601851851851853E-3</v>
      </c>
      <c r="I4289" t="s">
        <v>18</v>
      </c>
      <c r="J4289" s="2" t="str">
        <f>HYPERLINK("https://www.nba.com/stats/events?CFID=&amp;CFPARAMS=&amp;GameEventID=167&amp;GameID=0021600383&amp;Season=2016-17&amp;flag=1&amp;title=Leonard%2013'%20Pullup%20Jump%20Shot%20(11%20PTS)", "Leonard 13' Pullup Jump Shot (11 PTS)")</f>
        <v>Leonard 13' Pullup Jump Shot (11 PTS)</v>
      </c>
      <c r="K4289" s="2" t="str">
        <f>HYPERLINK("https://www.nba.com/game/...-vs-...-0021600383/play-by-play?watchFullGame=true", "SAS vs BOS - Q2 06:34.00")</f>
        <v>SAS vs BOS - Q2 06:34.00</v>
      </c>
      <c r="L4289">
        <v>13</v>
      </c>
      <c r="M4289">
        <v>133</v>
      </c>
      <c r="N4289">
        <v>-19</v>
      </c>
      <c r="O4289">
        <v>133</v>
      </c>
      <c r="P4289">
        <v>-19</v>
      </c>
    </row>
    <row r="4290" spans="1:16" x14ac:dyDescent="0.25">
      <c r="A4290">
        <v>22000625</v>
      </c>
      <c r="B4290">
        <v>2020</v>
      </c>
      <c r="C4290" t="s">
        <v>32</v>
      </c>
      <c r="D4290" t="s">
        <v>19</v>
      </c>
      <c r="E4290">
        <v>16</v>
      </c>
      <c r="F4290">
        <v>20</v>
      </c>
      <c r="G4290">
        <v>1</v>
      </c>
      <c r="H4290" s="1">
        <v>2.8587962962962963E-3</v>
      </c>
      <c r="I4290" t="s">
        <v>23</v>
      </c>
      <c r="J4290" s="2" t="str">
        <f>HYPERLINK("https://www.nba.com/stats/events?CFID=&amp;CFPARAMS=&amp;GameEventID=80&amp;GameID=0022000625&amp;Season=2020-21&amp;flag=1&amp;title=Leonard%2013'%20Jump%20Shot%20(2%20PTS)%20(N.%20Batum%201%20AST)", "13' Jump Shot (2 PTS) (N. Batum 1 AST)")</f>
        <v>13' Jump Shot (2 PTS) (N. Batum 1 AST)</v>
      </c>
      <c r="K4290" s="2" t="str">
        <f>HYPERLINK("https://www.nba.com/game/...-vs-...-0022000625/play-by-play?watchFullGame=true", "LAC vs DAL - Q1 04:07.00")</f>
        <v>LAC vs DAL - Q1 04:07.00</v>
      </c>
      <c r="L4290">
        <v>13.29</v>
      </c>
      <c r="M4290">
        <v>95.22</v>
      </c>
      <c r="N4290">
        <v>76.540000000000006</v>
      </c>
      <c r="O4290">
        <v>133</v>
      </c>
      <c r="P4290">
        <v>-8</v>
      </c>
    </row>
    <row r="4291" spans="1:16" x14ac:dyDescent="0.25">
      <c r="A4291">
        <v>22000701</v>
      </c>
      <c r="B4291">
        <v>2020</v>
      </c>
      <c r="C4291" t="s">
        <v>32</v>
      </c>
      <c r="D4291" t="s">
        <v>19</v>
      </c>
      <c r="E4291">
        <v>57</v>
      </c>
      <c r="F4291">
        <v>57</v>
      </c>
      <c r="G4291">
        <v>2</v>
      </c>
      <c r="H4291" s="1">
        <v>1.7013888888888888E-3</v>
      </c>
      <c r="I4291" t="s">
        <v>23</v>
      </c>
      <c r="J4291" s="2" t="str">
        <f>HYPERLINK("https://www.nba.com/stats/events?CFID=&amp;CFPARAMS=&amp;GameEventID=277&amp;GameID=0022000701&amp;Season=2020-21&amp;flag=1&amp;title=Leonard%2013'%20fadeaway%20Jump%20Shot%20(14%20PTS)", "13' fadeaway Jump Shot (14 PTS)")</f>
        <v>13' fadeaway Jump Shot (14 PTS)</v>
      </c>
      <c r="K4291" s="2" t="str">
        <f>HYPERLINK("https://www.nba.com/game/...-vs-...-0022000701/play-by-play?watchFullGame=true", "LAC vs PHI - Q2 02:27.00")</f>
        <v>LAC vs PHI - Q2 02:27.00</v>
      </c>
      <c r="L4291">
        <v>13.28</v>
      </c>
      <c r="M4291">
        <v>4.91</v>
      </c>
      <c r="N4291">
        <v>23.46</v>
      </c>
      <c r="O4291">
        <v>133</v>
      </c>
      <c r="P4291">
        <v>-6</v>
      </c>
    </row>
    <row r="4292" spans="1:16" x14ac:dyDescent="0.25">
      <c r="A4292">
        <v>41600152</v>
      </c>
      <c r="B4292" t="s">
        <v>30</v>
      </c>
      <c r="C4292" t="s">
        <v>32</v>
      </c>
      <c r="D4292" t="s">
        <v>29</v>
      </c>
      <c r="E4292">
        <v>77</v>
      </c>
      <c r="F4292">
        <v>71</v>
      </c>
      <c r="G4292">
        <v>4</v>
      </c>
      <c r="H4292" s="1">
        <v>5.8796296296296296E-3</v>
      </c>
      <c r="I4292" t="s">
        <v>18</v>
      </c>
      <c r="J4292" s="2" t="str">
        <f>HYPERLINK("https://www.nba.com/stats/events?CFID=&amp;CFPARAMS=&amp;GameEventID=414&amp;GameID=0041600152&amp;Season=2016-17&amp;flag=1&amp;title=Leonard%2014'%20Pullup%20Jump%20Shot%20(29%20PTS)", "Leonard 14' Pullup Jump Shot (29 PTS)")</f>
        <v>Leonard 14' Pullup Jump Shot (29 PTS)</v>
      </c>
      <c r="K4292" s="2" t="str">
        <f>HYPERLINK("https://www.nba.com/game/...-vs-...-0041600152/play-by-play?watchFullGame=true", "SAS vs MEM - Q4 08:28.00")</f>
        <v>SAS vs MEM - Q4 08:28.00</v>
      </c>
      <c r="L4292">
        <v>14</v>
      </c>
      <c r="M4292">
        <v>133</v>
      </c>
      <c r="N4292">
        <v>36</v>
      </c>
      <c r="O4292">
        <v>133</v>
      </c>
      <c r="P4292">
        <v>36</v>
      </c>
    </row>
    <row r="4293" spans="1:16" x14ac:dyDescent="0.25">
      <c r="A4293">
        <v>22000289</v>
      </c>
      <c r="B4293">
        <v>2020</v>
      </c>
      <c r="C4293" t="s">
        <v>32</v>
      </c>
      <c r="D4293" t="s">
        <v>19</v>
      </c>
      <c r="E4293">
        <v>63</v>
      </c>
      <c r="F4293">
        <v>79</v>
      </c>
      <c r="G4293">
        <v>3</v>
      </c>
      <c r="H4293" s="1">
        <v>3.1365740740740742E-3</v>
      </c>
      <c r="I4293" t="s">
        <v>23</v>
      </c>
      <c r="J4293" s="2" t="str">
        <f>HYPERLINK("https://www.nba.com/stats/events?CFID=&amp;CFPARAMS=&amp;GameEventID=403&amp;GameID=0022000289&amp;Season=2020-21&amp;flag=1&amp;title=Leonard%2015'%20turnaround%20fadeaway%20Jump%20Shot%20(22%20PTS)", "15' turnaround fadeaway Jump Shot (22 PTS)")</f>
        <v>15' turnaround fadeaway Jump Shot (22 PTS)</v>
      </c>
      <c r="K4293" s="2" t="str">
        <f>HYPERLINK("https://www.nba.com/game/...-vs-...-0022000289/play-by-play?watchFullGame=true", "LAC vs ORL - Q3 04:31.00")</f>
        <v>LAC vs ORL - Q3 04:31.00</v>
      </c>
      <c r="L4293">
        <v>15.49</v>
      </c>
      <c r="M4293">
        <v>14.06</v>
      </c>
      <c r="N4293">
        <v>23.45</v>
      </c>
      <c r="O4293">
        <v>133</v>
      </c>
      <c r="P4293">
        <v>80</v>
      </c>
    </row>
    <row r="4294" spans="1:16" x14ac:dyDescent="0.25">
      <c r="A4294">
        <v>21500393</v>
      </c>
      <c r="B4294">
        <v>2015</v>
      </c>
      <c r="C4294" t="s">
        <v>32</v>
      </c>
      <c r="D4294" t="s">
        <v>34</v>
      </c>
      <c r="E4294">
        <v>46</v>
      </c>
      <c r="F4294">
        <v>48</v>
      </c>
      <c r="G4294">
        <v>2</v>
      </c>
      <c r="H4294" s="1">
        <v>2.662037037037037E-3</v>
      </c>
      <c r="I4294" t="s">
        <v>18</v>
      </c>
      <c r="J4294" s="2" t="str">
        <f>HYPERLINK("https://www.nba.com/stats/events?CFID=&amp;CFPARAMS=&amp;GameEventID=184&amp;GameID=0021500393&amp;Season=2015-16&amp;flag=1&amp;title=Leonard%2016'%20Turnaround%20Fadeaway%20(8%20PTS)", "Leonard 16' Turnaround Fadeaway (8 PTS)")</f>
        <v>Leonard 16' Turnaround Fadeaway (8 PTS)</v>
      </c>
      <c r="K4294" s="2" t="str">
        <f>HYPERLINK("https://www.nba.com/game/...-vs-...-0021500393/play-by-play?watchFullGame=true", "SAS vs LAC - Q2 03:50.00")</f>
        <v>SAS vs LAC - Q2 03:50.00</v>
      </c>
      <c r="L4294">
        <v>16</v>
      </c>
      <c r="M4294">
        <v>133</v>
      </c>
      <c r="N4294">
        <v>85</v>
      </c>
      <c r="O4294">
        <v>133</v>
      </c>
      <c r="P4294">
        <v>85</v>
      </c>
    </row>
    <row r="4295" spans="1:16" x14ac:dyDescent="0.25">
      <c r="A4295">
        <v>21900589</v>
      </c>
      <c r="B4295">
        <v>2019</v>
      </c>
      <c r="C4295" t="s">
        <v>32</v>
      </c>
      <c r="D4295" t="s">
        <v>22</v>
      </c>
      <c r="E4295">
        <v>3</v>
      </c>
      <c r="F4295">
        <v>7</v>
      </c>
      <c r="G4295">
        <v>1</v>
      </c>
      <c r="H4295" s="1">
        <v>6.8865740740740745E-3</v>
      </c>
      <c r="I4295" t="s">
        <v>23</v>
      </c>
      <c r="J4295" s="2" t="str">
        <f>HYPERLINK("https://www.nba.com/stats/events?CFID=&amp;CFPARAMS=&amp;GameEventID=21&amp;GameID=0021900589&amp;Season=2019-20&amp;flag=1&amp;title=Leonard%2017'%20jumpshot%20(2%20PTS)%20(P.%20Patterson%201%20AST)", "17' jumpshot (2 PTS) (P. Patterson 1 AST)")</f>
        <v>17' jumpshot (2 PTS) (P. Patterson 1 AST)</v>
      </c>
      <c r="K4295" s="2" t="str">
        <f>HYPERLINK("https://www.nba.com/game/...-vs-...-0021900589/play-by-play?watchFullGame=true", "LAC vs DEN - Q1 09:55.00")</f>
        <v>LAC vs DEN - Q1 09:55.00</v>
      </c>
      <c r="L4295">
        <v>16.649999999999999</v>
      </c>
      <c r="M4295">
        <v>15.69</v>
      </c>
      <c r="N4295">
        <v>23.46</v>
      </c>
      <c r="O4295">
        <v>133</v>
      </c>
      <c r="P4295">
        <v>95</v>
      </c>
    </row>
    <row r="4296" spans="1:16" x14ac:dyDescent="0.25">
      <c r="A4296">
        <v>41300224</v>
      </c>
      <c r="B4296" t="s">
        <v>26</v>
      </c>
      <c r="C4296" t="s">
        <v>32</v>
      </c>
      <c r="D4296" t="s">
        <v>29</v>
      </c>
      <c r="E4296">
        <v>85</v>
      </c>
      <c r="F4296">
        <v>70</v>
      </c>
      <c r="G4296">
        <v>4</v>
      </c>
      <c r="H4296" s="1">
        <v>7.9976851851851858E-3</v>
      </c>
      <c r="I4296" t="s">
        <v>18</v>
      </c>
      <c r="J4296" s="2" t="str">
        <f>HYPERLINK("https://www.nba.com/stats/events?CFID=&amp;CFPARAMS=&amp;GameEventID=394&amp;GameID=0041300224&amp;Season=2013-14&amp;flag=1&amp;title=Leonard%2021'%20Pullup%20Jump%20Shot%20(9%20PTS)", "Leonard 21' Pullup Jump Shot (9 PTS)")</f>
        <v>Leonard 21' Pullup Jump Shot (9 PTS)</v>
      </c>
      <c r="K4296" s="2" t="str">
        <f>HYPERLINK("https://www.nba.com/game/...-vs-...-0041300224/play-by-play?watchFullGame=true", "SAS vs POR - Q4 11:31.00")</f>
        <v>SAS vs POR - Q4 11:31.00</v>
      </c>
      <c r="L4296">
        <v>21</v>
      </c>
      <c r="M4296">
        <v>133</v>
      </c>
      <c r="N4296">
        <v>157</v>
      </c>
      <c r="O4296">
        <v>133</v>
      </c>
      <c r="P4296">
        <v>157</v>
      </c>
    </row>
    <row r="4297" spans="1:16" x14ac:dyDescent="0.25">
      <c r="A4297">
        <v>21400986</v>
      </c>
      <c r="B4297">
        <v>2014</v>
      </c>
      <c r="C4297" t="s">
        <v>16</v>
      </c>
      <c r="D4297" t="s">
        <v>19</v>
      </c>
      <c r="E4297">
        <v>54</v>
      </c>
      <c r="F4297">
        <v>47</v>
      </c>
      <c r="G4297">
        <v>2</v>
      </c>
      <c r="H4297" s="1">
        <v>1.5740740740740741E-3</v>
      </c>
      <c r="I4297" t="s">
        <v>18</v>
      </c>
      <c r="J4297" s="2" t="str">
        <f>HYPERLINK("https://www.nba.com/stats/events?CFID=&amp;CFPARAMS=&amp;GameEventID=207&amp;GameID=0021400986&amp;Season=2014-15&amp;flag=1&amp;title=Leonard%2025'%203PT%20Jump%20Shot%20(8%20PTS)%20(Diaw%202%20AST)", "Leonard 25' 3PT Jump Shot (8 PTS) (Diaw 2 AST)")</f>
        <v>Leonard 25' 3PT Jump Shot (8 PTS) (Diaw 2 AST)</v>
      </c>
      <c r="K4297" s="2" t="str">
        <f>HYPERLINK("https://www.nba.com/game/...-vs-...-0021400986/play-by-play?watchFullGame=true", "SAS vs MIN - Q2 02:16.00")</f>
        <v>SAS vs MIN - Q2 02:16.00</v>
      </c>
      <c r="L4297">
        <v>25</v>
      </c>
      <c r="M4297">
        <v>133</v>
      </c>
      <c r="N4297">
        <v>208</v>
      </c>
      <c r="O4297">
        <v>133</v>
      </c>
      <c r="P4297">
        <v>208</v>
      </c>
    </row>
    <row r="4298" spans="1:16" x14ac:dyDescent="0.25">
      <c r="A4298">
        <v>41800404</v>
      </c>
      <c r="B4298" t="s">
        <v>20</v>
      </c>
      <c r="C4298" t="s">
        <v>16</v>
      </c>
      <c r="D4298" t="s">
        <v>87</v>
      </c>
      <c r="E4298">
        <v>23</v>
      </c>
      <c r="F4298">
        <v>17</v>
      </c>
      <c r="G4298">
        <v>1</v>
      </c>
      <c r="H4298" s="1">
        <v>3.1944444444444446E-4</v>
      </c>
      <c r="I4298" t="s">
        <v>21</v>
      </c>
      <c r="J4298" s="2" t="str">
        <f>HYPERLINK("https://www.nba.com/stats/events?CFID=&amp;CFPARAMS=&amp;GameEventID=142&amp;GameID=0041800404&amp;Season=2018-19&amp;flag=1&amp;title=Leonard%2026'%203PT%20Running%20Pull-Up%20Jump%20Shot%20(14%20PTS)", "Leonard 26' 3PT Running Pull-Up Jump Shot (14 PTS)")</f>
        <v>Leonard 26' 3PT Running Pull-Up Jump Shot (14 PTS)</v>
      </c>
      <c r="K4298" s="2" t="str">
        <f>HYPERLINK("https://www.nba.com/game/...-vs-...-0041800404/play-by-play?watchFullGame=true", "TOR vs GSW - Q1 00:27.60")</f>
        <v>TOR vs GSW - Q1 00:27.60</v>
      </c>
      <c r="L4298">
        <v>26</v>
      </c>
      <c r="M4298">
        <v>133</v>
      </c>
      <c r="N4298">
        <v>227</v>
      </c>
      <c r="O4298">
        <v>133</v>
      </c>
      <c r="P4298">
        <v>227</v>
      </c>
    </row>
    <row r="4299" spans="1:16" x14ac:dyDescent="0.25">
      <c r="A4299">
        <v>22000867</v>
      </c>
      <c r="B4299">
        <v>2020</v>
      </c>
      <c r="C4299" t="s">
        <v>16</v>
      </c>
      <c r="D4299" t="s">
        <v>19</v>
      </c>
      <c r="E4299">
        <v>7</v>
      </c>
      <c r="F4299">
        <v>5</v>
      </c>
      <c r="G4299">
        <v>1</v>
      </c>
      <c r="H4299" s="1">
        <v>7.013888888888889E-3</v>
      </c>
      <c r="I4299" t="s">
        <v>23</v>
      </c>
      <c r="J4299" s="2" t="str">
        <f>HYPERLINK("https://www.nba.com/stats/events?CFID=&amp;CFPARAMS=&amp;GameEventID=26&amp;GameID=0022000867&amp;Season=2020-21&amp;flag=1&amp;title=Leonard%2025'%203PT%20running%20pullup%20(3%20PTS)", "25' 3PT running pullup (3 PTS)")</f>
        <v>25' 3PT running pullup (3 PTS)</v>
      </c>
      <c r="K4299" s="2" t="str">
        <f>HYPERLINK("https://www.nba.com/game/...-vs-...-0022000867/play-by-play?watchFullGame=true", "LAC vs MIN - Q1 10:06.00")</f>
        <v>LAC vs MIN - Q1 10:06.00</v>
      </c>
      <c r="L4299">
        <v>25.31</v>
      </c>
      <c r="M4299">
        <v>71.569999999999993</v>
      </c>
      <c r="N4299">
        <v>76.78</v>
      </c>
      <c r="O4299">
        <v>134</v>
      </c>
      <c r="P4299">
        <v>215</v>
      </c>
    </row>
    <row r="4300" spans="1:16" x14ac:dyDescent="0.25">
      <c r="A4300">
        <v>21900068</v>
      </c>
      <c r="B4300">
        <v>2019</v>
      </c>
      <c r="C4300" t="s">
        <v>16</v>
      </c>
      <c r="D4300" t="s">
        <v>22</v>
      </c>
      <c r="E4300">
        <v>89</v>
      </c>
      <c r="F4300">
        <v>77</v>
      </c>
      <c r="G4300">
        <v>4</v>
      </c>
      <c r="H4300" s="1">
        <v>6.4583333333333333E-3</v>
      </c>
      <c r="I4300" t="s">
        <v>23</v>
      </c>
      <c r="J4300" s="2" t="str">
        <f>HYPERLINK("https://www.nba.com/stats/events?CFID=&amp;CFPARAMS=&amp;GameEventID=558&amp;GameID=0021900068&amp;Season=2019-20&amp;flag=1&amp;title=[LAC]%20Leonard%203pt%20shot:%20Made%20(30%20PTS)", "[LAC] Leonard 3pt shot: Made (30 PTS)")</f>
        <v>[LAC] Leonard 3pt shot: Made (30 PTS)</v>
      </c>
      <c r="K4300" s="2" t="str">
        <f>HYPERLINK("https://www.nba.com/game/...-vs-...-0021900068/play-by-play?watchFullGame=true", "LAC vs SAS - Q4 09:18.00")</f>
        <v>LAC vs SAS - Q4 09:18.00</v>
      </c>
      <c r="L4300">
        <v>26.79</v>
      </c>
      <c r="M4300">
        <v>70.349999999999994</v>
      </c>
      <c r="N4300">
        <v>76.89</v>
      </c>
      <c r="O4300">
        <v>134</v>
      </c>
      <c r="P4300">
        <v>226</v>
      </c>
    </row>
    <row r="4301" spans="1:16" x14ac:dyDescent="0.25">
      <c r="A4301">
        <v>22300085</v>
      </c>
      <c r="B4301">
        <v>2023</v>
      </c>
      <c r="C4301" t="s">
        <v>16</v>
      </c>
      <c r="D4301" t="s">
        <v>19</v>
      </c>
      <c r="E4301">
        <v>105</v>
      </c>
      <c r="F4301">
        <v>109</v>
      </c>
      <c r="G4301">
        <v>4</v>
      </c>
      <c r="H4301" s="1">
        <v>3.1250000000000002E-3</v>
      </c>
      <c r="I4301" t="s">
        <v>23</v>
      </c>
      <c r="J4301" s="2" t="str">
        <f>HYPERLINK("https://www.nba.com/stats/events?CFID=&amp;CFPARAMS=&amp;GameEventID=603&amp;GameID=0022300085&amp;Season=2023-24&amp;flag=1&amp;title=Leonard%2027'%203PT%20%20(23%20PTS)%20(P.%20George%201%20AST)", "27' 3PT  (23 PTS) (P. George 1 AST)")</f>
        <v>27' 3PT  (23 PTS) (P. George 1 AST)</v>
      </c>
      <c r="K4301" s="2" t="str">
        <f>HYPERLINK("https://www.nba.com/game/...-vs-...-0022300085/play-by-play?watchFullGame=true", "LAC vs UTA - Q4 04:30.00")</f>
        <v>LAC vs UTA - Q4 04:30.00</v>
      </c>
      <c r="L4301">
        <v>27.34</v>
      </c>
      <c r="M4301">
        <v>30.96</v>
      </c>
      <c r="N4301">
        <v>23.28</v>
      </c>
      <c r="O4301">
        <v>134</v>
      </c>
      <c r="P4301">
        <v>239</v>
      </c>
    </row>
    <row r="4302" spans="1:16" x14ac:dyDescent="0.25">
      <c r="A4302">
        <v>41600151</v>
      </c>
      <c r="B4302" t="s">
        <v>30</v>
      </c>
      <c r="C4302" t="s">
        <v>32</v>
      </c>
      <c r="D4302" t="s">
        <v>33</v>
      </c>
      <c r="E4302">
        <v>15</v>
      </c>
      <c r="F4302">
        <v>26</v>
      </c>
      <c r="G4302">
        <v>1</v>
      </c>
      <c r="H4302" s="1">
        <v>2.0370370370370369E-3</v>
      </c>
      <c r="I4302" t="s">
        <v>18</v>
      </c>
      <c r="J4302" s="2" t="str">
        <f>HYPERLINK("https://www.nba.com/stats/events?CFID=&amp;CFPARAMS=&amp;GameEventID=62&amp;GameID=0041600151&amp;Season=2016-17&amp;flag=1&amp;title=Leonard%2014'%20Fadeaway%20Jumper%20(9%20PTS)", "Leonard 14' Fadeaway Jumper (9 PTS)")</f>
        <v>Leonard 14' Fadeaway Jumper (9 PTS)</v>
      </c>
      <c r="K4302" s="2" t="str">
        <f>HYPERLINK("https://www.nba.com/game/...-vs-...-0041600151/play-by-play?watchFullGame=true", "SAS vs MEM - Q1 02:56.00")</f>
        <v>SAS vs MEM - Q1 02:56.00</v>
      </c>
      <c r="L4302">
        <v>14</v>
      </c>
      <c r="M4302">
        <v>135</v>
      </c>
      <c r="N4302">
        <v>7</v>
      </c>
      <c r="O4302">
        <v>135</v>
      </c>
      <c r="P4302">
        <v>7</v>
      </c>
    </row>
    <row r="4303" spans="1:16" x14ac:dyDescent="0.25">
      <c r="A4303">
        <v>22000488</v>
      </c>
      <c r="B4303">
        <v>2020</v>
      </c>
      <c r="C4303" t="s">
        <v>32</v>
      </c>
      <c r="D4303" t="s">
        <v>19</v>
      </c>
      <c r="E4303">
        <v>16</v>
      </c>
      <c r="F4303">
        <v>9</v>
      </c>
      <c r="G4303">
        <v>1</v>
      </c>
      <c r="H4303" s="1">
        <v>4.6296296296296294E-3</v>
      </c>
      <c r="I4303" t="s">
        <v>23</v>
      </c>
      <c r="J4303" s="2" t="str">
        <f>HYPERLINK("https://www.nba.com/stats/events?CFID=&amp;CFPARAMS=&amp;GameEventID=56&amp;GameID=0022000488&amp;Season=2020-21&amp;flag=1&amp;title=Leonard%2013'%20step%20back%20Jump%20Shot%20(4%20PTS)", "13' step back Jump Shot (4 PTS)")</f>
        <v>13' step back Jump Shot (4 PTS)</v>
      </c>
      <c r="K4303" s="2" t="str">
        <f>HYPERLINK("https://www.nba.com/game/...-vs-...-0022000488/play-by-play?watchFullGame=true", "LAC vs WAS - Q1 06:40.00")</f>
        <v>LAC vs WAS - Q1 06:40.00</v>
      </c>
      <c r="L4303">
        <v>13.63</v>
      </c>
      <c r="M4303">
        <v>92.46</v>
      </c>
      <c r="N4303">
        <v>77.03</v>
      </c>
      <c r="O4303">
        <v>135</v>
      </c>
      <c r="P4303">
        <v>18</v>
      </c>
    </row>
    <row r="4304" spans="1:16" x14ac:dyDescent="0.25">
      <c r="A4304">
        <v>21300296</v>
      </c>
      <c r="B4304">
        <v>2013</v>
      </c>
      <c r="C4304" t="s">
        <v>32</v>
      </c>
      <c r="D4304" t="s">
        <v>34</v>
      </c>
      <c r="E4304">
        <v>22</v>
      </c>
      <c r="F4304">
        <v>18</v>
      </c>
      <c r="G4304">
        <v>1</v>
      </c>
      <c r="H4304" s="1">
        <v>2.2800925925925927E-3</v>
      </c>
      <c r="I4304" t="s">
        <v>18</v>
      </c>
      <c r="J4304" s="2" t="str">
        <f>HYPERLINK("https://www.nba.com/stats/events?CFID=&amp;CFPARAMS=&amp;GameEventID=71&amp;GameID=0021300296&amp;Season=2013-14&amp;flag=1&amp;title=Leonard%2015'%20Turnaround%20Fadeaway%20(5%20PTS)", "Leonard 15' Turnaround Fadeaway (5 PTS)")</f>
        <v>Leonard 15' Turnaround Fadeaway (5 PTS)</v>
      </c>
      <c r="K4304" s="2" t="str">
        <f>HYPERLINK("https://www.nba.com/game/...-vs-...-0021300296/play-by-play?watchFullGame=true", "SAS vs IND - Q1 03:17.00")</f>
        <v>SAS vs IND - Q1 03:17.00</v>
      </c>
      <c r="L4304">
        <v>15</v>
      </c>
      <c r="M4304">
        <v>135</v>
      </c>
      <c r="N4304">
        <v>63</v>
      </c>
      <c r="O4304">
        <v>135</v>
      </c>
      <c r="P4304">
        <v>63</v>
      </c>
    </row>
    <row r="4305" spans="1:16" x14ac:dyDescent="0.25">
      <c r="A4305">
        <v>21500612</v>
      </c>
      <c r="B4305">
        <v>2015</v>
      </c>
      <c r="C4305" t="s">
        <v>32</v>
      </c>
      <c r="D4305" t="s">
        <v>33</v>
      </c>
      <c r="E4305">
        <v>38</v>
      </c>
      <c r="F4305">
        <v>31</v>
      </c>
      <c r="G4305">
        <v>2</v>
      </c>
      <c r="H4305" s="1">
        <v>1.8518518518518519E-3</v>
      </c>
      <c r="I4305" t="s">
        <v>18</v>
      </c>
      <c r="J4305" s="2" t="str">
        <f>HYPERLINK("https://www.nba.com/stats/events?CFID=&amp;CFPARAMS=&amp;GameEventID=229&amp;GameID=0021500612&amp;Season=2015-16&amp;flag=1&amp;title=Leonard%2017'%20Fadeaway%20Jumper%20(9%20PTS)", "Leonard 17' Fadeaway Jumper (9 PTS)")</f>
        <v>Leonard 17' Fadeaway Jumper (9 PTS)</v>
      </c>
      <c r="K4305" s="2" t="str">
        <f>HYPERLINK("https://www.nba.com/game/...-vs-...-0021500612/play-by-play?watchFullGame=true", "SAS vs DAL - Q2 02:40.00")</f>
        <v>SAS vs DAL - Q2 02:40.00</v>
      </c>
      <c r="L4305">
        <v>17</v>
      </c>
      <c r="M4305">
        <v>135</v>
      </c>
      <c r="N4305">
        <v>97</v>
      </c>
      <c r="O4305">
        <v>135</v>
      </c>
      <c r="P4305">
        <v>97</v>
      </c>
    </row>
    <row r="4306" spans="1:16" x14ac:dyDescent="0.25">
      <c r="A4306">
        <v>22300799</v>
      </c>
      <c r="B4306">
        <v>2023</v>
      </c>
      <c r="C4306" t="s">
        <v>32</v>
      </c>
      <c r="D4306" t="s">
        <v>19</v>
      </c>
      <c r="E4306">
        <v>63</v>
      </c>
      <c r="F4306">
        <v>63</v>
      </c>
      <c r="G4306">
        <v>3</v>
      </c>
      <c r="H4306" s="1">
        <v>7.6041666666666671E-3</v>
      </c>
      <c r="I4306" t="s">
        <v>23</v>
      </c>
      <c r="J4306" s="2" t="str">
        <f>HYPERLINK("https://www.nba.com/stats/events?CFID=&amp;CFPARAMS=&amp;GameEventID=327&amp;GameID=0022300799&amp;Season=2023-24&amp;flag=1&amp;title=Leonard%2017'%20Jump%20Shot%20(14%20PTS)%20(P.%20George%203%20AST)", "17' Jump Shot (14 PTS) (P. George 3 AST)")</f>
        <v>17' Jump Shot (14 PTS) (P. George 3 AST)</v>
      </c>
      <c r="K4306" s="2" t="str">
        <f>HYPERLINK("https://www.nba.com/game/...-vs-...-0022300799/play-by-play?watchFullGame=true", "LAC vs OKC - Q3 10:57.00")</f>
        <v>LAC vs OKC - Q3 10:57.00</v>
      </c>
      <c r="L4306">
        <v>17.23</v>
      </c>
      <c r="M4306">
        <v>83</v>
      </c>
      <c r="N4306">
        <v>76.959999999999994</v>
      </c>
      <c r="O4306">
        <v>135</v>
      </c>
      <c r="P4306">
        <v>107</v>
      </c>
    </row>
    <row r="4307" spans="1:16" x14ac:dyDescent="0.25">
      <c r="A4307">
        <v>21600657</v>
      </c>
      <c r="B4307">
        <v>2016</v>
      </c>
      <c r="C4307" t="s">
        <v>32</v>
      </c>
      <c r="D4307" t="s">
        <v>19</v>
      </c>
      <c r="E4307">
        <v>61</v>
      </c>
      <c r="F4307">
        <v>63</v>
      </c>
      <c r="G4307">
        <v>3</v>
      </c>
      <c r="H4307" s="1">
        <v>7.4189814814814813E-3</v>
      </c>
      <c r="I4307" t="s">
        <v>18</v>
      </c>
      <c r="J4307" s="2" t="str">
        <f>HYPERLINK("https://www.nba.com/stats/events?CFID=&amp;CFPARAMS=&amp;GameEventID=255&amp;GameID=0021600657&amp;Season=2016-17&amp;flag=1&amp;title=Leonard%2021'%20Jump%20Shot%20(18%20PTS)", "Leonard 21' Jump Shot (18 PTS)")</f>
        <v>Leonard 21' Jump Shot (18 PTS)</v>
      </c>
      <c r="K4307" s="2" t="str">
        <f>HYPERLINK("https://www.nba.com/game/...-vs-...-0021600657/play-by-play?watchFullGame=true", "SAS vs CLE - Q3 10:41.00")</f>
        <v>SAS vs CLE - Q3 10:41.00</v>
      </c>
      <c r="L4307">
        <v>21</v>
      </c>
      <c r="M4307">
        <v>135</v>
      </c>
      <c r="N4307">
        <v>164</v>
      </c>
      <c r="O4307">
        <v>135</v>
      </c>
      <c r="P4307">
        <v>164</v>
      </c>
    </row>
    <row r="4308" spans="1:16" x14ac:dyDescent="0.25">
      <c r="A4308">
        <v>21500257</v>
      </c>
      <c r="B4308">
        <v>2015</v>
      </c>
      <c r="C4308" t="s">
        <v>32</v>
      </c>
      <c r="D4308" t="s">
        <v>19</v>
      </c>
      <c r="E4308">
        <v>17</v>
      </c>
      <c r="F4308">
        <v>23</v>
      </c>
      <c r="G4308">
        <v>1</v>
      </c>
      <c r="H4308" s="1">
        <v>9.7222222222222219E-4</v>
      </c>
      <c r="I4308" t="s">
        <v>18</v>
      </c>
      <c r="J4308" s="2" t="str">
        <f>HYPERLINK("https://www.nba.com/stats/events?CFID=&amp;CFPARAMS=&amp;GameEventID=91&amp;GameID=0021500257&amp;Season=2015-16&amp;flag=1&amp;title=Leonard%2023'%20Jump%20Shot%20(7%20PTS)", "Leonard 23' Jump Shot (7 PTS)")</f>
        <v>Leonard 23' Jump Shot (7 PTS)</v>
      </c>
      <c r="K4308" s="2" t="str">
        <f>HYPERLINK("https://www.nba.com/game/...-vs-...-0021500257/play-by-play?watchFullGame=true", "SAS vs CHI - Q1 01:24.00")</f>
        <v>SAS vs CHI - Q1 01:24.00</v>
      </c>
      <c r="L4308">
        <v>23</v>
      </c>
      <c r="M4308">
        <v>135</v>
      </c>
      <c r="N4308">
        <v>183</v>
      </c>
      <c r="O4308">
        <v>135</v>
      </c>
      <c r="P4308">
        <v>183</v>
      </c>
    </row>
    <row r="4309" spans="1:16" x14ac:dyDescent="0.25">
      <c r="A4309">
        <v>41200231</v>
      </c>
      <c r="B4309" t="s">
        <v>27</v>
      </c>
      <c r="C4309" t="s">
        <v>16</v>
      </c>
      <c r="D4309" t="s">
        <v>19</v>
      </c>
      <c r="E4309">
        <v>99</v>
      </c>
      <c r="F4309">
        <v>104</v>
      </c>
      <c r="G4309">
        <v>4</v>
      </c>
      <c r="H4309" s="1">
        <v>1.1689814814814816E-3</v>
      </c>
      <c r="I4309" t="s">
        <v>18</v>
      </c>
      <c r="J4309" s="2" t="str">
        <f>HYPERLINK("https://www.nba.com/stats/events?CFID=&amp;CFPARAMS=&amp;GameEventID=506&amp;GameID=0041200231&amp;Season=2012-13&amp;flag=1&amp;title=Leonard%2024'%203PT%20Jump%20Shot%20(16%20PTS)%20(Ginobili%208%20AST)", "Leonard 24' 3PT Jump Shot (16 PTS) (Ginobili 8 AST)")</f>
        <v>Leonard 24' 3PT Jump Shot (16 PTS) (Ginobili 8 AST)</v>
      </c>
      <c r="K4309" s="2" t="str">
        <f>HYPERLINK("https://www.nba.com/game/...-vs-...-0041200231/play-by-play?watchFullGame=true", "SAS vs GSW - Q4 01:41.00")</f>
        <v>SAS vs GSW - Q4 01:41.00</v>
      </c>
      <c r="L4309">
        <v>24</v>
      </c>
      <c r="M4309">
        <v>135</v>
      </c>
      <c r="N4309">
        <v>203</v>
      </c>
      <c r="O4309">
        <v>135</v>
      </c>
      <c r="P4309">
        <v>203</v>
      </c>
    </row>
    <row r="4310" spans="1:16" x14ac:dyDescent="0.25">
      <c r="A4310">
        <v>21600053</v>
      </c>
      <c r="B4310">
        <v>2016</v>
      </c>
      <c r="C4310" t="s">
        <v>16</v>
      </c>
      <c r="D4310" t="s">
        <v>29</v>
      </c>
      <c r="E4310">
        <v>7</v>
      </c>
      <c r="F4310">
        <v>8</v>
      </c>
      <c r="G4310">
        <v>1</v>
      </c>
      <c r="H4310" s="1">
        <v>5.9837962962962961E-3</v>
      </c>
      <c r="I4310" t="s">
        <v>18</v>
      </c>
      <c r="J4310" s="2" t="str">
        <f>HYPERLINK("https://www.nba.com/stats/events?CFID=&amp;CFPARAMS=&amp;GameEventID=21&amp;GameID=0021600053&amp;Season=2016-17&amp;flag=1&amp;title=Leonard%2025'%203PT%20Pullup%20Jump%20Shot%20(5%20PTS)", "Leonard 25' 3PT Pullup Jump Shot (5 PTS)")</f>
        <v>Leonard 25' 3PT Pullup Jump Shot (5 PTS)</v>
      </c>
      <c r="K4310" s="2" t="str">
        <f>HYPERLINK("https://www.nba.com/game/...-vs-...-0021600053/play-by-play?watchFullGame=true", "SAS vs UTA - Q1 08:37.00")</f>
        <v>SAS vs UTA - Q1 08:37.00</v>
      </c>
      <c r="L4310">
        <v>25</v>
      </c>
      <c r="M4310">
        <v>135</v>
      </c>
      <c r="N4310">
        <v>205</v>
      </c>
      <c r="O4310">
        <v>135</v>
      </c>
      <c r="P4310">
        <v>205</v>
      </c>
    </row>
    <row r="4311" spans="1:16" x14ac:dyDescent="0.25">
      <c r="A4311">
        <v>22300688</v>
      </c>
      <c r="B4311">
        <v>2023</v>
      </c>
      <c r="C4311" t="s">
        <v>16</v>
      </c>
      <c r="D4311" t="s">
        <v>19</v>
      </c>
      <c r="E4311">
        <v>67</v>
      </c>
      <c r="F4311">
        <v>75</v>
      </c>
      <c r="G4311">
        <v>3</v>
      </c>
      <c r="H4311" s="1">
        <v>6.5162037037037037E-3</v>
      </c>
      <c r="I4311" t="s">
        <v>23</v>
      </c>
      <c r="J4311" s="2" t="str">
        <f>HYPERLINK("https://www.nba.com/stats/events?CFID=&amp;CFPARAMS=&amp;GameEventID=350&amp;GameID=0022300688&amp;Season=2023-24&amp;flag=1&amp;title=Leonard%2025'%203PT%20%20(27%20PTS)%20(M.%20Plumlee%201%20AST)", "25' 3PT  (27 PTS) (M. Plumlee 1 AST)")</f>
        <v>25' 3PT  (27 PTS) (M. Plumlee 1 AST)</v>
      </c>
      <c r="K4311" s="2" t="str">
        <f>HYPERLINK("https://www.nba.com/game/...-vs-...-0022300688/play-by-play?watchFullGame=true", "LAC vs DET - Q3 09:23.00")</f>
        <v>LAC vs DET - Q3 09:23.00</v>
      </c>
      <c r="L4311">
        <v>25.8</v>
      </c>
      <c r="M4311">
        <v>28.99</v>
      </c>
      <c r="N4311">
        <v>23.04</v>
      </c>
      <c r="O4311">
        <v>135</v>
      </c>
      <c r="P4311">
        <v>220</v>
      </c>
    </row>
    <row r="4312" spans="1:16" x14ac:dyDescent="0.25">
      <c r="A4312">
        <v>21900051</v>
      </c>
      <c r="B4312">
        <v>2019</v>
      </c>
      <c r="C4312" t="s">
        <v>16</v>
      </c>
      <c r="D4312" t="s">
        <v>22</v>
      </c>
      <c r="E4312">
        <v>60</v>
      </c>
      <c r="F4312">
        <v>54</v>
      </c>
      <c r="G4312">
        <v>3</v>
      </c>
      <c r="H4312" s="1">
        <v>7.858796296296296E-3</v>
      </c>
      <c r="I4312" t="s">
        <v>23</v>
      </c>
      <c r="J4312" s="2" t="str">
        <f>HYPERLINK("https://www.nba.com/stats/events?CFID=&amp;CFPARAMS=&amp;GameEventID=359&amp;GameID=0021900051&amp;Season=2019-20&amp;flag=1&amp;title=[LAC]%20Leonard%203pt%20shot:%20Made%20(18%20PTS)%20assist:%20Shamet%20(2%20AST)", "[LAC] Leonard 3pt shot: Made (18 PTS) assist: Shamet (2 AST)")</f>
        <v>[LAC] Leonard 3pt shot: Made (18 PTS) assist: Shamet (2 AST)</v>
      </c>
      <c r="K4312" s="2" t="str">
        <f>HYPERLINK("https://www.nba.com/game/...-vs-...-0021900051/play-by-play?watchFullGame=true", "LAC vs CHA - Q3 11:19.00")</f>
        <v>LAC vs CHA - Q3 11:19.00</v>
      </c>
      <c r="L4312">
        <v>29.39</v>
      </c>
      <c r="M4312">
        <v>32.770000000000003</v>
      </c>
      <c r="N4312">
        <v>22.97</v>
      </c>
      <c r="O4312">
        <v>135</v>
      </c>
      <c r="P4312">
        <v>256</v>
      </c>
    </row>
    <row r="4313" spans="1:16" x14ac:dyDescent="0.25">
      <c r="A4313">
        <v>22300956</v>
      </c>
      <c r="B4313">
        <v>2023</v>
      </c>
      <c r="C4313" t="s">
        <v>32</v>
      </c>
      <c r="D4313" t="s">
        <v>19</v>
      </c>
      <c r="E4313">
        <v>102</v>
      </c>
      <c r="F4313">
        <v>120</v>
      </c>
      <c r="G4313">
        <v>4</v>
      </c>
      <c r="H4313" s="1">
        <v>2.2800925925925927E-3</v>
      </c>
      <c r="I4313" t="s">
        <v>23</v>
      </c>
      <c r="J4313" s="2" t="str">
        <f>HYPERLINK("https://www.nba.com/stats/events?CFID=&amp;CFPARAMS=&amp;GameEventID=525&amp;GameID=0022300956&amp;Season=2023-24&amp;flag=1&amp;title=Leonard%2013'%20step%20back%20Jump%20Shot%20(27%20PTS)", "13' step back Jump Shot (27 PTS)")</f>
        <v>13' step back Jump Shot (27 PTS)</v>
      </c>
      <c r="K4313" s="2" t="str">
        <f>HYPERLINK("https://www.nba.com/game/...-vs-...-0022300956/play-by-play?watchFullGame=true", "LAC vs CHI - Q4 03:17.00")</f>
        <v>LAC vs CHI - Q4 03:17.00</v>
      </c>
      <c r="L4313">
        <v>13.62</v>
      </c>
      <c r="M4313">
        <v>95.22</v>
      </c>
      <c r="N4313">
        <v>77.209999999999994</v>
      </c>
      <c r="O4313">
        <v>136</v>
      </c>
      <c r="P4313">
        <v>-8</v>
      </c>
    </row>
    <row r="4314" spans="1:16" x14ac:dyDescent="0.25">
      <c r="A4314">
        <v>22000675</v>
      </c>
      <c r="B4314">
        <v>2020</v>
      </c>
      <c r="C4314" t="s">
        <v>32</v>
      </c>
      <c r="D4314" t="s">
        <v>19</v>
      </c>
      <c r="E4314">
        <v>92</v>
      </c>
      <c r="F4314">
        <v>116</v>
      </c>
      <c r="G4314">
        <v>4</v>
      </c>
      <c r="H4314" s="1">
        <v>4.6527777777777774E-3</v>
      </c>
      <c r="I4314" t="s">
        <v>23</v>
      </c>
      <c r="J4314" s="2" t="str">
        <f>HYPERLINK("https://www.nba.com/stats/events?CFID=&amp;CFPARAMS=&amp;GameEventID=570&amp;GameID=0022000675&amp;Season=2020-21&amp;flag=1&amp;title=Leonard%2013'%20pullup%20Jump%20Shot%20(25%20PTS)", "13' pullup Jump Shot (25 PTS)")</f>
        <v>13' pullup Jump Shot (25 PTS)</v>
      </c>
      <c r="K4314" s="2" t="str">
        <f>HYPERLINK("https://www.nba.com/game/...-vs-...-0022000675/play-by-play?watchFullGame=true", "LAC vs SAS - Q4 06:42.00")</f>
        <v>LAC vs SAS - Q4 06:42.00</v>
      </c>
      <c r="L4314">
        <v>13.64</v>
      </c>
      <c r="M4314">
        <v>94.3</v>
      </c>
      <c r="N4314">
        <v>77.27</v>
      </c>
      <c r="O4314">
        <v>136</v>
      </c>
      <c r="P4314">
        <v>1</v>
      </c>
    </row>
    <row r="4315" spans="1:16" x14ac:dyDescent="0.25">
      <c r="A4315">
        <v>21300363</v>
      </c>
      <c r="B4315">
        <v>2013</v>
      </c>
      <c r="C4315" t="s">
        <v>32</v>
      </c>
      <c r="D4315" t="s">
        <v>19</v>
      </c>
      <c r="E4315">
        <v>0</v>
      </c>
      <c r="F4315">
        <v>2</v>
      </c>
      <c r="G4315">
        <v>1</v>
      </c>
      <c r="H4315" s="1">
        <v>7.9629629629629634E-3</v>
      </c>
      <c r="I4315" t="s">
        <v>18</v>
      </c>
      <c r="J4315" s="2" t="str">
        <f>HYPERLINK("https://www.nba.com/stats/events?CFID=&amp;CFPARAMS=&amp;GameEventID=4&amp;GameID=0021300363&amp;Season=2013-14&amp;flag=1&amp;title=Leonard%2014'%20Jump%20Shot%20(2%20PTS)", "Leonard 14' Jump Shot (2 PTS)")</f>
        <v>Leonard 14' Jump Shot (2 PTS)</v>
      </c>
      <c r="K4315" s="2" t="str">
        <f>HYPERLINK("https://www.nba.com/game/...-vs-...-0021300363/play-by-play?watchFullGame=true", "SAS vs LAC - Q1 11:28.00")</f>
        <v>SAS vs LAC - Q1 11:28.00</v>
      </c>
      <c r="L4315">
        <v>14</v>
      </c>
      <c r="M4315">
        <v>136</v>
      </c>
      <c r="N4315">
        <v>23</v>
      </c>
      <c r="O4315">
        <v>136</v>
      </c>
      <c r="P4315">
        <v>23</v>
      </c>
    </row>
    <row r="4316" spans="1:16" x14ac:dyDescent="0.25">
      <c r="A4316">
        <v>22200480</v>
      </c>
      <c r="B4316">
        <v>2022</v>
      </c>
      <c r="C4316" t="s">
        <v>32</v>
      </c>
      <c r="D4316" t="s">
        <v>19</v>
      </c>
      <c r="E4316">
        <v>2</v>
      </c>
      <c r="F4316">
        <v>2</v>
      </c>
      <c r="G4316">
        <v>1</v>
      </c>
      <c r="H4316" s="1">
        <v>7.8819444444444449E-3</v>
      </c>
      <c r="I4316" t="s">
        <v>23</v>
      </c>
      <c r="J4316" s="2" t="str">
        <f>HYPERLINK("https://www.nba.com/stats/events?CFID=&amp;CFPARAMS=&amp;GameEventID=8&amp;GameID=0022200480&amp;Season=2022-23&amp;flag=1&amp;title=Leonard%2017'%20pullup%20Jump%20Shot%20(2%20PTS)", "17' pullup Jump Shot (2 PTS)")</f>
        <v>17' pullup Jump Shot (2 PTS)</v>
      </c>
      <c r="K4316" s="2" t="str">
        <f>HYPERLINK("https://www.nba.com/game/...-vs-...-0022200480/play-by-play?watchFullGame=true", "LAC vs PHI - Q1 11:21.00")</f>
        <v>LAC vs PHI - Q1 11:21.00</v>
      </c>
      <c r="L4316">
        <v>17.11</v>
      </c>
      <c r="M4316">
        <v>83.36</v>
      </c>
      <c r="N4316">
        <v>77.209999999999994</v>
      </c>
      <c r="O4316">
        <v>136</v>
      </c>
      <c r="P4316">
        <v>104</v>
      </c>
    </row>
    <row r="4317" spans="1:16" x14ac:dyDescent="0.25">
      <c r="A4317">
        <v>21301154</v>
      </c>
      <c r="B4317">
        <v>2013</v>
      </c>
      <c r="C4317" t="s">
        <v>32</v>
      </c>
      <c r="D4317" t="s">
        <v>19</v>
      </c>
      <c r="E4317">
        <v>2</v>
      </c>
      <c r="F4317">
        <v>2</v>
      </c>
      <c r="G4317">
        <v>1</v>
      </c>
      <c r="H4317" s="1">
        <v>7.2453703703703708E-3</v>
      </c>
      <c r="I4317" t="s">
        <v>18</v>
      </c>
      <c r="J4317" s="2" t="str">
        <f>HYPERLINK("https://www.nba.com/stats/events?CFID=&amp;CFPARAMS=&amp;GameEventID=9&amp;GameID=0021301154&amp;Season=2013-14&amp;flag=1&amp;title=Leonard%2021'%20Jump%20Shot%20(2%20PTS)", "Leonard 21' Jump Shot (2 PTS)")</f>
        <v>Leonard 21' Jump Shot (2 PTS)</v>
      </c>
      <c r="K4317" s="2" t="str">
        <f>HYPERLINK("https://www.nba.com/game/...-vs-...-0021301154/play-by-play?watchFullGame=true", "SAS vs MEM - Q1 10:26.00")</f>
        <v>SAS vs MEM - Q1 10:26.00</v>
      </c>
      <c r="L4317">
        <v>21</v>
      </c>
      <c r="M4317">
        <v>136</v>
      </c>
      <c r="N4317">
        <v>154</v>
      </c>
      <c r="O4317">
        <v>136</v>
      </c>
      <c r="P4317">
        <v>154</v>
      </c>
    </row>
    <row r="4318" spans="1:16" x14ac:dyDescent="0.25">
      <c r="A4318">
        <v>22400874</v>
      </c>
      <c r="B4318">
        <v>2024</v>
      </c>
      <c r="C4318" t="s">
        <v>16</v>
      </c>
      <c r="D4318" t="s">
        <v>19</v>
      </c>
      <c r="E4318">
        <v>39</v>
      </c>
      <c r="F4318">
        <v>38</v>
      </c>
      <c r="G4318">
        <v>2</v>
      </c>
      <c r="H4318" s="1">
        <v>6.1805555555555555E-3</v>
      </c>
      <c r="I4318" t="s">
        <v>23</v>
      </c>
      <c r="J4318" s="2" t="str">
        <f>HYPERLINK("https://www.nba.com/stats/events?CFID=&amp;CFPARAMS=&amp;GameEventID=189&amp;GameID=0022400874&amp;Season=2024-25&amp;flag=1&amp;title=Leonard%2025'%203PT%20pullup%20(10%20PTS)", "25' 3PT pullup (10 PTS)")</f>
        <v>25' 3PT pullup (10 PTS)</v>
      </c>
      <c r="K4318" s="2" t="str">
        <f>HYPERLINK("https://www.nba.com/game/...-vs-...-0022400874/play-by-play?watchFullGame=true", "LAC vs LAL - Q2 08:54.00")</f>
        <v>LAC vs LAL - Q2 08:54.00</v>
      </c>
      <c r="L4318">
        <v>25.65</v>
      </c>
      <c r="M4318">
        <v>71.27</v>
      </c>
      <c r="N4318">
        <v>77.209999999999994</v>
      </c>
      <c r="O4318">
        <v>136</v>
      </c>
      <c r="P4318">
        <v>218</v>
      </c>
    </row>
    <row r="4319" spans="1:16" x14ac:dyDescent="0.25">
      <c r="A4319">
        <v>21500393</v>
      </c>
      <c r="B4319">
        <v>2015</v>
      </c>
      <c r="C4319" t="s">
        <v>32</v>
      </c>
      <c r="D4319" t="s">
        <v>34</v>
      </c>
      <c r="E4319">
        <v>63</v>
      </c>
      <c r="F4319">
        <v>62</v>
      </c>
      <c r="G4319">
        <v>3</v>
      </c>
      <c r="H4319" s="1">
        <v>6.9328703703703705E-3</v>
      </c>
      <c r="I4319" t="s">
        <v>18</v>
      </c>
      <c r="J4319" s="2" t="str">
        <f>HYPERLINK("https://www.nba.com/stats/events?CFID=&amp;CFPARAMS=&amp;GameEventID=260&amp;GameID=0021500393&amp;Season=2015-16&amp;flag=1&amp;title=Leonard%2014'%20Turnaround%20Fadeaway%20(12%20PTS)", "Leonard 14' Turnaround Fadeaway (12 PTS)")</f>
        <v>Leonard 14' Turnaround Fadeaway (12 PTS)</v>
      </c>
      <c r="K4319" s="2" t="str">
        <f>HYPERLINK("https://www.nba.com/game/...-vs-...-0021500393/play-by-play?watchFullGame=true", "SAS vs LAC - Q3 09:59.00")</f>
        <v>SAS vs LAC - Q3 09:59.00</v>
      </c>
      <c r="L4319">
        <v>14</v>
      </c>
      <c r="M4319">
        <v>137</v>
      </c>
      <c r="N4319">
        <v>0</v>
      </c>
      <c r="O4319">
        <v>137</v>
      </c>
      <c r="P4319">
        <v>0</v>
      </c>
    </row>
    <row r="4320" spans="1:16" x14ac:dyDescent="0.25">
      <c r="A4320">
        <v>21500909</v>
      </c>
      <c r="B4320">
        <v>2015</v>
      </c>
      <c r="C4320" t="s">
        <v>32</v>
      </c>
      <c r="D4320" t="s">
        <v>24</v>
      </c>
      <c r="E4320">
        <v>86</v>
      </c>
      <c r="F4320">
        <v>86</v>
      </c>
      <c r="G4320">
        <v>4</v>
      </c>
      <c r="H4320" s="1">
        <v>1.8749999999999999E-3</v>
      </c>
      <c r="I4320" t="s">
        <v>18</v>
      </c>
      <c r="J4320" s="2" t="str">
        <f>HYPERLINK("https://www.nba.com/stats/events?CFID=&amp;CFPARAMS=&amp;GameEventID=447&amp;GameID=0021500909&amp;Season=2015-16&amp;flag=1&amp;title=Leonard%2014'%20Turnaround%20Jump%20Shot%20(27%20PTS)", "Leonard 14' Turnaround Jump Shot (27 PTS)")</f>
        <v>Leonard 14' Turnaround Jump Shot (27 PTS)</v>
      </c>
      <c r="K4320" s="2" t="str">
        <f>HYPERLINK("https://www.nba.com/game/...-vs-...-0021500909/play-by-play?watchFullGame=true", "SAS vs NOP - Q4 02:42.00")</f>
        <v>SAS vs NOP - Q4 02:42.00</v>
      </c>
      <c r="L4320">
        <v>14</v>
      </c>
      <c r="M4320">
        <v>137</v>
      </c>
      <c r="N4320">
        <v>11</v>
      </c>
      <c r="O4320">
        <v>137</v>
      </c>
      <c r="P4320">
        <v>11</v>
      </c>
    </row>
    <row r="4321" spans="1:16" x14ac:dyDescent="0.25">
      <c r="A4321">
        <v>22300372</v>
      </c>
      <c r="B4321">
        <v>2023</v>
      </c>
      <c r="C4321" t="s">
        <v>32</v>
      </c>
      <c r="D4321" t="s">
        <v>19</v>
      </c>
      <c r="E4321">
        <v>42</v>
      </c>
      <c r="F4321">
        <v>59</v>
      </c>
      <c r="G4321">
        <v>2</v>
      </c>
      <c r="H4321" s="1">
        <v>3.1944444444444446E-3</v>
      </c>
      <c r="I4321" t="s">
        <v>23</v>
      </c>
      <c r="J4321" s="2" t="str">
        <f>HYPERLINK("https://www.nba.com/stats/events?CFID=&amp;CFPARAMS=&amp;GameEventID=261&amp;GameID=0022300372&amp;Season=2023-24&amp;flag=1&amp;title=Leonard%2013'%20fadeaway%20Jump%20Shot%20(12%20PTS)", "13' fadeaway Jump Shot (12 PTS)")</f>
        <v>13' fadeaway Jump Shot (12 PTS)</v>
      </c>
      <c r="K4321" s="2" t="str">
        <f>HYPERLINK("https://www.nba.com/game/...-vs-...-0022300372/play-by-play?watchFullGame=true", "LAC vs DAL - Q2 04:36.00")</f>
        <v>LAC vs DAL - Q2 04:36.00</v>
      </c>
      <c r="L4321">
        <v>13.82</v>
      </c>
      <c r="M4321">
        <v>92.72</v>
      </c>
      <c r="N4321">
        <v>77.45</v>
      </c>
      <c r="O4321">
        <v>137</v>
      </c>
      <c r="P4321">
        <v>16</v>
      </c>
    </row>
    <row r="4322" spans="1:16" x14ac:dyDescent="0.25">
      <c r="A4322">
        <v>22200784</v>
      </c>
      <c r="B4322">
        <v>2022</v>
      </c>
      <c r="C4322" t="s">
        <v>32</v>
      </c>
      <c r="D4322" t="s">
        <v>19</v>
      </c>
      <c r="E4322">
        <v>70</v>
      </c>
      <c r="F4322">
        <v>86</v>
      </c>
      <c r="G4322">
        <v>3</v>
      </c>
      <c r="H4322" s="1">
        <v>1.238425925925926E-3</v>
      </c>
      <c r="I4322" t="s">
        <v>23</v>
      </c>
      <c r="J4322" s="2" t="str">
        <f>HYPERLINK("https://www.nba.com/stats/events?CFID=&amp;CFPARAMS=&amp;GameEventID=447&amp;GameID=0022200784&amp;Season=2022-23&amp;flag=1&amp;title=Leonard%2015'%20pullup%20Jump%20Shot%20(15%20PTS)", "15' pullup Jump Shot (15 PTS)")</f>
        <v>15' pullup Jump Shot (15 PTS)</v>
      </c>
      <c r="K4322" s="2" t="str">
        <f>HYPERLINK("https://www.nba.com/game/...-vs-...-0022200784/play-by-play?watchFullGame=true", "LAC vs MIL - Q3 01:47.00")</f>
        <v>LAC vs MIL - Q3 01:47.00</v>
      </c>
      <c r="L4322">
        <v>15.96</v>
      </c>
      <c r="M4322">
        <v>85.76</v>
      </c>
      <c r="N4322">
        <v>77.45</v>
      </c>
      <c r="O4322">
        <v>137</v>
      </c>
      <c r="P4322">
        <v>81</v>
      </c>
    </row>
    <row r="4323" spans="1:16" x14ac:dyDescent="0.25">
      <c r="A4323">
        <v>22300350</v>
      </c>
      <c r="B4323">
        <v>2023</v>
      </c>
      <c r="C4323" t="s">
        <v>32</v>
      </c>
      <c r="D4323" t="s">
        <v>19</v>
      </c>
      <c r="E4323">
        <v>53</v>
      </c>
      <c r="F4323">
        <v>55</v>
      </c>
      <c r="G4323">
        <v>2</v>
      </c>
      <c r="H4323" s="1">
        <v>4.2013888888888891E-3</v>
      </c>
      <c r="I4323" t="s">
        <v>23</v>
      </c>
      <c r="J4323" s="2" t="str">
        <f>HYPERLINK("https://www.nba.com/stats/events?CFID=&amp;CFPARAMS=&amp;GameEventID=263&amp;GameID=0022300350&amp;Season=2023-24&amp;flag=1&amp;title=Leonard%2018'%20Jump%20Shot%20(14%20PTS)", "18' Jump Shot (14 PTS)")</f>
        <v>18' Jump Shot (14 PTS)</v>
      </c>
      <c r="K4323" s="2" t="str">
        <f>HYPERLINK("https://www.nba.com/game/...-vs-...-0022300350/play-by-play?watchFullGame=true", "LAC vs IND - Q2 06:03.00")</f>
        <v>LAC vs IND - Q2 06:03.00</v>
      </c>
      <c r="L4323">
        <v>18.96</v>
      </c>
      <c r="M4323">
        <v>80.5</v>
      </c>
      <c r="N4323">
        <v>77.45</v>
      </c>
      <c r="O4323">
        <v>137</v>
      </c>
      <c r="P4323">
        <v>131</v>
      </c>
    </row>
    <row r="4324" spans="1:16" x14ac:dyDescent="0.25">
      <c r="A4324">
        <v>41800111</v>
      </c>
      <c r="B4324" t="s">
        <v>20</v>
      </c>
      <c r="C4324" t="s">
        <v>32</v>
      </c>
      <c r="D4324" t="s">
        <v>29</v>
      </c>
      <c r="E4324">
        <v>51</v>
      </c>
      <c r="F4324">
        <v>57</v>
      </c>
      <c r="G4324">
        <v>3</v>
      </c>
      <c r="H4324" s="1">
        <v>7.4537037037037037E-3</v>
      </c>
      <c r="I4324" t="s">
        <v>21</v>
      </c>
      <c r="J4324" s="2" t="str">
        <f>HYPERLINK("https://www.nba.com/stats/events?CFID=&amp;CFPARAMS=&amp;GameEventID=320&amp;GameID=0041800111&amp;Season=2018-19&amp;flag=1&amp;title=Leonard%2019'%20Pullup%20Jump%20Shot%20(13%20PTS)%20(Gasol%203%20AST)", "Leonard 19' Pullup Jump Shot (13 PTS) (Gasol 3 AST)")</f>
        <v>Leonard 19' Pullup Jump Shot (13 PTS) (Gasol 3 AST)</v>
      </c>
      <c r="K4324" s="2" t="str">
        <f>HYPERLINK("https://www.nba.com/game/...-vs-...-0041800111/play-by-play?watchFullGame=true", "TOR vs ORL - Q3 10:44.00")</f>
        <v>TOR vs ORL - Q3 10:44.00</v>
      </c>
      <c r="L4324">
        <v>19</v>
      </c>
      <c r="M4324">
        <v>137</v>
      </c>
      <c r="N4324">
        <v>132</v>
      </c>
      <c r="O4324">
        <v>137</v>
      </c>
      <c r="P4324">
        <v>132</v>
      </c>
    </row>
    <row r="4325" spans="1:16" x14ac:dyDescent="0.25">
      <c r="A4325">
        <v>41800213</v>
      </c>
      <c r="B4325" t="s">
        <v>20</v>
      </c>
      <c r="C4325" t="s">
        <v>32</v>
      </c>
      <c r="D4325" t="s">
        <v>29</v>
      </c>
      <c r="E4325">
        <v>75</v>
      </c>
      <c r="F4325">
        <v>59</v>
      </c>
      <c r="G4325">
        <v>3</v>
      </c>
      <c r="H4325" s="1">
        <v>5.5324074074074078E-3</v>
      </c>
      <c r="I4325" t="s">
        <v>21</v>
      </c>
      <c r="J4325" s="2" t="str">
        <f>HYPERLINK("https://www.nba.com/stats/events?CFID=&amp;CFPARAMS=&amp;GameEventID=387&amp;GameID=0041800213&amp;Season=2018-19&amp;flag=1&amp;title=Leonard%2020'%20Pullup%20Jump%20Shot%20(19%20PTS)", "Leonard 20' Pullup Jump Shot (19 PTS)")</f>
        <v>Leonard 20' Pullup Jump Shot (19 PTS)</v>
      </c>
      <c r="K4325" s="2" t="str">
        <f>HYPERLINK("https://www.nba.com/game/...-vs-...-0041800213/play-by-play?watchFullGame=true", "TOR vs PHI - Q3 07:58.00")</f>
        <v>TOR vs PHI - Q3 07:58.00</v>
      </c>
      <c r="L4325">
        <v>20</v>
      </c>
      <c r="M4325">
        <v>137</v>
      </c>
      <c r="N4325">
        <v>140</v>
      </c>
      <c r="O4325">
        <v>137</v>
      </c>
      <c r="P4325">
        <v>140</v>
      </c>
    </row>
    <row r="4326" spans="1:16" x14ac:dyDescent="0.25">
      <c r="A4326">
        <v>21900436</v>
      </c>
      <c r="B4326">
        <v>2019</v>
      </c>
      <c r="C4326" t="s">
        <v>32</v>
      </c>
      <c r="D4326" t="s">
        <v>22</v>
      </c>
      <c r="E4326">
        <v>3</v>
      </c>
      <c r="F4326">
        <v>2</v>
      </c>
      <c r="G4326">
        <v>1</v>
      </c>
      <c r="H4326" s="1">
        <v>7.6736111111111111E-3</v>
      </c>
      <c r="I4326" t="s">
        <v>23</v>
      </c>
      <c r="J4326" s="2" t="str">
        <f>HYPERLINK("https://www.nba.com/stats/events?CFID=&amp;CFPARAMS=&amp;GameEventID=17&amp;GameID=0021900436&amp;Season=2019-20&amp;flag=1&amp;title=Leonard%2020'%20jumpshot%20(2%20PTS)%20(M.%20Harkless%201%20AST)", "20' jumpshot (2 PTS) (M. Harkless 1 AST)")</f>
        <v>20' jumpshot (2 PTS) (M. Harkless 1 AST)</v>
      </c>
      <c r="K4326" s="2" t="str">
        <f>HYPERLINK("https://www.nba.com/game/...-vs-...-0021900436/play-by-play?watchFullGame=true", "LAC vs SAS - Q1 11:03.00")</f>
        <v>LAC vs SAS - Q1 11:03.00</v>
      </c>
      <c r="L4326">
        <v>20.05</v>
      </c>
      <c r="M4326">
        <v>20.58</v>
      </c>
      <c r="N4326">
        <v>22.62</v>
      </c>
      <c r="O4326">
        <v>137</v>
      </c>
      <c r="P4326">
        <v>141</v>
      </c>
    </row>
    <row r="4327" spans="1:16" x14ac:dyDescent="0.25">
      <c r="A4327">
        <v>41300402</v>
      </c>
      <c r="B4327" t="s">
        <v>26</v>
      </c>
      <c r="C4327" t="s">
        <v>32</v>
      </c>
      <c r="D4327" t="s">
        <v>19</v>
      </c>
      <c r="E4327">
        <v>22</v>
      </c>
      <c r="F4327">
        <v>15</v>
      </c>
      <c r="G4327">
        <v>1</v>
      </c>
      <c r="H4327" s="1">
        <v>2.2222222222222222E-3</v>
      </c>
      <c r="I4327" t="s">
        <v>18</v>
      </c>
      <c r="J4327" s="2" t="str">
        <f>HYPERLINK("https://www.nba.com/stats/events?CFID=&amp;CFPARAMS=&amp;GameEventID=77&amp;GameID=0041300402&amp;Season=2013-14&amp;flag=1&amp;title=Leonard%2014'%20Jump%20Shot%20(3%20PTS)%20(Parker%203%20AST)", "Leonard 14' Jump Shot (3 PTS) (Parker 3 AST)")</f>
        <v>Leonard 14' Jump Shot (3 PTS) (Parker 3 AST)</v>
      </c>
      <c r="K4327" s="2" t="str">
        <f>HYPERLINK("https://www.nba.com/game/...-vs-...-0041300402/play-by-play?watchFullGame=true", "SAS vs MIA - Q1 03:12.00")</f>
        <v>SAS vs MIA - Q1 03:12.00</v>
      </c>
      <c r="L4327">
        <v>14</v>
      </c>
      <c r="M4327">
        <v>138</v>
      </c>
      <c r="N4327">
        <v>3</v>
      </c>
      <c r="O4327">
        <v>138</v>
      </c>
      <c r="P4327">
        <v>3</v>
      </c>
    </row>
    <row r="4328" spans="1:16" x14ac:dyDescent="0.25">
      <c r="A4328">
        <v>21400739</v>
      </c>
      <c r="B4328">
        <v>2014</v>
      </c>
      <c r="C4328" t="s">
        <v>32</v>
      </c>
      <c r="D4328" t="s">
        <v>19</v>
      </c>
      <c r="E4328">
        <v>21</v>
      </c>
      <c r="F4328">
        <v>25</v>
      </c>
      <c r="G4328">
        <v>1</v>
      </c>
      <c r="H4328" s="1">
        <v>1.1342592592592593E-3</v>
      </c>
      <c r="I4328" t="s">
        <v>18</v>
      </c>
      <c r="J4328" s="2" t="str">
        <f>HYPERLINK("https://www.nba.com/stats/events?CFID=&amp;CFPARAMS=&amp;GameEventID=88&amp;GameID=0021400739&amp;Season=2014-15&amp;flag=1&amp;title=Leonard%2014'%20Jump%20Shot%20(4%20PTS)%20(Belinelli%201%20AST)", "Leonard 14' Jump Shot (4 PTS) (Belinelli 1 AST)")</f>
        <v>Leonard 14' Jump Shot (4 PTS) (Belinelli 1 AST)</v>
      </c>
      <c r="K4328" s="2" t="str">
        <f>HYPERLINK("https://www.nba.com/game/...-vs-...-0021400739/play-by-play?watchFullGame=true", "SAS vs ORL - Q1 01:38.00")</f>
        <v>SAS vs ORL - Q1 01:38.00</v>
      </c>
      <c r="L4328">
        <v>14</v>
      </c>
      <c r="M4328">
        <v>138</v>
      </c>
      <c r="N4328">
        <v>17</v>
      </c>
      <c r="O4328">
        <v>138</v>
      </c>
      <c r="P4328">
        <v>17</v>
      </c>
    </row>
    <row r="4329" spans="1:16" x14ac:dyDescent="0.25">
      <c r="A4329">
        <v>22300799</v>
      </c>
      <c r="B4329">
        <v>2023</v>
      </c>
      <c r="C4329" t="s">
        <v>32</v>
      </c>
      <c r="D4329" t="s">
        <v>19</v>
      </c>
      <c r="E4329">
        <v>83</v>
      </c>
      <c r="F4329">
        <v>79</v>
      </c>
      <c r="G4329">
        <v>3</v>
      </c>
      <c r="H4329" s="1">
        <v>2.5925925925925925E-3</v>
      </c>
      <c r="I4329" t="s">
        <v>23</v>
      </c>
      <c r="J4329" s="2" t="str">
        <f>HYPERLINK("https://www.nba.com/stats/events?CFID=&amp;CFPARAMS=&amp;GameEventID=433&amp;GameID=0022300799&amp;Season=2023-24&amp;flag=1&amp;title=Leonard%2013'%20turnaround%20Jump%20Shot%20(20%20PTS)", "13' turnaround Jump Shot (20 PTS)")</f>
        <v>13' turnaround Jump Shot (20 PTS)</v>
      </c>
      <c r="K4329" s="2" t="str">
        <f>HYPERLINK("https://www.nba.com/game/...-vs-...-0022300799/play-by-play?watchFullGame=true", "LAC vs OKC - Q3 03:44.00")</f>
        <v>LAC vs OKC - Q3 03:44.00</v>
      </c>
      <c r="L4329">
        <v>13.96</v>
      </c>
      <c r="M4329">
        <v>92.59</v>
      </c>
      <c r="N4329">
        <v>77.7</v>
      </c>
      <c r="O4329">
        <v>138</v>
      </c>
      <c r="P4329">
        <v>17</v>
      </c>
    </row>
    <row r="4330" spans="1:16" x14ac:dyDescent="0.25">
      <c r="A4330">
        <v>41300316</v>
      </c>
      <c r="B4330" t="s">
        <v>26</v>
      </c>
      <c r="C4330" t="s">
        <v>32</v>
      </c>
      <c r="D4330" t="s">
        <v>24</v>
      </c>
      <c r="E4330">
        <v>15</v>
      </c>
      <c r="F4330">
        <v>11</v>
      </c>
      <c r="G4330">
        <v>1</v>
      </c>
      <c r="H4330" s="1">
        <v>4.363425925925926E-3</v>
      </c>
      <c r="I4330" t="s">
        <v>18</v>
      </c>
      <c r="J4330" s="2" t="str">
        <f>HYPERLINK("https://www.nba.com/stats/events?CFID=&amp;CFPARAMS=&amp;GameEventID=47&amp;GameID=0041300316&amp;Season=2013-14&amp;flag=1&amp;title=Leonard%2014'%20Turnaround%20Jump%20Shot%20(6%20PTS)", "Leonard 14' Turnaround Jump Shot (6 PTS)")</f>
        <v>Leonard 14' Turnaround Jump Shot (6 PTS)</v>
      </c>
      <c r="K4330" s="2" t="str">
        <f>HYPERLINK("https://www.nba.com/game/...-vs-...-0041300316/play-by-play?watchFullGame=true", "SAS vs OKC - Q1 06:17.00")</f>
        <v>SAS vs OKC - Q1 06:17.00</v>
      </c>
      <c r="L4330">
        <v>14</v>
      </c>
      <c r="M4330">
        <v>138</v>
      </c>
      <c r="N4330">
        <v>19</v>
      </c>
      <c r="O4330">
        <v>138</v>
      </c>
      <c r="P4330">
        <v>19</v>
      </c>
    </row>
    <row r="4331" spans="1:16" x14ac:dyDescent="0.25">
      <c r="A4331">
        <v>41400164</v>
      </c>
      <c r="B4331" t="s">
        <v>28</v>
      </c>
      <c r="C4331" t="s">
        <v>32</v>
      </c>
      <c r="D4331" t="s">
        <v>19</v>
      </c>
      <c r="E4331">
        <v>4</v>
      </c>
      <c r="F4331">
        <v>6</v>
      </c>
      <c r="G4331">
        <v>1</v>
      </c>
      <c r="H4331" s="1">
        <v>6.3425925925925924E-3</v>
      </c>
      <c r="I4331" t="s">
        <v>18</v>
      </c>
      <c r="J4331" s="2" t="str">
        <f>HYPERLINK("https://www.nba.com/stats/events?CFID=&amp;CFPARAMS=&amp;GameEventID=29&amp;GameID=0041400164&amp;Season=2014-15&amp;flag=1&amp;title=Leonard%2014'%20Jump%20Shot%20(4%20PTS)%20(Duncan%202%20AST)", "Leonard 14' Jump Shot (4 PTS) (Duncan 2 AST)")</f>
        <v>Leonard 14' Jump Shot (4 PTS) (Duncan 2 AST)</v>
      </c>
      <c r="K4331" s="2" t="str">
        <f>HYPERLINK("https://www.nba.com/game/...-vs-...-0041400164/play-by-play?watchFullGame=true", "SAS vs LAC - Q1 09:08.00")</f>
        <v>SAS vs LAC - Q1 09:08.00</v>
      </c>
      <c r="L4331">
        <v>14</v>
      </c>
      <c r="M4331">
        <v>138</v>
      </c>
      <c r="N4331">
        <v>42</v>
      </c>
      <c r="O4331">
        <v>138</v>
      </c>
      <c r="P4331">
        <v>42</v>
      </c>
    </row>
    <row r="4332" spans="1:16" x14ac:dyDescent="0.25">
      <c r="A4332">
        <v>21400069</v>
      </c>
      <c r="B4332">
        <v>2014</v>
      </c>
      <c r="C4332" t="s">
        <v>32</v>
      </c>
      <c r="D4332" t="s">
        <v>19</v>
      </c>
      <c r="E4332">
        <v>11</v>
      </c>
      <c r="F4332">
        <v>6</v>
      </c>
      <c r="G4332">
        <v>1</v>
      </c>
      <c r="H4332" s="1">
        <v>2.9282407407407408E-3</v>
      </c>
      <c r="I4332" t="s">
        <v>18</v>
      </c>
      <c r="J4332" s="2" t="str">
        <f>HYPERLINK("https://www.nba.com/stats/events?CFID=&amp;CFPARAMS=&amp;GameEventID=78&amp;GameID=0021400069&amp;Season=2014-15&amp;flag=1&amp;title=Leonard%2015'%20Jump%20Shot%20(2%20PTS)%20(Bonner%201%20AST)", "Leonard 15' Jump Shot (2 PTS) (Bonner 1 AST)")</f>
        <v>Leonard 15' Jump Shot (2 PTS) (Bonner 1 AST)</v>
      </c>
      <c r="K4332" s="2" t="str">
        <f>HYPERLINK("https://www.nba.com/game/...-vs-...-0021400069/play-by-play?watchFullGame=true", "SAS vs HOU - Q1 04:13.00")</f>
        <v>SAS vs HOU - Q1 04:13.00</v>
      </c>
      <c r="L4332">
        <v>15</v>
      </c>
      <c r="M4332">
        <v>138</v>
      </c>
      <c r="N4332">
        <v>61</v>
      </c>
      <c r="O4332">
        <v>138</v>
      </c>
      <c r="P4332">
        <v>61</v>
      </c>
    </row>
    <row r="4333" spans="1:16" x14ac:dyDescent="0.25">
      <c r="A4333">
        <v>22000775</v>
      </c>
      <c r="B4333">
        <v>2020</v>
      </c>
      <c r="C4333" t="s">
        <v>32</v>
      </c>
      <c r="D4333" t="s">
        <v>19</v>
      </c>
      <c r="E4333">
        <v>123</v>
      </c>
      <c r="F4333">
        <v>104</v>
      </c>
      <c r="G4333">
        <v>4</v>
      </c>
      <c r="H4333" s="1">
        <v>3.7268518518518519E-3</v>
      </c>
      <c r="I4333" t="s">
        <v>23</v>
      </c>
      <c r="J4333" s="2" t="str">
        <f>HYPERLINK("https://www.nba.com/stats/events?CFID=&amp;CFPARAMS=&amp;GameEventID=581&amp;GameID=0022000775&amp;Season=2020-21&amp;flag=1&amp;title=Leonard%2015'%20Jump%20Shot%20(24%20PTS)%20(P.%20George%205%20AST)", "15' Jump Shot (24 PTS) (P. George 5 AST)")</f>
        <v>15' Jump Shot (24 PTS) (P. George 5 AST)</v>
      </c>
      <c r="K4333" s="2" t="str">
        <f>HYPERLINK("https://www.nba.com/game/...-vs-...-0022000775/play-by-play?watchFullGame=true", "LAC vs POR - Q4 05:22.00")</f>
        <v>LAC vs POR - Q4 05:22.00</v>
      </c>
      <c r="L4333">
        <v>15.56</v>
      </c>
      <c r="M4333">
        <v>13.22</v>
      </c>
      <c r="N4333">
        <v>22.37</v>
      </c>
      <c r="O4333">
        <v>138</v>
      </c>
      <c r="P4333">
        <v>72</v>
      </c>
    </row>
    <row r="4334" spans="1:16" x14ac:dyDescent="0.25">
      <c r="A4334">
        <v>21600817</v>
      </c>
      <c r="B4334">
        <v>2016</v>
      </c>
      <c r="C4334" t="s">
        <v>32</v>
      </c>
      <c r="D4334" t="s">
        <v>19</v>
      </c>
      <c r="E4334">
        <v>34</v>
      </c>
      <c r="F4334">
        <v>46</v>
      </c>
      <c r="G4334">
        <v>2</v>
      </c>
      <c r="H4334" s="1">
        <v>2.2337962962962962E-3</v>
      </c>
      <c r="I4334" t="s">
        <v>18</v>
      </c>
      <c r="J4334" s="2" t="str">
        <f>HYPERLINK("https://www.nba.com/stats/events?CFID=&amp;CFPARAMS=&amp;GameEventID=198&amp;GameID=0021600817&amp;Season=2016-17&amp;flag=1&amp;title=Leonard%2017'%20Jump%20Shot%20(14%20PTS)", "Leonard 17' Jump Shot (14 PTS)")</f>
        <v>Leonard 17' Jump Shot (14 PTS)</v>
      </c>
      <c r="K4334" s="2" t="str">
        <f>HYPERLINK("https://www.nba.com/game/...-vs-...-0021600817/play-by-play?watchFullGame=true", "SAS vs NYK - Q2 03:13.00")</f>
        <v>SAS vs NYK - Q2 03:13.00</v>
      </c>
      <c r="L4334">
        <v>17</v>
      </c>
      <c r="M4334">
        <v>138</v>
      </c>
      <c r="N4334">
        <v>92</v>
      </c>
      <c r="O4334">
        <v>138</v>
      </c>
      <c r="P4334">
        <v>92</v>
      </c>
    </row>
    <row r="4335" spans="1:16" x14ac:dyDescent="0.25">
      <c r="A4335">
        <v>22000324</v>
      </c>
      <c r="B4335">
        <v>2020</v>
      </c>
      <c r="C4335" t="s">
        <v>32</v>
      </c>
      <c r="D4335" t="s">
        <v>19</v>
      </c>
      <c r="E4335">
        <v>38</v>
      </c>
      <c r="F4335">
        <v>41</v>
      </c>
      <c r="G4335">
        <v>2</v>
      </c>
      <c r="H4335" s="1">
        <v>4.8379629629629632E-3</v>
      </c>
      <c r="I4335" t="s">
        <v>23</v>
      </c>
      <c r="J4335" s="2" t="str">
        <f>HYPERLINK("https://www.nba.com/stats/events?CFID=&amp;CFPARAMS=&amp;GameEventID=212&amp;GameID=0022000324&amp;Season=2020-21&amp;flag=1&amp;title=Leonard%2016'%20pullup%20Jump%20Shot%20(14%20PTS)", "16' pullup Jump Shot (14 PTS)")</f>
        <v>16' pullup Jump Shot (14 PTS)</v>
      </c>
      <c r="K4335" s="2" t="str">
        <f>HYPERLINK("https://www.nba.com/game/...-vs-...-0022000324/play-by-play?watchFullGame=true", "LAC vs BKN - Q2 06:58.00")</f>
        <v>LAC vs BKN - Q2 06:58.00</v>
      </c>
      <c r="L4335">
        <v>16.71</v>
      </c>
      <c r="M4335">
        <v>15.59</v>
      </c>
      <c r="N4335">
        <v>22.37</v>
      </c>
      <c r="O4335">
        <v>138</v>
      </c>
      <c r="P4335">
        <v>94</v>
      </c>
    </row>
    <row r="4336" spans="1:16" x14ac:dyDescent="0.25">
      <c r="A4336">
        <v>21300100</v>
      </c>
      <c r="B4336">
        <v>2013</v>
      </c>
      <c r="C4336" t="s">
        <v>32</v>
      </c>
      <c r="D4336" t="s">
        <v>29</v>
      </c>
      <c r="E4336">
        <v>46</v>
      </c>
      <c r="F4336">
        <v>73</v>
      </c>
      <c r="G4336">
        <v>3</v>
      </c>
      <c r="H4336" s="1">
        <v>4.43287037037037E-3</v>
      </c>
      <c r="I4336" t="s">
        <v>18</v>
      </c>
      <c r="J4336" s="2" t="str">
        <f>HYPERLINK("https://www.nba.com/stats/events?CFID=&amp;CFPARAMS=&amp;GameEventID=262&amp;GameID=0021300100&amp;Season=2013-14&amp;flag=1&amp;title=Leonard%2017'%20Pullup%20Jump%20Shot%20(13%20PTS)%20(Parker%209%20AST)", "Leonard 17' Pullup Jump Shot (13 PTS) (Parker 9 AST)")</f>
        <v>Leonard 17' Pullup Jump Shot (13 PTS) (Parker 9 AST)</v>
      </c>
      <c r="K4336" s="2" t="str">
        <f>HYPERLINK("https://www.nba.com/game/...-vs-...-0021300100/play-by-play?watchFullGame=true", "SAS vs PHI - Q3 06:23.00")</f>
        <v>SAS vs PHI - Q3 06:23.00</v>
      </c>
      <c r="L4336">
        <v>17</v>
      </c>
      <c r="M4336">
        <v>138</v>
      </c>
      <c r="N4336">
        <v>101</v>
      </c>
      <c r="O4336">
        <v>138</v>
      </c>
      <c r="P4336">
        <v>101</v>
      </c>
    </row>
    <row r="4337" spans="1:16" x14ac:dyDescent="0.25">
      <c r="A4337">
        <v>41300147</v>
      </c>
      <c r="B4337" t="s">
        <v>26</v>
      </c>
      <c r="C4337" t="s">
        <v>32</v>
      </c>
      <c r="D4337" t="s">
        <v>19</v>
      </c>
      <c r="E4337">
        <v>7</v>
      </c>
      <c r="F4337">
        <v>2</v>
      </c>
      <c r="G4337">
        <v>1</v>
      </c>
      <c r="H4337" s="1">
        <v>7.0717592592592594E-3</v>
      </c>
      <c r="I4337" t="s">
        <v>18</v>
      </c>
      <c r="J4337" s="2" t="str">
        <f>HYPERLINK("https://www.nba.com/stats/events?CFID=&amp;CFPARAMS=&amp;GameEventID=13&amp;GameID=0041300147&amp;Season=2013-14&amp;flag=1&amp;title=Leonard%2022'%20Jump%20Shot%20(2%20PTS)", "Leonard 22' Jump Shot (2 PTS)")</f>
        <v>Leonard 22' Jump Shot (2 PTS)</v>
      </c>
      <c r="K4337" s="2" t="str">
        <f>HYPERLINK("https://www.nba.com/game/...-vs-...-0041300147/play-by-play?watchFullGame=true", "SAS vs DAL - Q1 10:11.00")</f>
        <v>SAS vs DAL - Q1 10:11.00</v>
      </c>
      <c r="L4337">
        <v>22</v>
      </c>
      <c r="M4337">
        <v>138</v>
      </c>
      <c r="N4337">
        <v>168</v>
      </c>
      <c r="O4337">
        <v>138</v>
      </c>
      <c r="P4337">
        <v>168</v>
      </c>
    </row>
    <row r="4338" spans="1:16" x14ac:dyDescent="0.25">
      <c r="A4338">
        <v>21500644</v>
      </c>
      <c r="B4338">
        <v>2015</v>
      </c>
      <c r="C4338" t="s">
        <v>16</v>
      </c>
      <c r="D4338" t="s">
        <v>19</v>
      </c>
      <c r="E4338">
        <v>45</v>
      </c>
      <c r="F4338">
        <v>56</v>
      </c>
      <c r="G4338">
        <v>3</v>
      </c>
      <c r="H4338" s="1">
        <v>7.0023148148148145E-3</v>
      </c>
      <c r="I4338" t="s">
        <v>18</v>
      </c>
      <c r="J4338" s="2" t="str">
        <f>HYPERLINK("https://www.nba.com/stats/events?CFID=&amp;CFPARAMS=&amp;GameEventID=264&amp;GameID=0021500644&amp;Season=2015-16&amp;flag=1&amp;title=Leonard%2025'%203PT%20Jump%20Shot%20(14%20PTS)%20(Aldridge%202%20AST)", "Leonard 25' 3PT Jump Shot (14 PTS) (Aldridge 2 AST)")</f>
        <v>Leonard 25' 3PT Jump Shot (14 PTS) (Aldridge 2 AST)</v>
      </c>
      <c r="K4338" s="2" t="str">
        <f>HYPERLINK("https://www.nba.com/game/...-vs-...-0021500644/play-by-play?watchFullGame=true", "SAS vs PHX - Q3 10:05.00")</f>
        <v>SAS vs PHX - Q3 10:05.00</v>
      </c>
      <c r="L4338">
        <v>25</v>
      </c>
      <c r="M4338">
        <v>138</v>
      </c>
      <c r="N4338">
        <v>203</v>
      </c>
      <c r="O4338">
        <v>138</v>
      </c>
      <c r="P4338">
        <v>203</v>
      </c>
    </row>
    <row r="4339" spans="1:16" x14ac:dyDescent="0.25">
      <c r="A4339">
        <v>21901271</v>
      </c>
      <c r="B4339">
        <v>2019</v>
      </c>
      <c r="C4339" t="s">
        <v>16</v>
      </c>
      <c r="D4339" t="s">
        <v>22</v>
      </c>
      <c r="E4339">
        <v>101</v>
      </c>
      <c r="F4339">
        <v>106</v>
      </c>
      <c r="G4339">
        <v>4</v>
      </c>
      <c r="H4339" s="1">
        <v>3.9814814814814817E-3</v>
      </c>
      <c r="I4339" t="s">
        <v>23</v>
      </c>
      <c r="J4339" s="2" t="str">
        <f>HYPERLINK("https://www.nba.com/stats/events?CFID=&amp;CFPARAMS=&amp;GameEventID=577&amp;GameID=0021901271&amp;Season=2019-20&amp;flag=1&amp;title=Leonard%2026'%203PT%20%20(27%20PTS)", "26' 3PT  (27 PTS)")</f>
        <v>26' 3PT  (27 PTS)</v>
      </c>
      <c r="K4339" s="2" t="str">
        <f>HYPERLINK("https://www.nba.com/game/...-vs-...-0021901271/play-by-play?watchFullGame=true", "LAC vs DAL - Q4 05:44.00")</f>
        <v>LAC vs DAL - Q4 05:44.00</v>
      </c>
      <c r="L4339">
        <v>25.55</v>
      </c>
      <c r="M4339">
        <v>72.09</v>
      </c>
      <c r="N4339">
        <v>77.52</v>
      </c>
      <c r="O4339">
        <v>138</v>
      </c>
      <c r="P4339">
        <v>210</v>
      </c>
    </row>
    <row r="4340" spans="1:16" x14ac:dyDescent="0.25">
      <c r="A4340">
        <v>21600834</v>
      </c>
      <c r="B4340">
        <v>2016</v>
      </c>
      <c r="C4340" t="s">
        <v>16</v>
      </c>
      <c r="D4340" t="s">
        <v>17</v>
      </c>
      <c r="E4340">
        <v>23</v>
      </c>
      <c r="F4340">
        <v>44</v>
      </c>
      <c r="G4340">
        <v>2</v>
      </c>
      <c r="H4340" s="1">
        <v>3.3796296296296296E-3</v>
      </c>
      <c r="I4340" t="s">
        <v>18</v>
      </c>
      <c r="J4340" s="2" t="str">
        <f>HYPERLINK("https://www.nba.com/stats/events?CFID=&amp;CFPARAMS=&amp;GameEventID=216&amp;GameID=0021600834&amp;Season=2016-17&amp;flag=1&amp;title=Leonard%2026'%203PT%20Running%20Jump%20Shot%20(11%20PTS)", "Leonard 26' 3PT Running Jump Shot (11 PTS)")</f>
        <v>Leonard 26' 3PT Running Jump Shot (11 PTS)</v>
      </c>
      <c r="K4340" s="2" t="str">
        <f>HYPERLINK("https://www.nba.com/game/...-vs-...-0021600834/play-by-play?watchFullGame=true", "SAS vs ORL - Q2 04:52.00")</f>
        <v>SAS vs ORL - Q2 04:52.00</v>
      </c>
      <c r="L4340">
        <v>26</v>
      </c>
      <c r="M4340">
        <v>138</v>
      </c>
      <c r="N4340">
        <v>218</v>
      </c>
      <c r="O4340">
        <v>138</v>
      </c>
      <c r="P4340">
        <v>218</v>
      </c>
    </row>
    <row r="4341" spans="1:16" x14ac:dyDescent="0.25">
      <c r="A4341">
        <v>21600053</v>
      </c>
      <c r="B4341">
        <v>2016</v>
      </c>
      <c r="C4341" t="s">
        <v>16</v>
      </c>
      <c r="D4341" t="s">
        <v>19</v>
      </c>
      <c r="E4341">
        <v>37</v>
      </c>
      <c r="F4341">
        <v>47</v>
      </c>
      <c r="G4341">
        <v>2</v>
      </c>
      <c r="H4341" s="1">
        <v>4.2245370370370371E-3</v>
      </c>
      <c r="I4341" t="s">
        <v>18</v>
      </c>
      <c r="J4341" s="2" t="str">
        <f>HYPERLINK("https://www.nba.com/stats/events?CFID=&amp;CFPARAMS=&amp;GameEventID=171&amp;GameID=0021600053&amp;Season=2016-17&amp;flag=1&amp;title=Leonard%2026'%203PT%20Jump%20Shot%20(11%20PTS)%20(Parker%204%20AST)", "Leonard 26' 3PT Jump Shot (11 PTS) (Parker 4 AST)")</f>
        <v>Leonard 26' 3PT Jump Shot (11 PTS) (Parker 4 AST)</v>
      </c>
      <c r="K4341" s="2" t="str">
        <f>HYPERLINK("https://www.nba.com/game/...-vs-...-0021600053/play-by-play?watchFullGame=true", "SAS vs UTA - Q2 06:05.00")</f>
        <v>SAS vs UTA - Q2 06:05.00</v>
      </c>
      <c r="L4341">
        <v>26</v>
      </c>
      <c r="M4341">
        <v>138</v>
      </c>
      <c r="N4341">
        <v>224</v>
      </c>
      <c r="O4341">
        <v>138</v>
      </c>
      <c r="P4341">
        <v>224</v>
      </c>
    </row>
    <row r="4342" spans="1:16" x14ac:dyDescent="0.25">
      <c r="A4342">
        <v>22200902</v>
      </c>
      <c r="B4342">
        <v>2022</v>
      </c>
      <c r="C4342" t="s">
        <v>16</v>
      </c>
      <c r="D4342" t="s">
        <v>19</v>
      </c>
      <c r="E4342">
        <v>86</v>
      </c>
      <c r="F4342">
        <v>78</v>
      </c>
      <c r="G4342">
        <v>3</v>
      </c>
      <c r="H4342" s="1">
        <v>7.1064814814814819E-3</v>
      </c>
      <c r="I4342" t="s">
        <v>23</v>
      </c>
      <c r="J4342" s="2" t="str">
        <f>HYPERLINK("https://www.nba.com/stats/events?CFID=&amp;CFPARAMS=&amp;GameEventID=372&amp;GameID=0022200902&amp;Season=2022-23&amp;flag=1&amp;title=Leonard%2027'%203PT%20%20(23%20PTS)%20(R.%20Westbrook%208%20AST)", "27' 3PT  (23 PTS) (R. Westbrook 8 AST)")</f>
        <v>27' 3PT  (23 PTS) (R. Westbrook 8 AST)</v>
      </c>
      <c r="K4342" s="2" t="str">
        <f>HYPERLINK("https://www.nba.com/game/...-vs-...-0022200902/play-by-play?watchFullGame=true", "LAC vs SAC - Q3 10:14.00")</f>
        <v>LAC vs SAC - Q3 10:14.00</v>
      </c>
      <c r="L4342">
        <v>27.45</v>
      </c>
      <c r="M4342">
        <v>30.8</v>
      </c>
      <c r="N4342">
        <v>22.3</v>
      </c>
      <c r="O4342">
        <v>138</v>
      </c>
      <c r="P4342">
        <v>237</v>
      </c>
    </row>
    <row r="4343" spans="1:16" x14ac:dyDescent="0.25">
      <c r="A4343">
        <v>22400927</v>
      </c>
      <c r="B4343">
        <v>2024</v>
      </c>
      <c r="C4343" t="s">
        <v>16</v>
      </c>
      <c r="D4343" t="s">
        <v>19</v>
      </c>
      <c r="E4343">
        <v>10</v>
      </c>
      <c r="F4343">
        <v>10</v>
      </c>
      <c r="G4343">
        <v>1</v>
      </c>
      <c r="H4343" s="1">
        <v>4.7453703703703703E-3</v>
      </c>
      <c r="I4343" t="s">
        <v>23</v>
      </c>
      <c r="J4343" s="2" t="str">
        <f>HYPERLINK("https://www.nba.com/stats/events?CFID=&amp;CFPARAMS=&amp;GameEventID=52&amp;GameID=0022400927&amp;Season=2024-25&amp;flag=1&amp;title=Leonard%2027'%203PT%20%20(3%20PTS)%20(J.%20Harden%201%20AST)", "27' 3PT  (3 PTS) (J. Harden 1 AST)")</f>
        <v>27' 3PT  (3 PTS) (J. Harden 1 AST)</v>
      </c>
      <c r="K4343" s="2" t="str">
        <f>HYPERLINK("https://www.nba.com/game/...-vs-...-0022400927/play-by-play?watchFullGame=true", "LAC vs SAC - Q1 06:50.00")</f>
        <v>LAC vs SAC - Q1 06:50.00</v>
      </c>
      <c r="L4343">
        <v>27.45</v>
      </c>
      <c r="M4343">
        <v>69.2</v>
      </c>
      <c r="N4343">
        <v>77.7</v>
      </c>
      <c r="O4343">
        <v>138</v>
      </c>
      <c r="P4343">
        <v>237</v>
      </c>
    </row>
    <row r="4344" spans="1:16" x14ac:dyDescent="0.25">
      <c r="A4344">
        <v>22000488</v>
      </c>
      <c r="B4344">
        <v>2020</v>
      </c>
      <c r="C4344" t="s">
        <v>32</v>
      </c>
      <c r="D4344" t="s">
        <v>19</v>
      </c>
      <c r="E4344">
        <v>80</v>
      </c>
      <c r="F4344">
        <v>62</v>
      </c>
      <c r="G4344">
        <v>3</v>
      </c>
      <c r="H4344" s="1">
        <v>7.1759259259259259E-3</v>
      </c>
      <c r="I4344" t="s">
        <v>23</v>
      </c>
      <c r="J4344" s="2" t="str">
        <f>HYPERLINK("https://www.nba.com/stats/events?CFID=&amp;CFPARAMS=&amp;GameEventID=341&amp;GameID=0022000488&amp;Season=2020-21&amp;flag=1&amp;title=Leonard%2016'%20step%20back%20Jump%20Shot%20(21%20PTS)", "16' step back Jump Shot (21 PTS)")</f>
        <v>16' step back Jump Shot (21 PTS)</v>
      </c>
      <c r="K4344" s="2" t="str">
        <f>HYPERLINK("https://www.nba.com/game/...-vs-...-0022000488/play-by-play?watchFullGame=true", "LAC vs WAS - Q3 10:20.00")</f>
        <v>LAC vs WAS - Q3 10:20.00</v>
      </c>
      <c r="L4344">
        <v>16.75</v>
      </c>
      <c r="M4344">
        <v>15.46</v>
      </c>
      <c r="N4344">
        <v>22.13</v>
      </c>
      <c r="O4344">
        <v>139</v>
      </c>
      <c r="P4344">
        <v>93</v>
      </c>
    </row>
    <row r="4345" spans="1:16" x14ac:dyDescent="0.25">
      <c r="A4345">
        <v>41800305</v>
      </c>
      <c r="B4345" t="s">
        <v>20</v>
      </c>
      <c r="C4345" t="s">
        <v>32</v>
      </c>
      <c r="D4345" t="s">
        <v>29</v>
      </c>
      <c r="E4345">
        <v>34</v>
      </c>
      <c r="F4345">
        <v>38</v>
      </c>
      <c r="G4345">
        <v>2</v>
      </c>
      <c r="H4345" s="1">
        <v>3.1944444444444446E-3</v>
      </c>
      <c r="I4345" t="s">
        <v>21</v>
      </c>
      <c r="J4345" s="2" t="str">
        <f>HYPERLINK("https://www.nba.com/stats/events?CFID=&amp;CFPARAMS=&amp;GameEventID=270&amp;GameID=0041800305&amp;Season=2018-19&amp;flag=1&amp;title=Leonard%2019'%20Pullup%20Jump%20Shot%20(13%20PTS)", "Leonard 19' Pullup Jump Shot (13 PTS)")</f>
        <v>Leonard 19' Pullup Jump Shot (13 PTS)</v>
      </c>
      <c r="K4345" s="2" t="str">
        <f>HYPERLINK("https://www.nba.com/game/...-vs-...-0041800305/play-by-play?watchFullGame=true", "TOR vs MIL - Q2 04:36.00")</f>
        <v>TOR vs MIL - Q2 04:36.00</v>
      </c>
      <c r="L4345">
        <v>19</v>
      </c>
      <c r="M4345">
        <v>139</v>
      </c>
      <c r="N4345">
        <v>124</v>
      </c>
      <c r="O4345">
        <v>139</v>
      </c>
      <c r="P4345">
        <v>124</v>
      </c>
    </row>
    <row r="4346" spans="1:16" x14ac:dyDescent="0.25">
      <c r="A4346">
        <v>22000009</v>
      </c>
      <c r="B4346">
        <v>2020</v>
      </c>
      <c r="C4346" t="s">
        <v>32</v>
      </c>
      <c r="D4346" t="s">
        <v>19</v>
      </c>
      <c r="E4346">
        <v>85</v>
      </c>
      <c r="F4346">
        <v>100</v>
      </c>
      <c r="G4346">
        <v>4</v>
      </c>
      <c r="H4346" s="1">
        <v>7.3032407407407404E-3</v>
      </c>
      <c r="I4346" t="s">
        <v>23</v>
      </c>
      <c r="J4346" s="2" t="str">
        <f>HYPERLINK("https://www.nba.com/stats/events?CFID=&amp;CFPARAMS=&amp;GameEventID=594&amp;GameID=0022000009&amp;Season=2020-21&amp;flag=1&amp;title=Leonard%2018'%20pullup%20Jump%20Shot%20(19%20PTS)%20(R.%20Jackson%203%20AST)", "18' pullup Jump Shot (19 PTS) (R. Jackson 3 AST)")</f>
        <v>18' pullup Jump Shot (19 PTS) (R. Jackson 3 AST)</v>
      </c>
      <c r="K4346" s="2" t="str">
        <f>HYPERLINK("https://www.nba.com/game/...-vs-...-0022000009/play-by-play?watchFullGame=true", "LAC vs DEN - Q4 10:31.00")</f>
        <v>LAC vs DEN - Q4 10:31.00</v>
      </c>
      <c r="L4346">
        <v>18.649999999999999</v>
      </c>
      <c r="M4346">
        <v>81.16</v>
      </c>
      <c r="N4346">
        <v>77.77</v>
      </c>
      <c r="O4346">
        <v>139</v>
      </c>
      <c r="P4346">
        <v>125</v>
      </c>
    </row>
    <row r="4347" spans="1:16" x14ac:dyDescent="0.25">
      <c r="A4347">
        <v>21600817</v>
      </c>
      <c r="B4347">
        <v>2016</v>
      </c>
      <c r="C4347" t="s">
        <v>32</v>
      </c>
      <c r="D4347" t="s">
        <v>17</v>
      </c>
      <c r="E4347">
        <v>88</v>
      </c>
      <c r="F4347">
        <v>86</v>
      </c>
      <c r="G4347">
        <v>4</v>
      </c>
      <c r="H4347" s="1">
        <v>1.0879629629629629E-3</v>
      </c>
      <c r="I4347" t="s">
        <v>18</v>
      </c>
      <c r="J4347" s="2" t="str">
        <f>HYPERLINK("https://www.nba.com/stats/events?CFID=&amp;CFPARAMS=&amp;GameEventID=497&amp;GameID=0021600817&amp;Season=2016-17&amp;flag=1&amp;title=Leonard%2014'%20Running%20Jump%20Shot%20(34%20PTS)", "Leonard 14' Running Jump Shot (34 PTS)")</f>
        <v>Leonard 14' Running Jump Shot (34 PTS)</v>
      </c>
      <c r="K4347" s="2" t="str">
        <f>HYPERLINK("https://www.nba.com/game/...-vs-...-0021600817/play-by-play?watchFullGame=true", "SAS vs NYK - Q4 01:34.00")</f>
        <v>SAS vs NYK - Q4 01:34.00</v>
      </c>
      <c r="L4347">
        <v>14</v>
      </c>
      <c r="M4347">
        <v>140</v>
      </c>
      <c r="N4347">
        <v>-24</v>
      </c>
      <c r="O4347">
        <v>140</v>
      </c>
      <c r="P4347">
        <v>-24</v>
      </c>
    </row>
    <row r="4348" spans="1:16" x14ac:dyDescent="0.25">
      <c r="A4348">
        <v>21600902</v>
      </c>
      <c r="B4348">
        <v>2016</v>
      </c>
      <c r="C4348" t="s">
        <v>32</v>
      </c>
      <c r="D4348" t="s">
        <v>19</v>
      </c>
      <c r="E4348">
        <v>93</v>
      </c>
      <c r="F4348">
        <v>91</v>
      </c>
      <c r="G4348">
        <v>4</v>
      </c>
      <c r="H4348" s="1">
        <v>3.2175925925925926E-3</v>
      </c>
      <c r="I4348" t="s">
        <v>18</v>
      </c>
      <c r="J4348" s="2" t="str">
        <f>HYPERLINK("https://www.nba.com/stats/events?CFID=&amp;CFPARAMS=&amp;GameEventID=473&amp;GameID=0021600902&amp;Season=2016-17&amp;flag=1&amp;title=Leonard%2014'%20Jump%20Shot%20(24%20PTS)", "Leonard 14' Jump Shot (24 PTS)")</f>
        <v>Leonard 14' Jump Shot (24 PTS)</v>
      </c>
      <c r="K4348" s="2" t="str">
        <f>HYPERLINK("https://www.nba.com/game/...-vs-...-0021600902/play-by-play?watchFullGame=true", "SAS vs IND - Q4 04:38.00")</f>
        <v>SAS vs IND - Q4 04:38.00</v>
      </c>
      <c r="L4348">
        <v>14</v>
      </c>
      <c r="M4348">
        <v>140</v>
      </c>
      <c r="N4348">
        <v>-15</v>
      </c>
      <c r="O4348">
        <v>140</v>
      </c>
      <c r="P4348">
        <v>-15</v>
      </c>
    </row>
    <row r="4349" spans="1:16" x14ac:dyDescent="0.25">
      <c r="A4349">
        <v>21401098</v>
      </c>
      <c r="B4349">
        <v>2014</v>
      </c>
      <c r="C4349" t="s">
        <v>32</v>
      </c>
      <c r="D4349" t="s">
        <v>24</v>
      </c>
      <c r="E4349">
        <v>74</v>
      </c>
      <c r="F4349">
        <v>66</v>
      </c>
      <c r="G4349">
        <v>4</v>
      </c>
      <c r="H4349" s="1">
        <v>7.7314814814814815E-3</v>
      </c>
      <c r="I4349" t="s">
        <v>18</v>
      </c>
      <c r="J4349" s="2" t="str">
        <f>HYPERLINK("https://www.nba.com/stats/events?CFID=&amp;CFPARAMS=&amp;GameEventID=357&amp;GameID=0021401098&amp;Season=2014-15&amp;flag=1&amp;title=Leonard%2014'%20Turnaround%20Jump%20Shot%20(14%20PTS)", "Leonard 14' Turnaround Jump Shot (14 PTS)")</f>
        <v>Leonard 14' Turnaround Jump Shot (14 PTS)</v>
      </c>
      <c r="K4349" s="2" t="str">
        <f>HYPERLINK("https://www.nba.com/game/...-vs-...-0021401098/play-by-play?watchFullGame=true", "SAS vs MEM - Q4 11:08.00")</f>
        <v>SAS vs MEM - Q4 11:08.00</v>
      </c>
      <c r="L4349">
        <v>14</v>
      </c>
      <c r="M4349">
        <v>140</v>
      </c>
      <c r="N4349">
        <v>-13</v>
      </c>
      <c r="O4349">
        <v>140</v>
      </c>
      <c r="P4349">
        <v>-13</v>
      </c>
    </row>
    <row r="4350" spans="1:16" x14ac:dyDescent="0.25">
      <c r="A4350">
        <v>21600016</v>
      </c>
      <c r="B4350">
        <v>2016</v>
      </c>
      <c r="C4350" t="s">
        <v>32</v>
      </c>
      <c r="D4350" t="s">
        <v>33</v>
      </c>
      <c r="E4350">
        <v>89</v>
      </c>
      <c r="F4350">
        <v>98</v>
      </c>
      <c r="G4350">
        <v>4</v>
      </c>
      <c r="H4350" s="1">
        <v>1.3194444444444445E-3</v>
      </c>
      <c r="I4350" t="s">
        <v>18</v>
      </c>
      <c r="J4350" s="2" t="str">
        <f>HYPERLINK("https://www.nba.com/stats/events?CFID=&amp;CFPARAMS=&amp;GameEventID=536&amp;GameID=0021600016&amp;Season=2016-17&amp;flag=1&amp;title=Leonard%2014'%20Fadeaway%20Jumper%20(28%20PTS)", "Leonard 14' Fadeaway Jumper (28 PTS)")</f>
        <v>Leonard 14' Fadeaway Jumper (28 PTS)</v>
      </c>
      <c r="K4350" s="2" t="str">
        <f>HYPERLINK("https://www.nba.com/game/...-vs-...-0021600016/play-by-play?watchFullGame=true", "SAS vs SAC - Q4 01:54.00")</f>
        <v>SAS vs SAC - Q4 01:54.00</v>
      </c>
      <c r="L4350">
        <v>14</v>
      </c>
      <c r="M4350">
        <v>140</v>
      </c>
      <c r="N4350">
        <v>7</v>
      </c>
      <c r="O4350">
        <v>140</v>
      </c>
      <c r="P4350">
        <v>7</v>
      </c>
    </row>
    <row r="4351" spans="1:16" x14ac:dyDescent="0.25">
      <c r="A4351">
        <v>21500347</v>
      </c>
      <c r="B4351">
        <v>2015</v>
      </c>
      <c r="C4351" t="s">
        <v>32</v>
      </c>
      <c r="D4351" t="s">
        <v>29</v>
      </c>
      <c r="E4351">
        <v>33</v>
      </c>
      <c r="F4351">
        <v>55</v>
      </c>
      <c r="G4351">
        <v>3</v>
      </c>
      <c r="H4351" s="1">
        <v>6.2615740740740739E-3</v>
      </c>
      <c r="I4351" t="s">
        <v>18</v>
      </c>
      <c r="J4351" s="2" t="str">
        <f>HYPERLINK("https://www.nba.com/stats/events?CFID=&amp;CFPARAMS=&amp;GameEventID=289&amp;GameID=0021500347&amp;Season=2015-16&amp;flag=1&amp;title=Leonard%2015'%20Pullup%20Jump%20Shot%20(15%20PTS)%20(Parker%202%20AST)", "Leonard 15' Pullup Jump Shot (15 PTS) (Parker 2 AST)")</f>
        <v>Leonard 15' Pullup Jump Shot (15 PTS) (Parker 2 AST)</v>
      </c>
      <c r="K4351" s="2" t="str">
        <f>HYPERLINK("https://www.nba.com/game/...-vs-...-0021500347/play-by-play?watchFullGame=true", "SAS vs ATL - Q3 09:01.00")</f>
        <v>SAS vs ATL - Q3 09:01.00</v>
      </c>
      <c r="L4351">
        <v>15</v>
      </c>
      <c r="M4351">
        <v>140</v>
      </c>
      <c r="N4351">
        <v>51</v>
      </c>
      <c r="O4351">
        <v>140</v>
      </c>
      <c r="P4351">
        <v>51</v>
      </c>
    </row>
    <row r="4352" spans="1:16" x14ac:dyDescent="0.25">
      <c r="A4352">
        <v>21601056</v>
      </c>
      <c r="B4352">
        <v>2016</v>
      </c>
      <c r="C4352" t="s">
        <v>32</v>
      </c>
      <c r="D4352" t="s">
        <v>19</v>
      </c>
      <c r="E4352">
        <v>62</v>
      </c>
      <c r="F4352">
        <v>70</v>
      </c>
      <c r="G4352">
        <v>3</v>
      </c>
      <c r="H4352" s="1">
        <v>1.0648148148148149E-3</v>
      </c>
      <c r="I4352" t="s">
        <v>18</v>
      </c>
      <c r="J4352" s="2" t="str">
        <f>HYPERLINK("https://www.nba.com/stats/events?CFID=&amp;CFPARAMS=&amp;GameEventID=349&amp;GameID=0021601056&amp;Season=2016-17&amp;flag=1&amp;title=Leonard%2016'%20Jump%20Shot%20(14%20PTS)%20(Mills%203%20AST)", "Leonard 16' Jump Shot (14 PTS) (Mills 3 AST)")</f>
        <v>Leonard 16' Jump Shot (14 PTS) (Mills 3 AST)</v>
      </c>
      <c r="K4352" s="2" t="str">
        <f>HYPERLINK("https://www.nba.com/game/...-vs-...-0021601056/play-by-play?watchFullGame=true", "SAS vs MIN - Q3 01:32.00")</f>
        <v>SAS vs MIN - Q3 01:32.00</v>
      </c>
      <c r="L4352">
        <v>16</v>
      </c>
      <c r="M4352">
        <v>140</v>
      </c>
      <c r="N4352">
        <v>72</v>
      </c>
      <c r="O4352">
        <v>140</v>
      </c>
      <c r="P4352">
        <v>72</v>
      </c>
    </row>
    <row r="4353" spans="1:16" x14ac:dyDescent="0.25">
      <c r="A4353">
        <v>22201096</v>
      </c>
      <c r="B4353">
        <v>2022</v>
      </c>
      <c r="C4353" t="s">
        <v>32</v>
      </c>
      <c r="D4353" t="s">
        <v>19</v>
      </c>
      <c r="E4353">
        <v>36</v>
      </c>
      <c r="F4353">
        <v>29</v>
      </c>
      <c r="G4353">
        <v>1</v>
      </c>
      <c r="H4353" s="1">
        <v>1.1574074074074075E-4</v>
      </c>
      <c r="I4353" t="s">
        <v>23</v>
      </c>
      <c r="J4353" s="2" t="str">
        <f>HYPERLINK("https://www.nba.com/stats/events?CFID=&amp;CFPARAMS=&amp;GameEventID=148&amp;GameID=0022201096&amp;Season=2022-23&amp;flag=1&amp;title=Leonard%2016'%20Jump%20Shot%20(15%20PTS)%20(N.%20Batum%201%20AST)", "16' Jump Shot (15 PTS) (N. Batum 1 AST)")</f>
        <v>16' Jump Shot (15 PTS) (N. Batum 1 AST)</v>
      </c>
      <c r="K4353" s="2" t="str">
        <f>HYPERLINK("https://www.nba.com/game/...-vs-...-0022201096/play-by-play?watchFullGame=true", "LAC vs OKC - Q1 00:10.00")</f>
        <v>LAC vs OKC - Q1 00:10.00</v>
      </c>
      <c r="L4353">
        <v>16.18</v>
      </c>
      <c r="M4353">
        <v>85.73</v>
      </c>
      <c r="N4353">
        <v>77.94</v>
      </c>
      <c r="O4353">
        <v>140</v>
      </c>
      <c r="P4353">
        <v>82</v>
      </c>
    </row>
    <row r="4354" spans="1:16" x14ac:dyDescent="0.25">
      <c r="A4354">
        <v>21600817</v>
      </c>
      <c r="B4354">
        <v>2016</v>
      </c>
      <c r="C4354" t="s">
        <v>32</v>
      </c>
      <c r="D4354" t="s">
        <v>19</v>
      </c>
      <c r="E4354">
        <v>80</v>
      </c>
      <c r="F4354">
        <v>77</v>
      </c>
      <c r="G4354">
        <v>4</v>
      </c>
      <c r="H4354" s="1">
        <v>3.472222222222222E-3</v>
      </c>
      <c r="I4354" t="s">
        <v>18</v>
      </c>
      <c r="J4354" s="2" t="str">
        <f>HYPERLINK("https://www.nba.com/stats/events?CFID=&amp;CFPARAMS=&amp;GameEventID=449&amp;GameID=0021600817&amp;Season=2016-17&amp;flag=1&amp;title=Leonard%2018'%20Jump%20Shot%20(27%20PTS)%20(Lee%201%20AST)", "Leonard 18' Jump Shot (27 PTS) (Lee 1 AST)")</f>
        <v>Leonard 18' Jump Shot (27 PTS) (Lee 1 AST)</v>
      </c>
      <c r="K4354" s="2" t="str">
        <f>HYPERLINK("https://www.nba.com/game/...-vs-...-0021600817/play-by-play?watchFullGame=true", "SAS vs NYK - Q4 05:00.00")</f>
        <v>SAS vs NYK - Q4 05:00.00</v>
      </c>
      <c r="L4354">
        <v>18</v>
      </c>
      <c r="M4354">
        <v>140</v>
      </c>
      <c r="N4354">
        <v>110</v>
      </c>
      <c r="O4354">
        <v>140</v>
      </c>
      <c r="P4354">
        <v>110</v>
      </c>
    </row>
    <row r="4355" spans="1:16" x14ac:dyDescent="0.25">
      <c r="A4355">
        <v>21500450</v>
      </c>
      <c r="B4355">
        <v>2015</v>
      </c>
      <c r="C4355" t="s">
        <v>32</v>
      </c>
      <c r="D4355" t="s">
        <v>19</v>
      </c>
      <c r="E4355">
        <v>12</v>
      </c>
      <c r="F4355">
        <v>8</v>
      </c>
      <c r="G4355">
        <v>1</v>
      </c>
      <c r="H4355" s="1">
        <v>4.8842592592592592E-3</v>
      </c>
      <c r="I4355" t="s">
        <v>18</v>
      </c>
      <c r="J4355" s="2" t="str">
        <f>HYPERLINK("https://www.nba.com/stats/events?CFID=&amp;CFPARAMS=&amp;GameEventID=43&amp;GameID=0021500450&amp;Season=2015-16&amp;flag=1&amp;title=Leonard%2019'%20Jump%20Shot%20(6%20PTS)%20(West%201%20AST)", "Leonard 19' Jump Shot (6 PTS) (West 1 AST)")</f>
        <v>Leonard 19' Jump Shot (6 PTS) (West 1 AST)</v>
      </c>
      <c r="K4355" s="2" t="str">
        <f>HYPERLINK("https://www.nba.com/game/...-vs-...-0021500450/play-by-play?watchFullGame=true", "SAS vs DEN - Q1 07:02.00")</f>
        <v>SAS vs DEN - Q1 07:02.00</v>
      </c>
      <c r="L4355">
        <v>19</v>
      </c>
      <c r="M4355">
        <v>140</v>
      </c>
      <c r="N4355">
        <v>134</v>
      </c>
      <c r="O4355">
        <v>140</v>
      </c>
      <c r="P4355">
        <v>134</v>
      </c>
    </row>
    <row r="4356" spans="1:16" x14ac:dyDescent="0.25">
      <c r="A4356">
        <v>21400177</v>
      </c>
      <c r="B4356">
        <v>2014</v>
      </c>
      <c r="C4356" t="s">
        <v>32</v>
      </c>
      <c r="D4356" t="s">
        <v>19</v>
      </c>
      <c r="E4356">
        <v>6</v>
      </c>
      <c r="F4356">
        <v>8</v>
      </c>
      <c r="G4356">
        <v>1</v>
      </c>
      <c r="H4356" s="1">
        <v>6.4699074074074077E-3</v>
      </c>
      <c r="I4356" t="s">
        <v>18</v>
      </c>
      <c r="J4356" s="2" t="str">
        <f>HYPERLINK("https://www.nba.com/stats/events?CFID=&amp;CFPARAMS=&amp;GameEventID=20&amp;GameID=0021400177&amp;Season=2014-15&amp;flag=1&amp;title=Leonard%2021'%20Jump%20Shot%20(2%20PTS)", "Leonard 21' Jump Shot (2 PTS)")</f>
        <v>Leonard 21' Jump Shot (2 PTS)</v>
      </c>
      <c r="K4356" s="2" t="str">
        <f>HYPERLINK("https://www.nba.com/game/...-vs-...-0021400177/play-by-play?watchFullGame=true", "SAS vs MIN - Q1 09:19.00")</f>
        <v>SAS vs MIN - Q1 09:19.00</v>
      </c>
      <c r="L4356">
        <v>21</v>
      </c>
      <c r="M4356">
        <v>140</v>
      </c>
      <c r="N4356">
        <v>157</v>
      </c>
      <c r="O4356">
        <v>140</v>
      </c>
      <c r="P4356">
        <v>157</v>
      </c>
    </row>
    <row r="4357" spans="1:16" x14ac:dyDescent="0.25">
      <c r="A4357">
        <v>22300264</v>
      </c>
      <c r="B4357">
        <v>2023</v>
      </c>
      <c r="C4357" t="s">
        <v>16</v>
      </c>
      <c r="D4357" t="s">
        <v>19</v>
      </c>
      <c r="E4357">
        <v>50</v>
      </c>
      <c r="F4357">
        <v>68</v>
      </c>
      <c r="G4357">
        <v>2</v>
      </c>
      <c r="H4357" s="1">
        <v>1.2731481481481483E-3</v>
      </c>
      <c r="I4357" t="s">
        <v>23</v>
      </c>
      <c r="J4357" s="2" t="str">
        <f>HYPERLINK("https://www.nba.com/stats/events?CFID=&amp;CFPARAMS=&amp;GameEventID=338&amp;GameID=0022300264&amp;Season=2023-24&amp;flag=1&amp;title=Leonard%2024'%203PT%20pullup%20(14%20PTS)", "24' 3PT pullup (14 PTS)")</f>
        <v>24' 3PT pullup (14 PTS)</v>
      </c>
      <c r="K4357" s="2" t="str">
        <f>HYPERLINK("https://www.nba.com/game/...-vs-...-0022300264/play-by-play?watchFullGame=true", "LAC vs SAC - Q2 01:50.00")</f>
        <v>LAC vs SAC - Q2 01:50.00</v>
      </c>
      <c r="L4357">
        <v>24.31</v>
      </c>
      <c r="M4357">
        <v>26.76</v>
      </c>
      <c r="N4357">
        <v>22.06</v>
      </c>
      <c r="O4357">
        <v>140</v>
      </c>
      <c r="P4357">
        <v>199</v>
      </c>
    </row>
    <row r="4358" spans="1:16" x14ac:dyDescent="0.25">
      <c r="A4358">
        <v>21500156</v>
      </c>
      <c r="B4358">
        <v>2015</v>
      </c>
      <c r="C4358" t="s">
        <v>16</v>
      </c>
      <c r="D4358" t="s">
        <v>19</v>
      </c>
      <c r="E4358">
        <v>39</v>
      </c>
      <c r="F4358">
        <v>30</v>
      </c>
      <c r="G4358">
        <v>3</v>
      </c>
      <c r="H4358" s="1">
        <v>7.8935185185185185E-3</v>
      </c>
      <c r="I4358" t="s">
        <v>18</v>
      </c>
      <c r="J4358" s="2" t="str">
        <f>HYPERLINK("https://www.nba.com/stats/events?CFID=&amp;CFPARAMS=&amp;GameEventID=254&amp;GameID=0021500156&amp;Season=2015-16&amp;flag=1&amp;title=Leonard%2025'%203PT%20Jump%20Shot%20(9%20PTS)%20(Parker%203%20AST)", "Leonard 25' 3PT Jump Shot (9 PTS) (Parker 3 AST)")</f>
        <v>Leonard 25' 3PT Jump Shot (9 PTS) (Parker 3 AST)</v>
      </c>
      <c r="K4358" s="2" t="str">
        <f>HYPERLINK("https://www.nba.com/game/...-vs-...-0021500156/play-by-play?watchFullGame=true", "SAS vs POR - Q3 11:22.00")</f>
        <v>SAS vs POR - Q3 11:22.00</v>
      </c>
      <c r="L4358">
        <v>25</v>
      </c>
      <c r="M4358">
        <v>140</v>
      </c>
      <c r="N4358">
        <v>208</v>
      </c>
      <c r="O4358">
        <v>140</v>
      </c>
      <c r="P4358">
        <v>208</v>
      </c>
    </row>
    <row r="4359" spans="1:16" x14ac:dyDescent="0.25">
      <c r="A4359">
        <v>21500323</v>
      </c>
      <c r="B4359">
        <v>2015</v>
      </c>
      <c r="C4359" t="s">
        <v>16</v>
      </c>
      <c r="D4359" t="s">
        <v>19</v>
      </c>
      <c r="E4359">
        <v>89</v>
      </c>
      <c r="F4359">
        <v>83</v>
      </c>
      <c r="G4359">
        <v>4</v>
      </c>
      <c r="H4359" s="1">
        <v>3.2870370370370371E-3</v>
      </c>
      <c r="I4359" t="s">
        <v>18</v>
      </c>
      <c r="J4359" s="2" t="str">
        <f>HYPERLINK("https://www.nba.com/stats/events?CFID=&amp;CFPARAMS=&amp;GameEventID=456&amp;GameID=0021500323&amp;Season=2015-16&amp;flag=1&amp;title=Leonard%2025'%203PT%20Jump%20Shot%20(7%20PTS)%20(Ginobili%202%20AST)", "Leonard 25' 3PT Jump Shot (7 PTS) (Ginobili 2 AST)")</f>
        <v>Leonard 25' 3PT Jump Shot (7 PTS) (Ginobili 2 AST)</v>
      </c>
      <c r="K4359" s="2" t="str">
        <f>HYPERLINK("https://www.nba.com/game/...-vs-...-0021500323/play-by-play?watchFullGame=true", "SAS vs TOR - Q4 04:44.00")</f>
        <v>SAS vs TOR - Q4 04:44.00</v>
      </c>
      <c r="L4359">
        <v>25</v>
      </c>
      <c r="M4359">
        <v>140</v>
      </c>
      <c r="N4359">
        <v>213</v>
      </c>
      <c r="O4359">
        <v>140</v>
      </c>
      <c r="P4359">
        <v>213</v>
      </c>
    </row>
    <row r="4360" spans="1:16" x14ac:dyDescent="0.25">
      <c r="A4360">
        <v>21600114</v>
      </c>
      <c r="B4360">
        <v>2016</v>
      </c>
      <c r="C4360" t="s">
        <v>16</v>
      </c>
      <c r="D4360" t="s">
        <v>19</v>
      </c>
      <c r="E4360">
        <v>60</v>
      </c>
      <c r="F4360">
        <v>60</v>
      </c>
      <c r="G4360">
        <v>2</v>
      </c>
      <c r="H4360" s="1">
        <v>7.9861111111111116E-5</v>
      </c>
      <c r="I4360" t="s">
        <v>18</v>
      </c>
      <c r="J4360" s="2" t="str">
        <f>HYPERLINK("https://www.nba.com/stats/events?CFID=&amp;CFPARAMS=&amp;GameEventID=289&amp;GameID=0021600114&amp;Season=2016-17&amp;flag=1&amp;title=Leonard%2033'%203PT%20Jump%20Shot%20(19%20PTS)%20(Ginobili%202%20AST)", "Leonard 33' 3PT Jump Shot (19 PTS) (Ginobili 2 AST)")</f>
        <v>Leonard 33' 3PT Jump Shot (19 PTS) (Ginobili 2 AST)</v>
      </c>
      <c r="K4360" s="2" t="str">
        <f>HYPERLINK("https://www.nba.com/game/...-vs-...-0021600114/play-by-play?watchFullGame=true", "SAS vs HOU - Q2 00:06.90")</f>
        <v>SAS vs HOU - Q2 00:06.90</v>
      </c>
      <c r="L4360">
        <v>33</v>
      </c>
      <c r="M4360">
        <v>140</v>
      </c>
      <c r="N4360">
        <v>296</v>
      </c>
      <c r="O4360">
        <v>140</v>
      </c>
      <c r="P4360">
        <v>296</v>
      </c>
    </row>
    <row r="4361" spans="1:16" x14ac:dyDescent="0.25">
      <c r="A4361">
        <v>21900603</v>
      </c>
      <c r="B4361">
        <v>2019</v>
      </c>
      <c r="C4361" t="s">
        <v>32</v>
      </c>
      <c r="D4361" t="s">
        <v>22</v>
      </c>
      <c r="E4361">
        <v>26</v>
      </c>
      <c r="F4361">
        <v>20</v>
      </c>
      <c r="G4361">
        <v>1</v>
      </c>
      <c r="H4361" s="1">
        <v>2.7199074074074074E-3</v>
      </c>
      <c r="I4361" t="s">
        <v>23</v>
      </c>
      <c r="J4361" s="2" t="str">
        <f>HYPERLINK("https://www.nba.com/stats/events?CFID=&amp;CFPARAMS=&amp;GameEventID=103&amp;GameID=0021900603&amp;Season=2019-20&amp;flag=1&amp;title=Leonard%2014'%20jumpshot%20(11%20PTS)%20(L.%20Williams%201%20AST)", "14' jumpshot (11 PTS) (L. Williams 1 AST)")</f>
        <v>14' jumpshot (11 PTS) (L. Williams 1 AST)</v>
      </c>
      <c r="K4361" s="2" t="str">
        <f>HYPERLINK("https://www.nba.com/game/...-vs-...-0021900603/play-by-play?watchFullGame=true", "LAC vs CLE - Q1 03:55.00")</f>
        <v>LAC vs CLE - Q1 03:55.00</v>
      </c>
      <c r="L4361">
        <v>14.26</v>
      </c>
      <c r="M4361">
        <v>7.01</v>
      </c>
      <c r="N4361">
        <v>21.74</v>
      </c>
      <c r="O4361">
        <v>141</v>
      </c>
      <c r="P4361">
        <v>13</v>
      </c>
    </row>
    <row r="4362" spans="1:16" x14ac:dyDescent="0.25">
      <c r="A4362">
        <v>21500235</v>
      </c>
      <c r="B4362">
        <v>2015</v>
      </c>
      <c r="C4362" t="s">
        <v>32</v>
      </c>
      <c r="D4362" t="s">
        <v>33</v>
      </c>
      <c r="E4362">
        <v>45</v>
      </c>
      <c r="F4362">
        <v>52</v>
      </c>
      <c r="G4362">
        <v>3</v>
      </c>
      <c r="H4362" s="1">
        <v>5.8912037037037041E-3</v>
      </c>
      <c r="I4362" t="s">
        <v>18</v>
      </c>
      <c r="J4362" s="2" t="str">
        <f>HYPERLINK("https://www.nba.com/stats/events?CFID=&amp;CFPARAMS=&amp;GameEventID=271&amp;GameID=0021500235&amp;Season=2015-16&amp;flag=1&amp;title=Leonard%2015'%20Fadeaway%20Jumper%20(16%20PTS)", "Leonard 15' Fadeaway Jumper (16 PTS)")</f>
        <v>Leonard 15' Fadeaway Jumper (16 PTS)</v>
      </c>
      <c r="K4362" s="2" t="str">
        <f>HYPERLINK("https://www.nba.com/game/...-vs-...-0021500235/play-by-play?watchFullGame=true", "SAS vs DEN - Q3 08:29.00")</f>
        <v>SAS vs DEN - Q3 08:29.00</v>
      </c>
      <c r="L4362">
        <v>15</v>
      </c>
      <c r="M4362">
        <v>141</v>
      </c>
      <c r="N4362">
        <v>51</v>
      </c>
      <c r="O4362">
        <v>141</v>
      </c>
      <c r="P4362">
        <v>51</v>
      </c>
    </row>
    <row r="4363" spans="1:16" x14ac:dyDescent="0.25">
      <c r="A4363">
        <v>22201004</v>
      </c>
      <c r="B4363">
        <v>2022</v>
      </c>
      <c r="C4363" t="s">
        <v>32</v>
      </c>
      <c r="D4363" t="s">
        <v>19</v>
      </c>
      <c r="E4363">
        <v>60</v>
      </c>
      <c r="F4363">
        <v>60</v>
      </c>
      <c r="G4363">
        <v>3</v>
      </c>
      <c r="H4363" s="1">
        <v>4.9189814814814816E-3</v>
      </c>
      <c r="I4363" t="s">
        <v>23</v>
      </c>
      <c r="J4363" s="2" t="str">
        <f>HYPERLINK("https://www.nba.com/stats/events?CFID=&amp;CFPARAMS=&amp;GameEventID=363&amp;GameID=0022201004&amp;Season=2022-23&amp;flag=1&amp;title=Leonard%2017'%20pullup%20Jump%20Shot%20(21%20PTS)", "17' pullup Jump Shot (21 PTS)")</f>
        <v>17' pullup Jump Shot (21 PTS)</v>
      </c>
      <c r="K4363" s="2" t="str">
        <f>HYPERLINK("https://www.nba.com/game/...-vs-...-0022201004/play-by-play?watchFullGame=true", "LAC vs NYK - Q3 07:05.00")</f>
        <v>LAC vs NYK - Q3 07:05.00</v>
      </c>
      <c r="L4363">
        <v>17.13</v>
      </c>
      <c r="M4363">
        <v>15.95</v>
      </c>
      <c r="N4363">
        <v>21.81</v>
      </c>
      <c r="O4363">
        <v>141</v>
      </c>
      <c r="P4363">
        <v>97</v>
      </c>
    </row>
    <row r="4364" spans="1:16" x14ac:dyDescent="0.25">
      <c r="A4364">
        <v>21500235</v>
      </c>
      <c r="B4364">
        <v>2015</v>
      </c>
      <c r="C4364" t="s">
        <v>32</v>
      </c>
      <c r="D4364" t="s">
        <v>19</v>
      </c>
      <c r="E4364">
        <v>54</v>
      </c>
      <c r="F4364">
        <v>56</v>
      </c>
      <c r="G4364">
        <v>3</v>
      </c>
      <c r="H4364" s="1">
        <v>3.7847222222222223E-3</v>
      </c>
      <c r="I4364" t="s">
        <v>18</v>
      </c>
      <c r="J4364" s="2" t="str">
        <f>HYPERLINK("https://www.nba.com/stats/events?CFID=&amp;CFPARAMS=&amp;GameEventID=311&amp;GameID=0021500235&amp;Season=2015-16&amp;flag=1&amp;title=Leonard%2017'%20Jump%20Shot%20(20%20PTS)%20(Anderson%202%20AST)", "Leonard 17' Jump Shot (20 PTS) (Anderson 2 AST)")</f>
        <v>Leonard 17' Jump Shot (20 PTS) (Anderson 2 AST)</v>
      </c>
      <c r="K4364" s="2" t="str">
        <f>HYPERLINK("https://www.nba.com/game/...-vs-...-0021500235/play-by-play?watchFullGame=true", "SAS vs DEN - Q3 05:27.00")</f>
        <v>SAS vs DEN - Q3 05:27.00</v>
      </c>
      <c r="L4364">
        <v>17</v>
      </c>
      <c r="M4364">
        <v>141</v>
      </c>
      <c r="N4364">
        <v>97</v>
      </c>
      <c r="O4364">
        <v>141</v>
      </c>
      <c r="P4364">
        <v>97</v>
      </c>
    </row>
    <row r="4365" spans="1:16" x14ac:dyDescent="0.25">
      <c r="A4365">
        <v>22301028</v>
      </c>
      <c r="B4365">
        <v>2023</v>
      </c>
      <c r="C4365" t="s">
        <v>32</v>
      </c>
      <c r="D4365" t="s">
        <v>19</v>
      </c>
      <c r="E4365">
        <v>56</v>
      </c>
      <c r="F4365">
        <v>63</v>
      </c>
      <c r="G4365">
        <v>2</v>
      </c>
      <c r="H4365" s="1">
        <v>2.8472222222222223E-4</v>
      </c>
      <c r="I4365" t="s">
        <v>23</v>
      </c>
      <c r="J4365" s="2" t="str">
        <f>HYPERLINK("https://www.nba.com/stats/events?CFID=&amp;CFPARAMS=&amp;GameEventID=283&amp;GameID=0022301028&amp;Season=2023-24&amp;flag=1&amp;title=Leonard%2018'%20Jump%20Shot%20(12%20PTS)", "18' Jump Shot (12 PTS)")</f>
        <v>18' Jump Shot (12 PTS)</v>
      </c>
      <c r="K4365" s="2" t="str">
        <f>HYPERLINK("https://www.nba.com/game/...-vs-...-0022301028/play-by-play?watchFullGame=true", "LAC vs PHI - Q2 00:24.60")</f>
        <v>LAC vs PHI - Q2 00:24.60</v>
      </c>
      <c r="L4365">
        <v>18.91</v>
      </c>
      <c r="M4365">
        <v>81</v>
      </c>
      <c r="N4365">
        <v>78.19</v>
      </c>
      <c r="O4365">
        <v>141</v>
      </c>
      <c r="P4365">
        <v>126</v>
      </c>
    </row>
    <row r="4366" spans="1:16" x14ac:dyDescent="0.25">
      <c r="A4366">
        <v>22201229</v>
      </c>
      <c r="B4366">
        <v>2022</v>
      </c>
      <c r="C4366" t="s">
        <v>32</v>
      </c>
      <c r="D4366" t="s">
        <v>19</v>
      </c>
      <c r="E4366">
        <v>41</v>
      </c>
      <c r="F4366">
        <v>40</v>
      </c>
      <c r="G4366">
        <v>2</v>
      </c>
      <c r="H4366" s="1">
        <v>2.9050925925925928E-3</v>
      </c>
      <c r="I4366" t="s">
        <v>23</v>
      </c>
      <c r="J4366" s="2" t="str">
        <f>HYPERLINK("https://www.nba.com/stats/events?CFID=&amp;CFPARAMS=&amp;GameEventID=265&amp;GameID=0022201229&amp;Season=2022-23&amp;flag=1&amp;title=Leonard%2019'%20pullup%20Jump%20Shot%20(4%20PTS)", "19' pullup Jump Shot (4 PTS)")</f>
        <v>19' pullup Jump Shot (4 PTS)</v>
      </c>
      <c r="K4366" s="2" t="str">
        <f>HYPERLINK("https://www.nba.com/game/...-vs-...-0022201229/play-by-play?watchFullGame=true", "LAC vs PHX - Q2 04:11.00")</f>
        <v>LAC vs PHX - Q2 04:11.00</v>
      </c>
      <c r="L4366">
        <v>19.48</v>
      </c>
      <c r="M4366">
        <v>80.11</v>
      </c>
      <c r="N4366">
        <v>78.19</v>
      </c>
      <c r="O4366">
        <v>141</v>
      </c>
      <c r="P4366">
        <v>134</v>
      </c>
    </row>
    <row r="4367" spans="1:16" x14ac:dyDescent="0.25">
      <c r="A4367">
        <v>21900419</v>
      </c>
      <c r="B4367">
        <v>2019</v>
      </c>
      <c r="C4367" t="s">
        <v>16</v>
      </c>
      <c r="D4367" t="s">
        <v>22</v>
      </c>
      <c r="E4367">
        <v>5</v>
      </c>
      <c r="F4367">
        <v>4</v>
      </c>
      <c r="G4367">
        <v>1</v>
      </c>
      <c r="H4367" s="1">
        <v>7.0486111111111114E-3</v>
      </c>
      <c r="I4367" t="s">
        <v>23</v>
      </c>
      <c r="J4367" s="2" t="str">
        <f>HYPERLINK("https://www.nba.com/stats/events?CFID=&amp;CFPARAMS=&amp;GameEventID=22&amp;GameID=0021900419&amp;Season=2019-20&amp;flag=1&amp;title=Leonard%2025'%203PT%20%20(3%20PTS)%20(M.%20Harkless%201%20AST)", "25' 3PT  (3 PTS) (M. Harkless 1 AST)")</f>
        <v>25' 3PT  (3 PTS) (M. Harkless 1 AST)</v>
      </c>
      <c r="K4367" s="2" t="str">
        <f>HYPERLINK("https://www.nba.com/game/...-vs-...-0021900419/play-by-play?watchFullGame=true", "LAC vs HOU - Q1 10:09.00")</f>
        <v>LAC vs HOU - Q1 10:09.00</v>
      </c>
      <c r="L4367">
        <v>25.02</v>
      </c>
      <c r="M4367">
        <v>72.98</v>
      </c>
      <c r="N4367">
        <v>78.12</v>
      </c>
      <c r="O4367">
        <v>141</v>
      </c>
      <c r="P4367">
        <v>201</v>
      </c>
    </row>
    <row r="4368" spans="1:16" x14ac:dyDescent="0.25">
      <c r="A4368">
        <v>21300589</v>
      </c>
      <c r="B4368">
        <v>2013</v>
      </c>
      <c r="C4368" t="s">
        <v>16</v>
      </c>
      <c r="D4368" t="s">
        <v>19</v>
      </c>
      <c r="E4368">
        <v>10</v>
      </c>
      <c r="F4368">
        <v>6</v>
      </c>
      <c r="G4368">
        <v>1</v>
      </c>
      <c r="H4368" s="1">
        <v>6.6782407407407407E-3</v>
      </c>
      <c r="I4368" t="s">
        <v>18</v>
      </c>
      <c r="J4368" s="2" t="str">
        <f>HYPERLINK("https://www.nba.com/stats/events?CFID=&amp;CFPARAMS=&amp;GameEventID=16&amp;GameID=0021300589&amp;Season=2013-14&amp;flag=1&amp;title=Leonard%2025'%203PT%20Jump%20Shot%20(3%20PTS)%20(Diaw%201%20AST)", "Leonard 25' 3PT Jump Shot (3 PTS) (Diaw 1 AST)")</f>
        <v>Leonard 25' 3PT Jump Shot (3 PTS) (Diaw 1 AST)</v>
      </c>
      <c r="K4368" s="2" t="str">
        <f>HYPERLINK("https://www.nba.com/game/...-vs-...-0021300589/play-by-play?watchFullGame=true", "SAS vs POR - Q1 09:37.00")</f>
        <v>SAS vs POR - Q1 09:37.00</v>
      </c>
      <c r="L4368">
        <v>25</v>
      </c>
      <c r="M4368">
        <v>141</v>
      </c>
      <c r="N4368">
        <v>208</v>
      </c>
      <c r="O4368">
        <v>141</v>
      </c>
      <c r="P4368">
        <v>208</v>
      </c>
    </row>
    <row r="4369" spans="1:16" x14ac:dyDescent="0.25">
      <c r="A4369">
        <v>21300477</v>
      </c>
      <c r="B4369">
        <v>2013</v>
      </c>
      <c r="C4369" t="s">
        <v>16</v>
      </c>
      <c r="D4369" t="s">
        <v>19</v>
      </c>
      <c r="E4369">
        <v>18</v>
      </c>
      <c r="F4369">
        <v>19</v>
      </c>
      <c r="G4369">
        <v>1</v>
      </c>
      <c r="H4369" s="1">
        <v>2.5925925925925925E-3</v>
      </c>
      <c r="I4369" t="s">
        <v>18</v>
      </c>
      <c r="J4369" s="2" t="str">
        <f>HYPERLINK("https://www.nba.com/stats/events?CFID=&amp;CFPARAMS=&amp;GameEventID=69&amp;GameID=0021300477&amp;Season=2013-14&amp;flag=1&amp;title=Leonard%2025'%203PT%20Jump%20Shot%20(3%20PTS)", "Leonard 25' 3PT Jump Shot (3 PTS)")</f>
        <v>Leonard 25' 3PT Jump Shot (3 PTS)</v>
      </c>
      <c r="K4369" s="2" t="str">
        <f>HYPERLINK("https://www.nba.com/game/...-vs-...-0021300477/play-by-play?watchFullGame=true", "SAS vs NYK - Q1 03:44.00")</f>
        <v>SAS vs NYK - Q1 03:44.00</v>
      </c>
      <c r="L4369">
        <v>25</v>
      </c>
      <c r="M4369">
        <v>141</v>
      </c>
      <c r="N4369">
        <v>211</v>
      </c>
      <c r="O4369">
        <v>141</v>
      </c>
      <c r="P4369">
        <v>211</v>
      </c>
    </row>
    <row r="4370" spans="1:16" x14ac:dyDescent="0.25">
      <c r="A4370">
        <v>21900458</v>
      </c>
      <c r="B4370">
        <v>2019</v>
      </c>
      <c r="C4370" t="s">
        <v>16</v>
      </c>
      <c r="D4370" t="s">
        <v>22</v>
      </c>
      <c r="E4370">
        <v>5</v>
      </c>
      <c r="F4370">
        <v>6</v>
      </c>
      <c r="G4370">
        <v>1</v>
      </c>
      <c r="H4370" s="1">
        <v>6.898148148148148E-3</v>
      </c>
      <c r="I4370" t="s">
        <v>23</v>
      </c>
      <c r="J4370" s="2" t="str">
        <f>HYPERLINK("https://www.nba.com/stats/events?CFID=&amp;CFPARAMS=&amp;GameEventID=23&amp;GameID=0021900458&amp;Season=2019-20&amp;flag=1&amp;title=Leonard%2026'%203PT%20%20(5%20PTS)", "26' 3PT  (5 PTS)")</f>
        <v>26' 3PT  (5 PTS)</v>
      </c>
      <c r="K4370" s="2" t="str">
        <f>HYPERLINK("https://www.nba.com/game/...-vs-...-0021900458/play-by-play?watchFullGame=true", "LAC vs LAL - Q1 09:56.00")</f>
        <v>LAC vs LAL - Q1 09:56.00</v>
      </c>
      <c r="L4370">
        <v>25.96</v>
      </c>
      <c r="M4370">
        <v>28.17</v>
      </c>
      <c r="N4370">
        <v>21.74</v>
      </c>
      <c r="O4370">
        <v>141</v>
      </c>
      <c r="P4370">
        <v>212</v>
      </c>
    </row>
    <row r="4371" spans="1:16" x14ac:dyDescent="0.25">
      <c r="A4371">
        <v>22300688</v>
      </c>
      <c r="B4371">
        <v>2023</v>
      </c>
      <c r="C4371" t="s">
        <v>16</v>
      </c>
      <c r="D4371" t="s">
        <v>19</v>
      </c>
      <c r="E4371">
        <v>52</v>
      </c>
      <c r="F4371">
        <v>55</v>
      </c>
      <c r="G4371">
        <v>2</v>
      </c>
      <c r="H4371" s="1">
        <v>1.6898148148148148E-3</v>
      </c>
      <c r="I4371" t="s">
        <v>23</v>
      </c>
      <c r="J4371" s="2" t="str">
        <f>HYPERLINK("https://www.nba.com/stats/events?CFID=&amp;CFPARAMS=&amp;GameEventID=289&amp;GameID=0022300688&amp;Season=2023-24&amp;flag=1&amp;title=Leonard%2026'%203PT%20pullup%20(15%20PTS)", "26' 3PT pullup (15 PTS)")</f>
        <v>26' 3PT pullup (15 PTS)</v>
      </c>
      <c r="K4371" s="2" t="str">
        <f>HYPERLINK("https://www.nba.com/game/...-vs-...-0022300688/play-by-play?watchFullGame=true", "LAC vs DET - Q2 02:26.00")</f>
        <v>LAC vs DET - Q2 02:26.00</v>
      </c>
      <c r="L4371">
        <v>26.62</v>
      </c>
      <c r="M4371">
        <v>70.38</v>
      </c>
      <c r="N4371">
        <v>78.19</v>
      </c>
      <c r="O4371">
        <v>141</v>
      </c>
      <c r="P4371">
        <v>226</v>
      </c>
    </row>
    <row r="4372" spans="1:16" x14ac:dyDescent="0.25">
      <c r="A4372">
        <v>22200735</v>
      </c>
      <c r="B4372">
        <v>2022</v>
      </c>
      <c r="C4372" t="s">
        <v>32</v>
      </c>
      <c r="D4372" t="s">
        <v>19</v>
      </c>
      <c r="E4372">
        <v>60</v>
      </c>
      <c r="F4372">
        <v>42</v>
      </c>
      <c r="G4372">
        <v>2</v>
      </c>
      <c r="H4372" s="1">
        <v>3.6574074074074074E-3</v>
      </c>
      <c r="I4372" t="s">
        <v>23</v>
      </c>
      <c r="J4372" s="2" t="str">
        <f>HYPERLINK("https://www.nba.com/stats/events?CFID=&amp;CFPARAMS=&amp;GameEventID=251&amp;GameID=0022200735&amp;Season=2022-23&amp;flag=1&amp;title=Leonard%2014'%20pullup%20Jump%20Shot%20(14%20PTS)", "14' pullup Jump Shot (14 PTS)")</f>
        <v>14' pullup Jump Shot (14 PTS)</v>
      </c>
      <c r="K4372" s="2" t="str">
        <f>HYPERLINK("https://www.nba.com/game/...-vs-...-0022200735/play-by-play?watchFullGame=true", "LAC vs SAS - Q2 05:16.00")</f>
        <v>LAC vs SAS - Q2 05:16.00</v>
      </c>
      <c r="L4372">
        <v>14.25</v>
      </c>
      <c r="M4372">
        <v>95.45</v>
      </c>
      <c r="N4372">
        <v>78.430000000000007</v>
      </c>
      <c r="O4372">
        <v>142</v>
      </c>
      <c r="P4372">
        <v>-10</v>
      </c>
    </row>
    <row r="4373" spans="1:16" x14ac:dyDescent="0.25">
      <c r="A4373">
        <v>22300688</v>
      </c>
      <c r="B4373">
        <v>2023</v>
      </c>
      <c r="C4373" t="s">
        <v>32</v>
      </c>
      <c r="D4373" t="s">
        <v>19</v>
      </c>
      <c r="E4373">
        <v>74</v>
      </c>
      <c r="F4373">
        <v>83</v>
      </c>
      <c r="G4373">
        <v>3</v>
      </c>
      <c r="H4373" s="1">
        <v>4.8263888888888887E-3</v>
      </c>
      <c r="I4373" t="s">
        <v>23</v>
      </c>
      <c r="J4373" s="2" t="str">
        <f>HYPERLINK("https://www.nba.com/stats/events?CFID=&amp;CFPARAMS=&amp;GameEventID=385&amp;GameID=0022300688&amp;Season=2023-24&amp;flag=1&amp;title=Leonard%2014'%20turnaround%20Jump%20Shot%20(29%20PTS)", "14' turnaround Jump Shot (29 PTS)")</f>
        <v>14' turnaround Jump Shot (29 PTS)</v>
      </c>
      <c r="K4373" s="2" t="str">
        <f>HYPERLINK("https://www.nba.com/game/...-vs-...-0022300688/play-by-play?watchFullGame=true", "LAC vs DET - Q3 06:57.00")</f>
        <v>LAC vs DET - Q3 06:57.00</v>
      </c>
      <c r="L4373">
        <v>14.22</v>
      </c>
      <c r="M4373">
        <v>5.34</v>
      </c>
      <c r="N4373">
        <v>21.57</v>
      </c>
      <c r="O4373">
        <v>142</v>
      </c>
      <c r="P4373">
        <v>-2</v>
      </c>
    </row>
    <row r="4374" spans="1:16" x14ac:dyDescent="0.25">
      <c r="A4374">
        <v>22300688</v>
      </c>
      <c r="B4374">
        <v>2023</v>
      </c>
      <c r="C4374" t="s">
        <v>16</v>
      </c>
      <c r="D4374" t="s">
        <v>19</v>
      </c>
      <c r="E4374">
        <v>54</v>
      </c>
      <c r="F4374">
        <v>58</v>
      </c>
      <c r="G4374">
        <v>2</v>
      </c>
      <c r="H4374" s="1">
        <v>1.3425925925925925E-3</v>
      </c>
      <c r="I4374" t="s">
        <v>23</v>
      </c>
      <c r="J4374" s="2" t="str">
        <f>HYPERLINK("https://www.nba.com/stats/events?CFID=&amp;CFPARAMS=&amp;GameEventID=292&amp;GameID=0022300688&amp;Season=2023-24&amp;flag=1&amp;title=Leonard%2025'%203PT%20pullup%20(18%20PTS)", "25' 3PT pullup (18 PTS)")</f>
        <v>25' 3PT pullup (18 PTS)</v>
      </c>
      <c r="K4374" s="2" t="str">
        <f>HYPERLINK("https://www.nba.com/game/...-vs-...-0022300688/play-by-play?watchFullGame=true", "LAC vs DET - Q2 01:56.00")</f>
        <v>LAC vs DET - Q2 01:56.00</v>
      </c>
      <c r="L4374">
        <v>25.15</v>
      </c>
      <c r="M4374">
        <v>72.36</v>
      </c>
      <c r="N4374">
        <v>78.430000000000007</v>
      </c>
      <c r="O4374">
        <v>142</v>
      </c>
      <c r="P4374">
        <v>207</v>
      </c>
    </row>
    <row r="4375" spans="1:16" x14ac:dyDescent="0.25">
      <c r="A4375">
        <v>22301064</v>
      </c>
      <c r="B4375">
        <v>2023</v>
      </c>
      <c r="C4375" t="s">
        <v>32</v>
      </c>
      <c r="D4375" t="s">
        <v>19</v>
      </c>
      <c r="E4375">
        <v>44</v>
      </c>
      <c r="F4375">
        <v>49</v>
      </c>
      <c r="G4375">
        <v>2</v>
      </c>
      <c r="H4375" s="1">
        <v>2.2106481481481482E-3</v>
      </c>
      <c r="I4375" t="s">
        <v>23</v>
      </c>
      <c r="J4375" s="2" t="str">
        <f>HYPERLINK("https://www.nba.com/stats/events?CFID=&amp;CFPARAMS=&amp;GameEventID=280&amp;GameID=0022301064&amp;Season=2023-24&amp;flag=1&amp;title=Leonard%2014'%20Jump%20Shot%20(8%20PTS)", "14' Jump Shot (8 PTS)")</f>
        <v>14' Jump Shot (8 PTS)</v>
      </c>
      <c r="K4375" s="2" t="str">
        <f>HYPERLINK("https://www.nba.com/game/...-vs-...-0022301064/play-by-play?watchFullGame=true", "LAC vs ORL - Q2 03:11.00")</f>
        <v>LAC vs ORL - Q2 03:11.00</v>
      </c>
      <c r="L4375">
        <v>14.44</v>
      </c>
      <c r="M4375">
        <v>3.76</v>
      </c>
      <c r="N4375">
        <v>21.32</v>
      </c>
      <c r="O4375">
        <v>143</v>
      </c>
      <c r="P4375">
        <v>-17</v>
      </c>
    </row>
    <row r="4376" spans="1:16" x14ac:dyDescent="0.25">
      <c r="A4376">
        <v>21600206</v>
      </c>
      <c r="B4376">
        <v>2016</v>
      </c>
      <c r="C4376" t="s">
        <v>32</v>
      </c>
      <c r="D4376" t="s">
        <v>19</v>
      </c>
      <c r="E4376">
        <v>54</v>
      </c>
      <c r="F4376">
        <v>60</v>
      </c>
      <c r="G4376">
        <v>3</v>
      </c>
      <c r="H4376" s="1">
        <v>4.8495370370370368E-3</v>
      </c>
      <c r="I4376" t="s">
        <v>18</v>
      </c>
      <c r="J4376" s="2" t="str">
        <f>HYPERLINK("https://www.nba.com/stats/events?CFID=&amp;CFPARAMS=&amp;GameEventID=268&amp;GameID=0021600206&amp;Season=2016-17&amp;flag=1&amp;title=Leonard%2015'%20Jump%20Shot%20(17%20PTS)", "Leonard 15' Jump Shot (17 PTS)")</f>
        <v>Leonard 15' Jump Shot (17 PTS)</v>
      </c>
      <c r="K4376" s="2" t="str">
        <f>HYPERLINK("https://www.nba.com/game/...-vs-...-0021600206/play-by-play?watchFullGame=true", "SAS vs DAL - Q3 06:59.00")</f>
        <v>SAS vs DAL - Q3 06:59.00</v>
      </c>
      <c r="L4376">
        <v>15</v>
      </c>
      <c r="M4376">
        <v>143</v>
      </c>
      <c r="N4376">
        <v>47</v>
      </c>
      <c r="O4376">
        <v>143</v>
      </c>
      <c r="P4376">
        <v>47</v>
      </c>
    </row>
    <row r="4377" spans="1:16" x14ac:dyDescent="0.25">
      <c r="A4377">
        <v>22201041</v>
      </c>
      <c r="B4377">
        <v>2022</v>
      </c>
      <c r="C4377" t="s">
        <v>32</v>
      </c>
      <c r="D4377" t="s">
        <v>19</v>
      </c>
      <c r="E4377">
        <v>69</v>
      </c>
      <c r="F4377">
        <v>70</v>
      </c>
      <c r="G4377">
        <v>3</v>
      </c>
      <c r="H4377" s="1">
        <v>6.099537037037037E-3</v>
      </c>
      <c r="I4377" t="s">
        <v>23</v>
      </c>
      <c r="J4377" s="2" t="str">
        <f>HYPERLINK("https://www.nba.com/stats/events?CFID=&amp;CFPARAMS=&amp;GameEventID=366&amp;GameID=0022201041&amp;Season=2022-23&amp;flag=1&amp;title=Leonard%2015'%20pullup%20Jump%20Shot%20(22%20PTS)", "15' pullup Jump Shot (22 PTS)")</f>
        <v>15' pullup Jump Shot (22 PTS)</v>
      </c>
      <c r="K4377" s="2" t="str">
        <f>HYPERLINK("https://www.nba.com/game/...-vs-...-0022201041/play-by-play?watchFullGame=true", "LAC vs GSW - Q3 08:47.00")</f>
        <v>LAC vs GSW - Q3 08:47.00</v>
      </c>
      <c r="L4377">
        <v>15.34</v>
      </c>
      <c r="M4377">
        <v>88.62</v>
      </c>
      <c r="N4377">
        <v>78.680000000000007</v>
      </c>
      <c r="O4377">
        <v>143</v>
      </c>
      <c r="P4377">
        <v>55</v>
      </c>
    </row>
    <row r="4378" spans="1:16" x14ac:dyDescent="0.25">
      <c r="A4378">
        <v>22000457</v>
      </c>
      <c r="B4378">
        <v>2020</v>
      </c>
      <c r="C4378" t="s">
        <v>32</v>
      </c>
      <c r="D4378" t="s">
        <v>19</v>
      </c>
      <c r="E4378">
        <v>55</v>
      </c>
      <c r="F4378">
        <v>40</v>
      </c>
      <c r="G4378">
        <v>2</v>
      </c>
      <c r="H4378" s="1">
        <v>1.7824074074074075E-3</v>
      </c>
      <c r="I4378" t="s">
        <v>23</v>
      </c>
      <c r="J4378" s="2" t="str">
        <f>HYPERLINK("https://www.nba.com/stats/events?CFID=&amp;CFPARAMS=&amp;GameEventID=274&amp;GameID=0022000457&amp;Season=2020-21&amp;flag=1&amp;title=Leonard%2017'%20turnaround%20fadeaway%20Jump%20Shot%20(12%20PTS)", "17' turnaround fadeaway Jump Shot (12 PTS)")</f>
        <v>17' turnaround fadeaway Jump Shot (12 PTS)</v>
      </c>
      <c r="K4378" s="2" t="str">
        <f>HYPERLINK("https://www.nba.com/game/...-vs-...-0022000457/play-by-play?watchFullGame=true", "LAC vs UTA - Q2 02:34.00")</f>
        <v>LAC vs UTA - Q2 02:34.00</v>
      </c>
      <c r="L4378">
        <v>17.46</v>
      </c>
      <c r="M4378">
        <v>16.25</v>
      </c>
      <c r="N4378">
        <v>21.39</v>
      </c>
      <c r="O4378">
        <v>143</v>
      </c>
      <c r="P4378">
        <v>100</v>
      </c>
    </row>
    <row r="4379" spans="1:16" x14ac:dyDescent="0.25">
      <c r="A4379">
        <v>41600154</v>
      </c>
      <c r="B4379" t="s">
        <v>30</v>
      </c>
      <c r="C4379" t="s">
        <v>32</v>
      </c>
      <c r="D4379" t="s">
        <v>33</v>
      </c>
      <c r="E4379">
        <v>94</v>
      </c>
      <c r="F4379">
        <v>96</v>
      </c>
      <c r="G4379">
        <v>4</v>
      </c>
      <c r="H4379" s="1">
        <v>1.3888888888888889E-4</v>
      </c>
      <c r="I4379" t="s">
        <v>18</v>
      </c>
      <c r="J4379" s="2" t="str">
        <f>HYPERLINK("https://www.nba.com/stats/events?CFID=&amp;CFPARAMS=&amp;GameEventID=503&amp;GameID=0041600154&amp;Season=2016-17&amp;flag=1&amp;title=Leonard%2019'%20Fadeaway%20Jumper%20(35%20PTS)", "Leonard 19' Fadeaway Jumper (35 PTS)")</f>
        <v>Leonard 19' Fadeaway Jumper (35 PTS)</v>
      </c>
      <c r="K4379" s="2" t="str">
        <f>HYPERLINK("https://www.nba.com/game/...-vs-...-0041600154/play-by-play?watchFullGame=true", "SAS vs MEM - Q4 00:12.00")</f>
        <v>SAS vs MEM - Q4 00:12.00</v>
      </c>
      <c r="L4379">
        <v>19</v>
      </c>
      <c r="M4379">
        <v>143</v>
      </c>
      <c r="N4379">
        <v>126</v>
      </c>
      <c r="O4379">
        <v>143</v>
      </c>
      <c r="P4379">
        <v>126</v>
      </c>
    </row>
    <row r="4380" spans="1:16" x14ac:dyDescent="0.25">
      <c r="A4380">
        <v>21500928</v>
      </c>
      <c r="B4380">
        <v>2015</v>
      </c>
      <c r="C4380" t="s">
        <v>32</v>
      </c>
      <c r="D4380" t="s">
        <v>29</v>
      </c>
      <c r="E4380">
        <v>66</v>
      </c>
      <c r="F4380">
        <v>54</v>
      </c>
      <c r="G4380">
        <v>3</v>
      </c>
      <c r="H4380" s="1">
        <v>6.3773148148148148E-3</v>
      </c>
      <c r="I4380" t="s">
        <v>18</v>
      </c>
      <c r="J4380" s="2" t="str">
        <f>HYPERLINK("https://www.nba.com/stats/events?CFID=&amp;CFPARAMS=&amp;GameEventID=302&amp;GameID=0021500928&amp;Season=2015-16&amp;flag=1&amp;title=Leonard%2019'%20Pullup%20Jump%20Shot%20(19%20PTS)", "Leonard 19' Pullup Jump Shot (19 PTS)")</f>
        <v>Leonard 19' Pullup Jump Shot (19 PTS)</v>
      </c>
      <c r="K4380" s="2" t="str">
        <f>HYPERLINK("https://www.nba.com/game/...-vs-...-0021500928/play-by-play?watchFullGame=true", "SAS vs SAC - Q3 09:11.00")</f>
        <v>SAS vs SAC - Q3 09:11.00</v>
      </c>
      <c r="L4380">
        <v>19</v>
      </c>
      <c r="M4380">
        <v>143</v>
      </c>
      <c r="N4380">
        <v>131</v>
      </c>
      <c r="O4380">
        <v>143</v>
      </c>
      <c r="P4380">
        <v>131</v>
      </c>
    </row>
    <row r="4381" spans="1:16" x14ac:dyDescent="0.25">
      <c r="A4381">
        <v>21600902</v>
      </c>
      <c r="B4381">
        <v>2016</v>
      </c>
      <c r="C4381" t="s">
        <v>16</v>
      </c>
      <c r="D4381" t="s">
        <v>19</v>
      </c>
      <c r="E4381">
        <v>40</v>
      </c>
      <c r="F4381">
        <v>42</v>
      </c>
      <c r="G4381">
        <v>2</v>
      </c>
      <c r="H4381" s="1">
        <v>3.5995370370370369E-3</v>
      </c>
      <c r="I4381" t="s">
        <v>18</v>
      </c>
      <c r="J4381" s="2" t="str">
        <f>HYPERLINK("https://www.nba.com/stats/events?CFID=&amp;CFPARAMS=&amp;GameEventID=205&amp;GameID=0021600902&amp;Season=2016-17&amp;flag=1&amp;title=Leonard%2024'%203PT%20Jump%20Shot%20(9%20PTS)%20(Aldridge%201%20AST)", "Leonard 24' 3PT Jump Shot (9 PTS) (Aldridge 1 AST)")</f>
        <v>Leonard 24' 3PT Jump Shot (9 PTS) (Aldridge 1 AST)</v>
      </c>
      <c r="K4381" s="2" t="str">
        <f>HYPERLINK("https://www.nba.com/game/...-vs-...-0021600902/play-by-play?watchFullGame=true", "SAS vs IND - Q2 05:11.00")</f>
        <v>SAS vs IND - Q2 05:11.00</v>
      </c>
      <c r="L4381">
        <v>24</v>
      </c>
      <c r="M4381">
        <v>143</v>
      </c>
      <c r="N4381">
        <v>195</v>
      </c>
      <c r="O4381">
        <v>143</v>
      </c>
      <c r="P4381">
        <v>195</v>
      </c>
    </row>
    <row r="4382" spans="1:16" x14ac:dyDescent="0.25">
      <c r="A4382">
        <v>21500195</v>
      </c>
      <c r="B4382">
        <v>2015</v>
      </c>
      <c r="C4382" t="s">
        <v>16</v>
      </c>
      <c r="D4382" t="s">
        <v>19</v>
      </c>
      <c r="E4382">
        <v>13</v>
      </c>
      <c r="F4382">
        <v>8</v>
      </c>
      <c r="G4382">
        <v>1</v>
      </c>
      <c r="H4382" s="1">
        <v>3.414351851851852E-3</v>
      </c>
      <c r="I4382" t="s">
        <v>18</v>
      </c>
      <c r="J4382" s="2" t="str">
        <f>HYPERLINK("https://www.nba.com/stats/events?CFID=&amp;CFPARAMS=&amp;GameEventID=62&amp;GameID=0021500195&amp;Season=2015-16&amp;flag=1&amp;title=Leonard%2025'%203PT%20Jump%20Shot%20(3%20PTS)%20(Duncan%201%20AST)", "Leonard 25' 3PT Jump Shot (3 PTS) (Duncan 1 AST)")</f>
        <v>Leonard 25' 3PT Jump Shot (3 PTS) (Duncan 1 AST)</v>
      </c>
      <c r="K4382" s="2" t="str">
        <f>HYPERLINK("https://www.nba.com/game/...-vs-...-0021500195/play-by-play?watchFullGame=true", "SAS vs MEM - Q1 04:55.00")</f>
        <v>SAS vs MEM - Q1 04:55.00</v>
      </c>
      <c r="L4382">
        <v>25</v>
      </c>
      <c r="M4382">
        <v>143</v>
      </c>
      <c r="N4382">
        <v>205</v>
      </c>
      <c r="O4382">
        <v>143</v>
      </c>
      <c r="P4382">
        <v>205</v>
      </c>
    </row>
    <row r="4383" spans="1:16" x14ac:dyDescent="0.25">
      <c r="A4383">
        <v>41800213</v>
      </c>
      <c r="B4383" t="s">
        <v>20</v>
      </c>
      <c r="C4383" t="s">
        <v>32</v>
      </c>
      <c r="D4383" t="s">
        <v>29</v>
      </c>
      <c r="E4383">
        <v>89</v>
      </c>
      <c r="F4383">
        <v>81</v>
      </c>
      <c r="G4383">
        <v>3</v>
      </c>
      <c r="H4383" s="1">
        <v>4.0277777777777773E-4</v>
      </c>
      <c r="I4383" t="s">
        <v>21</v>
      </c>
      <c r="J4383" s="2" t="str">
        <f>HYPERLINK("https://www.nba.com/stats/events?CFID=&amp;CFPARAMS=&amp;GameEventID=455&amp;GameID=0041800213&amp;Season=2018-19&amp;flag=1&amp;title=Leonard%2015'%20Pullup%20Jump%20Shot%20(31%20PTS)", "Leonard 15' Pullup Jump Shot (31 PTS)")</f>
        <v>Leonard 15' Pullup Jump Shot (31 PTS)</v>
      </c>
      <c r="K4383" s="2" t="str">
        <f>HYPERLINK("https://www.nba.com/game/...-vs-...-0041800213/play-by-play?watchFullGame=true", "TOR vs PHI - Q3 00:34.80")</f>
        <v>TOR vs PHI - Q3 00:34.80</v>
      </c>
      <c r="L4383">
        <v>15</v>
      </c>
      <c r="M4383">
        <v>144</v>
      </c>
      <c r="N4383">
        <v>31</v>
      </c>
      <c r="O4383">
        <v>144</v>
      </c>
      <c r="P4383">
        <v>31</v>
      </c>
    </row>
    <row r="4384" spans="1:16" x14ac:dyDescent="0.25">
      <c r="A4384">
        <v>21400931</v>
      </c>
      <c r="B4384">
        <v>2014</v>
      </c>
      <c r="C4384" t="s">
        <v>32</v>
      </c>
      <c r="D4384" t="s">
        <v>29</v>
      </c>
      <c r="E4384">
        <v>87</v>
      </c>
      <c r="F4384">
        <v>75</v>
      </c>
      <c r="G4384">
        <v>3</v>
      </c>
      <c r="H4384" s="1">
        <v>4.6874999999999998E-4</v>
      </c>
      <c r="I4384" t="s">
        <v>18</v>
      </c>
      <c r="J4384" s="2" t="str">
        <f>HYPERLINK("https://www.nba.com/stats/events?CFID=&amp;CFPARAMS=&amp;GameEventID=387&amp;GameID=0021400931&amp;Season=2014-15&amp;flag=1&amp;title=Leonard%2016'%20Pullup%20Jump%20Shot%20(14%20PTS)", "Leonard 16' Pullup Jump Shot (14 PTS)")</f>
        <v>Leonard 16' Pullup Jump Shot (14 PTS)</v>
      </c>
      <c r="K4384" s="2" t="str">
        <f>HYPERLINK("https://www.nba.com/game/...-vs-...-0021400931/play-by-play?watchFullGame=true", "SAS vs CHI - Q3 00:40.50")</f>
        <v>SAS vs CHI - Q3 00:40.50</v>
      </c>
      <c r="L4384">
        <v>16</v>
      </c>
      <c r="M4384">
        <v>144</v>
      </c>
      <c r="N4384">
        <v>61</v>
      </c>
      <c r="O4384">
        <v>144</v>
      </c>
      <c r="P4384">
        <v>61</v>
      </c>
    </row>
    <row r="4385" spans="1:16" x14ac:dyDescent="0.25">
      <c r="A4385">
        <v>21300338</v>
      </c>
      <c r="B4385">
        <v>2013</v>
      </c>
      <c r="C4385" t="s">
        <v>32</v>
      </c>
      <c r="D4385" t="s">
        <v>19</v>
      </c>
      <c r="E4385">
        <v>42</v>
      </c>
      <c r="F4385">
        <v>36</v>
      </c>
      <c r="G4385">
        <v>2</v>
      </c>
      <c r="H4385" s="1">
        <v>3.8194444444444443E-3</v>
      </c>
      <c r="I4385" t="s">
        <v>18</v>
      </c>
      <c r="J4385" s="2" t="str">
        <f>HYPERLINK("https://www.nba.com/stats/events?CFID=&amp;CFPARAMS=&amp;GameEventID=188&amp;GameID=0021300338&amp;Season=2013-14&amp;flag=1&amp;title=Leonard%2017'%20Jump%20Shot%20(8%20PTS)%20(Parker%202%20AST)", "Leonard 17' Jump Shot (8 PTS) (Parker 2 AST)")</f>
        <v>Leonard 17' Jump Shot (8 PTS) (Parker 2 AST)</v>
      </c>
      <c r="K4385" s="2" t="str">
        <f>HYPERLINK("https://www.nba.com/game/...-vs-...-0021300338/play-by-play?watchFullGame=true", "SAS vs MIN - Q2 05:30.00")</f>
        <v>SAS vs MIN - Q2 05:30.00</v>
      </c>
      <c r="L4385">
        <v>17</v>
      </c>
      <c r="M4385">
        <v>144</v>
      </c>
      <c r="N4385">
        <v>85</v>
      </c>
      <c r="O4385">
        <v>144</v>
      </c>
      <c r="P4385">
        <v>85</v>
      </c>
    </row>
    <row r="4386" spans="1:16" x14ac:dyDescent="0.25">
      <c r="A4386">
        <v>21901258</v>
      </c>
      <c r="B4386">
        <v>2019</v>
      </c>
      <c r="C4386" t="s">
        <v>16</v>
      </c>
      <c r="D4386" t="s">
        <v>22</v>
      </c>
      <c r="E4386">
        <v>56</v>
      </c>
      <c r="F4386">
        <v>63</v>
      </c>
      <c r="G4386">
        <v>2</v>
      </c>
      <c r="H4386" s="1">
        <v>2.199074074074074E-5</v>
      </c>
      <c r="I4386" t="s">
        <v>23</v>
      </c>
      <c r="J4386" s="2" t="str">
        <f>HYPERLINK("https://www.nba.com/stats/events?CFID=&amp;CFPARAMS=&amp;GameEventID=295&amp;GameID=0021901258&amp;Season=2019-20&amp;flag=1&amp;title=Leonard%2026'%203PT%20%20(10%20PTS)", "26' 3PT  (10 PTS)")</f>
        <v>26' 3PT  (10 PTS)</v>
      </c>
      <c r="K4386" s="2" t="str">
        <f>HYPERLINK("https://www.nba.com/game/...-vs-...-0021901258/play-by-play?watchFullGame=true", "LAC vs PHX - Q2 00:01.90")</f>
        <v>LAC vs PHX - Q2 00:01.90</v>
      </c>
      <c r="L4386">
        <v>25.74</v>
      </c>
      <c r="M4386">
        <v>27.68</v>
      </c>
      <c r="N4386">
        <v>21.15</v>
      </c>
      <c r="O4386">
        <v>144</v>
      </c>
      <c r="P4386">
        <v>208</v>
      </c>
    </row>
    <row r="4387" spans="1:16" x14ac:dyDescent="0.25">
      <c r="A4387">
        <v>22000328</v>
      </c>
      <c r="B4387">
        <v>2020</v>
      </c>
      <c r="C4387" t="s">
        <v>16</v>
      </c>
      <c r="D4387" t="s">
        <v>19</v>
      </c>
      <c r="E4387">
        <v>62</v>
      </c>
      <c r="F4387">
        <v>77</v>
      </c>
      <c r="G4387">
        <v>3</v>
      </c>
      <c r="H4387" s="1">
        <v>2.7314814814814814E-3</v>
      </c>
      <c r="I4387" t="s">
        <v>23</v>
      </c>
      <c r="J4387" s="2" t="str">
        <f>HYPERLINK("https://www.nba.com/stats/events?CFID=&amp;CFPARAMS=&amp;GameEventID=376&amp;GameID=0022000328&amp;Season=2020-21&amp;flag=1&amp;title=Leonard%2025'%203PT%20%20(21%20PTS)", "25' 3PT  (21 PTS)")</f>
        <v>25' 3PT  (21 PTS)</v>
      </c>
      <c r="K4387" s="2" t="str">
        <f>HYPERLINK("https://www.nba.com/game/...-vs-...-0022000328/play-by-play?watchFullGame=true", "LAC vs CLE - Q3 03:56.00")</f>
        <v>LAC vs CLE - Q3 03:56.00</v>
      </c>
      <c r="L4387">
        <v>25.43</v>
      </c>
      <c r="M4387">
        <v>72.09</v>
      </c>
      <c r="N4387">
        <v>78.75</v>
      </c>
      <c r="O4387">
        <v>144</v>
      </c>
      <c r="P4387">
        <v>210</v>
      </c>
    </row>
    <row r="4388" spans="1:16" x14ac:dyDescent="0.25">
      <c r="A4388">
        <v>21900251</v>
      </c>
      <c r="B4388">
        <v>2019</v>
      </c>
      <c r="C4388" t="s">
        <v>32</v>
      </c>
      <c r="D4388" t="s">
        <v>22</v>
      </c>
      <c r="E4388">
        <v>86</v>
      </c>
      <c r="F4388">
        <v>106</v>
      </c>
      <c r="G4388">
        <v>4</v>
      </c>
      <c r="H4388" s="1">
        <v>3.5185185185185185E-3</v>
      </c>
      <c r="I4388" t="s">
        <v>23</v>
      </c>
      <c r="J4388" s="2" t="str">
        <f>HYPERLINK("https://www.nba.com/stats/events?CFID=&amp;CFPARAMS=&amp;GameEventID=645&amp;GameID=0021900251&amp;Season=2019-20&amp;flag=1&amp;title=Leonard%2016'%20jumpshot%20(26%20PTS)%20(P.%20George%202%20AST)", "16' jumpshot (26 PTS) (P. George 2 AST)")</f>
        <v>16' jumpshot (26 PTS) (P. George 2 AST)</v>
      </c>
      <c r="K4388" s="2" t="str">
        <f>HYPERLINK("https://www.nba.com/game/...-vs-...-0021900251/play-by-play?watchFullGame=true", "LAC vs DAL - Q4 05:04.00")</f>
        <v>LAC vs DAL - Q4 05:04.00</v>
      </c>
      <c r="L4388">
        <v>16.420000000000002</v>
      </c>
      <c r="M4388">
        <v>86.81</v>
      </c>
      <c r="N4388">
        <v>78.989999999999995</v>
      </c>
      <c r="O4388">
        <v>145</v>
      </c>
      <c r="P4388">
        <v>71</v>
      </c>
    </row>
    <row r="4389" spans="1:16" x14ac:dyDescent="0.25">
      <c r="A4389">
        <v>22000472</v>
      </c>
      <c r="B4389">
        <v>2020</v>
      </c>
      <c r="C4389" t="s">
        <v>32</v>
      </c>
      <c r="D4389" t="s">
        <v>19</v>
      </c>
      <c r="E4389">
        <v>55</v>
      </c>
      <c r="F4389">
        <v>60</v>
      </c>
      <c r="G4389">
        <v>3</v>
      </c>
      <c r="H4389" s="1">
        <v>7.3958333333333333E-3</v>
      </c>
      <c r="I4389" t="s">
        <v>23</v>
      </c>
      <c r="J4389" s="2" t="str">
        <f>HYPERLINK("https://www.nba.com/stats/events?CFID=&amp;CFPARAMS=&amp;GameEventID=334&amp;GameID=0022000472&amp;Season=2020-21&amp;flag=1&amp;title=Leonard%2018'%20pullup%20Jump%20Shot%20(20%20PTS)%20(P.%20Beverley%201%20AST)", "18' pullup Jump Shot (20 PTS) (P. Beverley 1 AST)")</f>
        <v>18' pullup Jump Shot (20 PTS) (P. Beverley 1 AST)</v>
      </c>
      <c r="K4389" s="2" t="str">
        <f>HYPERLINK("https://www.nba.com/game/...-vs-...-0022000472/play-by-play?watchFullGame=true", "LAC vs BKN - Q3 10:39.00")</f>
        <v>LAC vs BKN - Q3 10:39.00</v>
      </c>
      <c r="L4389">
        <v>18.78</v>
      </c>
      <c r="M4389">
        <v>18.22</v>
      </c>
      <c r="N4389">
        <v>20.9</v>
      </c>
      <c r="O4389">
        <v>145</v>
      </c>
      <c r="P4389">
        <v>119</v>
      </c>
    </row>
    <row r="4390" spans="1:16" x14ac:dyDescent="0.25">
      <c r="A4390">
        <v>22000239</v>
      </c>
      <c r="B4390">
        <v>2020</v>
      </c>
      <c r="C4390" t="s">
        <v>32</v>
      </c>
      <c r="D4390" t="s">
        <v>19</v>
      </c>
      <c r="E4390">
        <v>21</v>
      </c>
      <c r="F4390">
        <v>8</v>
      </c>
      <c r="G4390">
        <v>1</v>
      </c>
      <c r="H4390" s="1">
        <v>3.7847222222222223E-3</v>
      </c>
      <c r="I4390" t="s">
        <v>23</v>
      </c>
      <c r="J4390" s="2" t="str">
        <f>HYPERLINK("https://www.nba.com/stats/events?CFID=&amp;CFPARAMS=&amp;GameEventID=79&amp;GameID=0022000239&amp;Season=2020-21&amp;flag=1&amp;title=Leonard%2018'%20Jump%20Shot%20(7%20PTS)%20(P.%20George%203%20AST)", "18' Jump Shot (7 PTS) (P. George 3 AST)")</f>
        <v>18' Jump Shot (7 PTS) (P. George 3 AST)</v>
      </c>
      <c r="K4390" s="2" t="str">
        <f>HYPERLINK("https://www.nba.com/game/...-vs-...-0022000239/play-by-play?watchFullGame=true", "LAC vs OKC - Q1 05:27.00")</f>
        <v>LAC vs OKC - Q1 05:27.00</v>
      </c>
      <c r="L4390">
        <v>18.96</v>
      </c>
      <c r="M4390">
        <v>81.42</v>
      </c>
      <c r="N4390">
        <v>78.989999999999995</v>
      </c>
      <c r="O4390">
        <v>145</v>
      </c>
      <c r="P4390">
        <v>122</v>
      </c>
    </row>
    <row r="4391" spans="1:16" x14ac:dyDescent="0.25">
      <c r="A4391">
        <v>21600127</v>
      </c>
      <c r="B4391">
        <v>2016</v>
      </c>
      <c r="C4391" t="s">
        <v>16</v>
      </c>
      <c r="D4391" t="s">
        <v>19</v>
      </c>
      <c r="E4391">
        <v>92</v>
      </c>
      <c r="F4391">
        <v>84</v>
      </c>
      <c r="G4391">
        <v>4</v>
      </c>
      <c r="H4391" s="1">
        <v>1.4699074074074074E-3</v>
      </c>
      <c r="I4391" t="s">
        <v>18</v>
      </c>
      <c r="J4391" s="2" t="str">
        <f>HYPERLINK("https://www.nba.com/stats/events?CFID=&amp;CFPARAMS=&amp;GameEventID=434&amp;GameID=0021600127&amp;Season=2016-17&amp;flag=1&amp;title=Leonard%2025'%203PT%20Jump%20Shot%20(17%20PTS)", "Leonard 25' 3PT Jump Shot (17 PTS)")</f>
        <v>Leonard 25' 3PT Jump Shot (17 PTS)</v>
      </c>
      <c r="K4391" s="2" t="str">
        <f>HYPERLINK("https://www.nba.com/game/...-vs-...-0021600127/play-by-play?watchFullGame=true", "SAS vs DET - Q4 02:07.00")</f>
        <v>SAS vs DET - Q4 02:07.00</v>
      </c>
      <c r="L4391">
        <v>25</v>
      </c>
      <c r="M4391">
        <v>145</v>
      </c>
      <c r="N4391">
        <v>208</v>
      </c>
      <c r="O4391">
        <v>145</v>
      </c>
      <c r="P4391">
        <v>208</v>
      </c>
    </row>
    <row r="4392" spans="1:16" x14ac:dyDescent="0.25">
      <c r="A4392">
        <v>21500280</v>
      </c>
      <c r="B4392">
        <v>2015</v>
      </c>
      <c r="C4392" t="s">
        <v>32</v>
      </c>
      <c r="D4392" t="s">
        <v>29</v>
      </c>
      <c r="E4392">
        <v>49</v>
      </c>
      <c r="F4392">
        <v>65</v>
      </c>
      <c r="G4392">
        <v>3</v>
      </c>
      <c r="H4392" s="1">
        <v>2.5000000000000001E-3</v>
      </c>
      <c r="I4392" t="s">
        <v>18</v>
      </c>
      <c r="J4392" s="2" t="str">
        <f>HYPERLINK("https://www.nba.com/stats/events?CFID=&amp;CFPARAMS=&amp;GameEventID=322&amp;GameID=0021500280&amp;Season=2015-16&amp;flag=1&amp;title=Leonard%2015'%20Pullup%20Jump%20Shot%20(15%20PTS)", "Leonard 15' Pullup Jump Shot (15 PTS)")</f>
        <v>Leonard 15' Pullup Jump Shot (15 PTS)</v>
      </c>
      <c r="K4392" s="2" t="str">
        <f>HYPERLINK("https://www.nba.com/game/...-vs-...-0021500280/play-by-play?watchFullGame=true", "SAS vs MEM - Q3 03:36.00")</f>
        <v>SAS vs MEM - Q3 03:36.00</v>
      </c>
      <c r="L4392">
        <v>15</v>
      </c>
      <c r="M4392">
        <v>146</v>
      </c>
      <c r="N4392">
        <v>2</v>
      </c>
      <c r="O4392">
        <v>146</v>
      </c>
      <c r="P4392">
        <v>2</v>
      </c>
    </row>
    <row r="4393" spans="1:16" x14ac:dyDescent="0.25">
      <c r="A4393">
        <v>41300143</v>
      </c>
      <c r="B4393" t="s">
        <v>26</v>
      </c>
      <c r="C4393" t="s">
        <v>32</v>
      </c>
      <c r="D4393" t="s">
        <v>19</v>
      </c>
      <c r="E4393">
        <v>20</v>
      </c>
      <c r="F4393">
        <v>25</v>
      </c>
      <c r="G4393">
        <v>1</v>
      </c>
      <c r="H4393" s="1">
        <v>2.4537037037037036E-3</v>
      </c>
      <c r="I4393" t="s">
        <v>18</v>
      </c>
      <c r="J4393" s="2" t="str">
        <f>HYPERLINK("https://www.nba.com/stats/events?CFID=&amp;CFPARAMS=&amp;GameEventID=71&amp;GameID=0041300143&amp;Season=2013-14&amp;flag=1&amp;title=Leonard%2015'%20Jump%20Shot%20(4%20PTS)%20(Parker%202%20AST)", "Leonard 15' Jump Shot (4 PTS) (Parker 2 AST)")</f>
        <v>Leonard 15' Jump Shot (4 PTS) (Parker 2 AST)</v>
      </c>
      <c r="K4393" s="2" t="str">
        <f>HYPERLINK("https://www.nba.com/game/...-vs-...-0041300143/play-by-play?watchFullGame=true", "SAS vs DAL - Q1 03:32.00")</f>
        <v>SAS vs DAL - Q1 03:32.00</v>
      </c>
      <c r="L4393">
        <v>15</v>
      </c>
      <c r="M4393">
        <v>146</v>
      </c>
      <c r="N4393">
        <v>25</v>
      </c>
      <c r="O4393">
        <v>146</v>
      </c>
      <c r="P4393">
        <v>25</v>
      </c>
    </row>
    <row r="4394" spans="1:16" x14ac:dyDescent="0.25">
      <c r="A4394">
        <v>22200918</v>
      </c>
      <c r="B4394">
        <v>2022</v>
      </c>
      <c r="C4394" t="s">
        <v>32</v>
      </c>
      <c r="D4394" t="s">
        <v>19</v>
      </c>
      <c r="E4394">
        <v>113</v>
      </c>
      <c r="F4394">
        <v>115</v>
      </c>
      <c r="G4394">
        <v>4</v>
      </c>
      <c r="H4394" s="1">
        <v>1.5740740740740741E-3</v>
      </c>
      <c r="I4394" t="s">
        <v>23</v>
      </c>
      <c r="J4394" s="2" t="str">
        <f>HYPERLINK("https://www.nba.com/stats/events?CFID=&amp;CFPARAMS=&amp;GameEventID=620&amp;GameID=0022200918&amp;Season=2022-23&amp;flag=1&amp;title=Leonard%2015'%20turnaround%20fadeaway%20Jump%20Shot%20(31%20PTS)", "15' turnaround fadeaway Jump Shot (31 PTS)")</f>
        <v>15' turnaround fadeaway Jump Shot (31 PTS)</v>
      </c>
      <c r="K4394" s="2" t="str">
        <f>HYPERLINK("https://www.nba.com/game/...-vs-...-0022200918/play-by-play?watchFullGame=true", "LAC vs DEN - Q4 02:16.00")</f>
        <v>LAC vs DEN - Q4 02:16.00</v>
      </c>
      <c r="L4394">
        <v>15.14</v>
      </c>
      <c r="M4394">
        <v>9.94</v>
      </c>
      <c r="N4394">
        <v>20.83</v>
      </c>
      <c r="O4394">
        <v>146</v>
      </c>
      <c r="P4394">
        <v>41</v>
      </c>
    </row>
    <row r="4395" spans="1:16" x14ac:dyDescent="0.25">
      <c r="A4395">
        <v>21600134</v>
      </c>
      <c r="B4395">
        <v>2016</v>
      </c>
      <c r="C4395" t="s">
        <v>32</v>
      </c>
      <c r="D4395" t="s">
        <v>19</v>
      </c>
      <c r="E4395">
        <v>6</v>
      </c>
      <c r="F4395">
        <v>6</v>
      </c>
      <c r="G4395">
        <v>1</v>
      </c>
      <c r="H4395" s="1">
        <v>5.324074074074074E-3</v>
      </c>
      <c r="I4395" t="s">
        <v>18</v>
      </c>
      <c r="J4395" s="2" t="str">
        <f>HYPERLINK("https://www.nba.com/stats/events?CFID=&amp;CFPARAMS=&amp;GameEventID=48&amp;GameID=0021600134&amp;Season=2016-17&amp;flag=1&amp;title=Leonard%2017'%20Jump%20Shot%20(2%20PTS)%20(Gasol%201%20AST)", "Leonard 17' Jump Shot (2 PTS) (Gasol 1 AST)")</f>
        <v>Leonard 17' Jump Shot (2 PTS) (Gasol 1 AST)</v>
      </c>
      <c r="K4395" s="2" t="str">
        <f>HYPERLINK("https://www.nba.com/game/...-vs-...-0021600134/play-by-play?watchFullGame=true", "SAS vs HOU - Q1 07:40.00")</f>
        <v>SAS vs HOU - Q1 07:40.00</v>
      </c>
      <c r="L4395">
        <v>17</v>
      </c>
      <c r="M4395">
        <v>146</v>
      </c>
      <c r="N4395">
        <v>90</v>
      </c>
      <c r="O4395">
        <v>146</v>
      </c>
      <c r="P4395">
        <v>90</v>
      </c>
    </row>
    <row r="4396" spans="1:16" x14ac:dyDescent="0.25">
      <c r="A4396">
        <v>21600762</v>
      </c>
      <c r="B4396">
        <v>2016</v>
      </c>
      <c r="C4396" t="s">
        <v>32</v>
      </c>
      <c r="D4396" t="s">
        <v>29</v>
      </c>
      <c r="E4396">
        <v>69</v>
      </c>
      <c r="F4396">
        <v>57</v>
      </c>
      <c r="G4396">
        <v>3</v>
      </c>
      <c r="H4396" s="1">
        <v>6.2615740740740739E-3</v>
      </c>
      <c r="I4396" t="s">
        <v>18</v>
      </c>
      <c r="J4396" s="2" t="str">
        <f>HYPERLINK("https://www.nba.com/stats/events?CFID=&amp;CFPARAMS=&amp;GameEventID=286&amp;GameID=0021600762&amp;Season=2016-17&amp;flag=1&amp;title=Leonard%2021'%20Pullup%20Jump%20Shot%20(13%20PTS)%20(Green%202%20AST)", "Leonard 21' Pullup Jump Shot (13 PTS) (Green 2 AST)")</f>
        <v>Leonard 21' Pullup Jump Shot (13 PTS) (Green 2 AST)</v>
      </c>
      <c r="K4396" s="2" t="str">
        <f>HYPERLINK("https://www.nba.com/game/...-vs-...-0021600762/play-by-play?watchFullGame=true", "SAS vs DEN - Q3 09:01.00")</f>
        <v>SAS vs DEN - Q3 09:01.00</v>
      </c>
      <c r="L4396">
        <v>21</v>
      </c>
      <c r="M4396">
        <v>146</v>
      </c>
      <c r="N4396">
        <v>154</v>
      </c>
      <c r="O4396">
        <v>146</v>
      </c>
      <c r="P4396">
        <v>154</v>
      </c>
    </row>
    <row r="4397" spans="1:16" x14ac:dyDescent="0.25">
      <c r="A4397">
        <v>21500465</v>
      </c>
      <c r="B4397">
        <v>2015</v>
      </c>
      <c r="C4397" t="s">
        <v>16</v>
      </c>
      <c r="D4397" t="s">
        <v>19</v>
      </c>
      <c r="E4397">
        <v>6</v>
      </c>
      <c r="F4397">
        <v>12</v>
      </c>
      <c r="G4397">
        <v>1</v>
      </c>
      <c r="H4397" s="1">
        <v>5.5092592592592589E-3</v>
      </c>
      <c r="I4397" t="s">
        <v>18</v>
      </c>
      <c r="J4397" s="2" t="str">
        <f>HYPERLINK("https://www.nba.com/stats/events?CFID=&amp;CFPARAMS=&amp;GameEventID=34&amp;GameID=0021500465&amp;Season=2015-16&amp;flag=1&amp;title=Leonard%2025'%203PT%20Jump%20Shot%20(5%20PTS)%20(Parker%201%20AST)", "Leonard 25' 3PT Jump Shot (5 PTS) (Parker 1 AST)")</f>
        <v>Leonard 25' 3PT Jump Shot (5 PTS) (Parker 1 AST)</v>
      </c>
      <c r="K4397" s="2" t="str">
        <f>HYPERLINK("https://www.nba.com/game/...-vs-...-0021500465/play-by-play?watchFullGame=true", "SAS vs MIN - Q1 07:56.00")</f>
        <v>SAS vs MIN - Q1 07:56.00</v>
      </c>
      <c r="L4397">
        <v>25</v>
      </c>
      <c r="M4397">
        <v>146</v>
      </c>
      <c r="N4397">
        <v>198</v>
      </c>
      <c r="O4397">
        <v>146</v>
      </c>
      <c r="P4397">
        <v>198</v>
      </c>
    </row>
    <row r="4398" spans="1:16" x14ac:dyDescent="0.25">
      <c r="A4398">
        <v>21600558</v>
      </c>
      <c r="B4398">
        <v>2016</v>
      </c>
      <c r="C4398" t="s">
        <v>16</v>
      </c>
      <c r="D4398" t="s">
        <v>19</v>
      </c>
      <c r="E4398">
        <v>35</v>
      </c>
      <c r="F4398">
        <v>33</v>
      </c>
      <c r="G4398">
        <v>2</v>
      </c>
      <c r="H4398" s="1">
        <v>5.0810185185185186E-3</v>
      </c>
      <c r="I4398" t="s">
        <v>18</v>
      </c>
      <c r="J4398" s="2" t="str">
        <f>HYPERLINK("https://www.nba.com/stats/events?CFID=&amp;CFPARAMS=&amp;GameEventID=157&amp;GameID=0021600558&amp;Season=2016-17&amp;flag=1&amp;title=Leonard%2025'%203PT%20Jump%20Shot%20(11%20PTS)%20(Parker%201%20AST)", "Leonard 25' 3PT Jump Shot (11 PTS) (Parker 1 AST)")</f>
        <v>Leonard 25' 3PT Jump Shot (11 PTS) (Parker 1 AST)</v>
      </c>
      <c r="K4398" s="2" t="str">
        <f>HYPERLINK("https://www.nba.com/game/...-vs-...-0021600558/play-by-play?watchFullGame=true", "SAS vs CHA - Q2 07:19.00")</f>
        <v>SAS vs CHA - Q2 07:19.00</v>
      </c>
      <c r="L4398">
        <v>25</v>
      </c>
      <c r="M4398">
        <v>146</v>
      </c>
      <c r="N4398">
        <v>200</v>
      </c>
      <c r="O4398">
        <v>146</v>
      </c>
      <c r="P4398">
        <v>200</v>
      </c>
    </row>
    <row r="4399" spans="1:16" x14ac:dyDescent="0.25">
      <c r="A4399">
        <v>21600825</v>
      </c>
      <c r="B4399">
        <v>2016</v>
      </c>
      <c r="C4399" t="s">
        <v>16</v>
      </c>
      <c r="D4399" t="s">
        <v>19</v>
      </c>
      <c r="E4399">
        <v>0</v>
      </c>
      <c r="F4399">
        <v>3</v>
      </c>
      <c r="G4399">
        <v>1</v>
      </c>
      <c r="H4399" s="1">
        <v>7.7777777777777776E-3</v>
      </c>
      <c r="I4399" t="s">
        <v>18</v>
      </c>
      <c r="J4399" s="2" t="str">
        <f>HYPERLINK("https://www.nba.com/stats/events?CFID=&amp;CFPARAMS=&amp;GameEventID=6&amp;GameID=0021600825&amp;Season=2016-17&amp;flag=1&amp;title=Leonard%2026'%203PT%20Jump%20Shot%20(3%20PTS)%20(Aldridge%201%20AST)", "Leonard 26' 3PT Jump Shot (3 PTS) (Aldridge 1 AST)")</f>
        <v>Leonard 26' 3PT Jump Shot (3 PTS) (Aldridge 1 AST)</v>
      </c>
      <c r="K4399" s="2" t="str">
        <f>HYPERLINK("https://www.nba.com/game/...-vs-...-0021600825/play-by-play?watchFullGame=true", "SAS vs IND - Q1 11:12.00")</f>
        <v>SAS vs IND - Q1 11:12.00</v>
      </c>
      <c r="L4399">
        <v>26</v>
      </c>
      <c r="M4399">
        <v>146</v>
      </c>
      <c r="N4399">
        <v>210</v>
      </c>
      <c r="O4399">
        <v>146</v>
      </c>
      <c r="P4399">
        <v>210</v>
      </c>
    </row>
    <row r="4400" spans="1:16" x14ac:dyDescent="0.25">
      <c r="A4400">
        <v>22300537</v>
      </c>
      <c r="B4400">
        <v>2023</v>
      </c>
      <c r="C4400" t="s">
        <v>16</v>
      </c>
      <c r="D4400" t="s">
        <v>19</v>
      </c>
      <c r="E4400">
        <v>66</v>
      </c>
      <c r="F4400">
        <v>87</v>
      </c>
      <c r="G4400">
        <v>3</v>
      </c>
      <c r="H4400" s="1">
        <v>3.3680555555555556E-3</v>
      </c>
      <c r="I4400" t="s">
        <v>23</v>
      </c>
      <c r="J4400" s="2" t="str">
        <f>HYPERLINK("https://www.nba.com/stats/events?CFID=&amp;CFPARAMS=&amp;GameEventID=401&amp;GameID=0022300537&amp;Season=2023-24&amp;flag=1&amp;title=Leonard%2025'%203PT%20pullup%20(20%20PTS)", "25' 3PT pullup (20 PTS)")</f>
        <v>25' 3PT pullup (20 PTS)</v>
      </c>
      <c r="K4400" s="2" t="str">
        <f>HYPERLINK("https://www.nba.com/game/...-vs-...-0022300537/play-by-play?watchFullGame=true", "LAC vs MEM - Q3 04:51.00")</f>
        <v>LAC vs MEM - Q3 04:51.00</v>
      </c>
      <c r="L4400">
        <v>25.96</v>
      </c>
      <c r="M4400">
        <v>71.569999999999993</v>
      </c>
      <c r="N4400">
        <v>79.17</v>
      </c>
      <c r="O4400">
        <v>146</v>
      </c>
      <c r="P4400">
        <v>215</v>
      </c>
    </row>
    <row r="4401" spans="1:16" x14ac:dyDescent="0.25">
      <c r="A4401">
        <v>22000799</v>
      </c>
      <c r="B4401">
        <v>2020</v>
      </c>
      <c r="C4401" t="s">
        <v>16</v>
      </c>
      <c r="D4401" t="s">
        <v>19</v>
      </c>
      <c r="E4401">
        <v>36</v>
      </c>
      <c r="F4401">
        <v>41</v>
      </c>
      <c r="G4401">
        <v>2</v>
      </c>
      <c r="H4401" s="1">
        <v>5.2777777777777779E-3</v>
      </c>
      <c r="I4401" t="s">
        <v>23</v>
      </c>
      <c r="J4401" s="2" t="str">
        <f>HYPERLINK("https://www.nba.com/stats/events?CFID=&amp;CFPARAMS=&amp;GameEventID=230&amp;GameID=0022000799&amp;Season=2020-21&amp;flag=1&amp;title=Leonard%2028'%203PT%20%20(7%20PTS)", "28' 3PT  (7 PTS)")</f>
        <v>28' 3PT  (7 PTS)</v>
      </c>
      <c r="K4401" s="2" t="str">
        <f>HYPERLINK("https://www.nba.com/game/...-vs-...-0022000799/play-by-play?watchFullGame=true", "LAC vs HOU - Q2 07:36.00")</f>
        <v>LAC vs HOU - Q2 07:36.00</v>
      </c>
      <c r="L4401">
        <v>28.91</v>
      </c>
      <c r="M4401">
        <v>67.89</v>
      </c>
      <c r="N4401">
        <v>79.239999999999995</v>
      </c>
      <c r="O4401">
        <v>146</v>
      </c>
      <c r="P4401">
        <v>249</v>
      </c>
    </row>
    <row r="4402" spans="1:16" x14ac:dyDescent="0.25">
      <c r="A4402">
        <v>41800112</v>
      </c>
      <c r="B4402" t="s">
        <v>20</v>
      </c>
      <c r="C4402" t="s">
        <v>32</v>
      </c>
      <c r="D4402" t="s">
        <v>29</v>
      </c>
      <c r="E4402">
        <v>59</v>
      </c>
      <c r="F4402">
        <v>45</v>
      </c>
      <c r="G4402">
        <v>3</v>
      </c>
      <c r="H4402" s="1">
        <v>6.7824074074074071E-3</v>
      </c>
      <c r="I4402" t="s">
        <v>21</v>
      </c>
      <c r="J4402" s="2" t="str">
        <f>HYPERLINK("https://www.nba.com/stats/events?CFID=&amp;CFPARAMS=&amp;GameEventID=361&amp;GameID=0041800112&amp;Season=2018-19&amp;flag=1&amp;title=Leonard%2015'%20Pullup%20Jump%20Shot%20(22%20PTS)", "Leonard 15' Pullup Jump Shot (22 PTS)")</f>
        <v>Leonard 15' Pullup Jump Shot (22 PTS)</v>
      </c>
      <c r="K4402" s="2" t="str">
        <f>HYPERLINK("https://www.nba.com/game/...-vs-...-0041800112/play-by-play?watchFullGame=true", "TOR vs ORL - Q3 09:46.00")</f>
        <v>TOR vs ORL - Q3 09:46.00</v>
      </c>
      <c r="L4402">
        <v>15</v>
      </c>
      <c r="M4402">
        <v>147</v>
      </c>
      <c r="N4402">
        <v>-10</v>
      </c>
      <c r="O4402">
        <v>147</v>
      </c>
      <c r="P4402">
        <v>-10</v>
      </c>
    </row>
    <row r="4403" spans="1:16" x14ac:dyDescent="0.25">
      <c r="A4403">
        <v>21600182</v>
      </c>
      <c r="B4403">
        <v>2016</v>
      </c>
      <c r="C4403" t="s">
        <v>32</v>
      </c>
      <c r="D4403" t="s">
        <v>29</v>
      </c>
      <c r="E4403">
        <v>66</v>
      </c>
      <c r="F4403">
        <v>80</v>
      </c>
      <c r="G4403">
        <v>3</v>
      </c>
      <c r="H4403" s="1">
        <v>2.9745370370370373E-3</v>
      </c>
      <c r="I4403" t="s">
        <v>18</v>
      </c>
      <c r="J4403" s="2" t="str">
        <f>HYPERLINK("https://www.nba.com/stats/events?CFID=&amp;CFPARAMS=&amp;GameEventID=326&amp;GameID=0021600182&amp;Season=2016-17&amp;flag=1&amp;title=Leonard%2015'%20Pullup%20Jump%20Shot%20(12%20PTS)", "Leonard 15' Pullup Jump Shot (12 PTS)")</f>
        <v>Leonard 15' Pullup Jump Shot (12 PTS)</v>
      </c>
      <c r="K4403" s="2" t="str">
        <f>HYPERLINK("https://www.nba.com/game/...-vs-...-0021600182/play-by-play?watchFullGame=true", "SAS vs LAL - Q3 04:17.00")</f>
        <v>SAS vs LAL - Q3 04:17.00</v>
      </c>
      <c r="L4403">
        <v>15</v>
      </c>
      <c r="M4403">
        <v>147</v>
      </c>
      <c r="N4403">
        <v>11</v>
      </c>
      <c r="O4403">
        <v>147</v>
      </c>
      <c r="P4403">
        <v>11</v>
      </c>
    </row>
    <row r="4404" spans="1:16" x14ac:dyDescent="0.25">
      <c r="A4404">
        <v>21900576</v>
      </c>
      <c r="B4404">
        <v>2019</v>
      </c>
      <c r="C4404" t="s">
        <v>32</v>
      </c>
      <c r="D4404" t="s">
        <v>22</v>
      </c>
      <c r="E4404">
        <v>37</v>
      </c>
      <c r="F4404">
        <v>37</v>
      </c>
      <c r="G4404">
        <v>2</v>
      </c>
      <c r="H4404" s="1">
        <v>3.0208333333333333E-3</v>
      </c>
      <c r="I4404" t="s">
        <v>23</v>
      </c>
      <c r="J4404" s="2" t="str">
        <f>HYPERLINK("https://www.nba.com/stats/events?CFID=&amp;CFPARAMS=&amp;GameEventID=269&amp;GameID=0021900576&amp;Season=2019-20&amp;flag=1&amp;title=Leonard%2015'%20jumpshot%20(12%20PTS)%20(L.%20Williams%204%20AST)", "15' jumpshot (12 PTS) (L. Williams 4 AST)")</f>
        <v>15' jumpshot (12 PTS) (L. Williams 4 AST)</v>
      </c>
      <c r="K4404" s="2" t="str">
        <f>HYPERLINK("https://www.nba.com/game/...-vs-...-0021900576/play-by-play?watchFullGame=true", "LAC vs GSW - Q2 04:21.00")</f>
        <v>LAC vs GSW - Q2 04:21.00</v>
      </c>
      <c r="L4404">
        <v>14.85</v>
      </c>
      <c r="M4404">
        <v>92.56</v>
      </c>
      <c r="N4404">
        <v>79.34</v>
      </c>
      <c r="O4404">
        <v>147</v>
      </c>
      <c r="P4404">
        <v>17</v>
      </c>
    </row>
    <row r="4405" spans="1:16" x14ac:dyDescent="0.25">
      <c r="A4405">
        <v>22000061</v>
      </c>
      <c r="B4405">
        <v>2020</v>
      </c>
      <c r="C4405" t="s">
        <v>16</v>
      </c>
      <c r="D4405" t="s">
        <v>19</v>
      </c>
      <c r="E4405">
        <v>91</v>
      </c>
      <c r="F4405">
        <v>62</v>
      </c>
      <c r="G4405">
        <v>3</v>
      </c>
      <c r="H4405" s="1">
        <v>5.6134259259259262E-3</v>
      </c>
      <c r="I4405" t="s">
        <v>23</v>
      </c>
      <c r="J4405" s="2" t="str">
        <f>HYPERLINK("https://www.nba.com/stats/events?CFID=&amp;CFPARAMS=&amp;GameEventID=349&amp;GameID=0022000061&amp;Season=2020-21&amp;flag=1&amp;title=Leonard%2025'%203PT%20step%20back%20(22%20PTS)", "25' 3PT step back (22 PTS)")</f>
        <v>25' 3PT step back (22 PTS)</v>
      </c>
      <c r="K4405" s="2" t="str">
        <f>HYPERLINK("https://www.nba.com/game/...-vs-...-0022000061/play-by-play?watchFullGame=true", "LAC vs POR - Q3 08:05.00")</f>
        <v>LAC vs POR - Q3 08:05.00</v>
      </c>
      <c r="L4405">
        <v>25.54</v>
      </c>
      <c r="M4405">
        <v>72.22</v>
      </c>
      <c r="N4405">
        <v>79.48</v>
      </c>
      <c r="O4405">
        <v>147</v>
      </c>
      <c r="P4405">
        <v>209</v>
      </c>
    </row>
    <row r="4406" spans="1:16" x14ac:dyDescent="0.25">
      <c r="A4406">
        <v>21400282</v>
      </c>
      <c r="B4406">
        <v>2014</v>
      </c>
      <c r="C4406" t="s">
        <v>16</v>
      </c>
      <c r="D4406" t="s">
        <v>19</v>
      </c>
      <c r="E4406">
        <v>0</v>
      </c>
      <c r="F4406">
        <v>5</v>
      </c>
      <c r="G4406">
        <v>1</v>
      </c>
      <c r="H4406" s="1">
        <v>7.4999999999999997E-3</v>
      </c>
      <c r="I4406" t="s">
        <v>18</v>
      </c>
      <c r="J4406" s="2" t="str">
        <f>HYPERLINK("https://www.nba.com/stats/events?CFID=&amp;CFPARAMS=&amp;GameEventID=11&amp;GameID=0021400282&amp;Season=2014-15&amp;flag=1&amp;title=Leonard%2026'%203PT%20Jump%20Shot%20(3%20PTS)%20(Parker%201%20AST)", "Leonard 26' 3PT Jump Shot (3 PTS) (Parker 1 AST)")</f>
        <v>Leonard 26' 3PT Jump Shot (3 PTS) (Parker 1 AST)</v>
      </c>
      <c r="K4406" s="2" t="str">
        <f>HYPERLINK("https://www.nba.com/game/...-vs-...-0021400282/play-by-play?watchFullGame=true", "SAS vs MEM - Q1 10:48.00")</f>
        <v>SAS vs MEM - Q1 10:48.00</v>
      </c>
      <c r="L4406">
        <v>26</v>
      </c>
      <c r="M4406">
        <v>147</v>
      </c>
      <c r="N4406">
        <v>211</v>
      </c>
      <c r="O4406">
        <v>147</v>
      </c>
      <c r="P4406">
        <v>211</v>
      </c>
    </row>
    <row r="4407" spans="1:16" x14ac:dyDescent="0.25">
      <c r="A4407">
        <v>22000400</v>
      </c>
      <c r="B4407">
        <v>2020</v>
      </c>
      <c r="C4407" t="s">
        <v>32</v>
      </c>
      <c r="D4407" t="s">
        <v>19</v>
      </c>
      <c r="E4407">
        <v>74</v>
      </c>
      <c r="F4407">
        <v>82</v>
      </c>
      <c r="G4407">
        <v>3</v>
      </c>
      <c r="H4407" s="1">
        <v>2.5925925925925925E-3</v>
      </c>
      <c r="I4407" t="s">
        <v>23</v>
      </c>
      <c r="J4407" s="2" t="str">
        <f>HYPERLINK("https://www.nba.com/stats/events?CFID=&amp;CFPARAMS=&amp;GameEventID=391&amp;GameID=0022000400&amp;Season=2020-21&amp;flag=1&amp;title=Leonard%2015'%20Jump%20Shot%20(24%20PTS)", "15' Jump Shot (24 PTS)")</f>
        <v>15' Jump Shot (24 PTS)</v>
      </c>
      <c r="K4407" s="2" t="str">
        <f>HYPERLINK("https://www.nba.com/game/...-vs-...-0022000400/play-by-play?watchFullGame=true", "LAC vs CHI - Q3 03:44.00")</f>
        <v>LAC vs CHI - Q3 03:44.00</v>
      </c>
      <c r="L4407">
        <v>15</v>
      </c>
      <c r="M4407">
        <v>8.23</v>
      </c>
      <c r="N4407">
        <v>20.41</v>
      </c>
      <c r="O4407">
        <v>148</v>
      </c>
      <c r="P4407">
        <v>25</v>
      </c>
    </row>
    <row r="4408" spans="1:16" x14ac:dyDescent="0.25">
      <c r="A4408">
        <v>22300964</v>
      </c>
      <c r="B4408">
        <v>2023</v>
      </c>
      <c r="C4408" t="s">
        <v>32</v>
      </c>
      <c r="D4408" t="s">
        <v>19</v>
      </c>
      <c r="E4408">
        <v>7</v>
      </c>
      <c r="F4408">
        <v>9</v>
      </c>
      <c r="G4408">
        <v>1</v>
      </c>
      <c r="H4408" s="1">
        <v>3.9351851851851848E-3</v>
      </c>
      <c r="I4408" t="s">
        <v>23</v>
      </c>
      <c r="J4408" s="2" t="str">
        <f>HYPERLINK("https://www.nba.com/stats/events?CFID=&amp;CFPARAMS=&amp;GameEventID=62&amp;GameID=0022300964&amp;Season=2023-24&amp;flag=1&amp;title=Leonard%2015'%20Jump%20Shot%20(5%20PTS)", "15' Jump Shot (5 PTS)")</f>
        <v>15' Jump Shot (5 PTS)</v>
      </c>
      <c r="K4408" s="2" t="str">
        <f>HYPERLINK("https://www.nba.com/game/...-vs-...-0022300964/play-by-play?watchFullGame=true", "LAC vs NOP - Q1 05:40.00")</f>
        <v>LAC vs NOP - Q1 05:40.00</v>
      </c>
      <c r="L4408">
        <v>15.75</v>
      </c>
      <c r="M4408">
        <v>88.78</v>
      </c>
      <c r="N4408">
        <v>79.66</v>
      </c>
      <c r="O4408">
        <v>148</v>
      </c>
      <c r="P4408">
        <v>53</v>
      </c>
    </row>
    <row r="4409" spans="1:16" x14ac:dyDescent="0.25">
      <c r="A4409">
        <v>21600717</v>
      </c>
      <c r="B4409">
        <v>2016</v>
      </c>
      <c r="C4409" t="s">
        <v>16</v>
      </c>
      <c r="D4409" t="s">
        <v>19</v>
      </c>
      <c r="E4409">
        <v>66</v>
      </c>
      <c r="F4409">
        <v>57</v>
      </c>
      <c r="G4409">
        <v>3</v>
      </c>
      <c r="H4409" s="1">
        <v>6.4930555555555557E-3</v>
      </c>
      <c r="I4409" t="s">
        <v>18</v>
      </c>
      <c r="J4409" s="2" t="str">
        <f>HYPERLINK("https://www.nba.com/stats/events?CFID=&amp;CFPARAMS=&amp;GameEventID=289&amp;GameID=0021600717&amp;Season=2016-17&amp;flag=1&amp;title=Leonard%2025'%203PT%20Jump%20Shot%20(14%20PTS)%20(Aldridge%204%20AST)", "Leonard 25' 3PT Jump Shot (14 PTS) (Aldridge 4 AST)")</f>
        <v>Leonard 25' 3PT Jump Shot (14 PTS) (Aldridge 4 AST)</v>
      </c>
      <c r="K4409" s="2" t="str">
        <f>HYPERLINK("https://www.nba.com/game/...-vs-...-0021600717/play-by-play?watchFullGame=true", "SAS vs DAL - Q3 09:21.00")</f>
        <v>SAS vs DAL - Q3 09:21.00</v>
      </c>
      <c r="L4409">
        <v>25</v>
      </c>
      <c r="M4409">
        <v>148</v>
      </c>
      <c r="N4409">
        <v>203</v>
      </c>
      <c r="O4409">
        <v>148</v>
      </c>
      <c r="P4409">
        <v>203</v>
      </c>
    </row>
    <row r="4410" spans="1:16" x14ac:dyDescent="0.25">
      <c r="A4410">
        <v>22200423</v>
      </c>
      <c r="B4410">
        <v>2022</v>
      </c>
      <c r="C4410" t="s">
        <v>16</v>
      </c>
      <c r="D4410" t="s">
        <v>19</v>
      </c>
      <c r="E4410">
        <v>38</v>
      </c>
      <c r="F4410">
        <v>41</v>
      </c>
      <c r="G4410">
        <v>2</v>
      </c>
      <c r="H4410" s="1">
        <v>1.9097222222222223E-4</v>
      </c>
      <c r="I4410" t="s">
        <v>23</v>
      </c>
      <c r="J4410" s="2" t="str">
        <f>HYPERLINK("https://www.nba.com/stats/events?CFID=&amp;CFPARAMS=&amp;GameEventID=318&amp;GameID=0022200423&amp;Season=2022-23&amp;flag=1&amp;title=Leonard%2025'%203PT%20step%20back%20(9%20PTS)", "25' 3PT step back (9 PTS)")</f>
        <v>25' 3PT step back (9 PTS)</v>
      </c>
      <c r="K4410" s="2" t="str">
        <f>HYPERLINK("https://www.nba.com/game/...-vs-...-0022200423/play-by-play?watchFullGame=true", "LAC vs MIN - Q2 00:16.50")</f>
        <v>LAC vs MIN - Q2 00:16.50</v>
      </c>
      <c r="L4410">
        <v>25.42</v>
      </c>
      <c r="M4410">
        <v>72.45</v>
      </c>
      <c r="N4410">
        <v>79.66</v>
      </c>
      <c r="O4410">
        <v>148</v>
      </c>
      <c r="P4410">
        <v>206</v>
      </c>
    </row>
    <row r="4411" spans="1:16" x14ac:dyDescent="0.25">
      <c r="A4411">
        <v>21900224</v>
      </c>
      <c r="B4411">
        <v>2019</v>
      </c>
      <c r="C4411" t="s">
        <v>16</v>
      </c>
      <c r="D4411" t="s">
        <v>22</v>
      </c>
      <c r="E4411">
        <v>36</v>
      </c>
      <c r="F4411">
        <v>27</v>
      </c>
      <c r="G4411">
        <v>2</v>
      </c>
      <c r="H4411" s="1">
        <v>7.6041666666666671E-3</v>
      </c>
      <c r="I4411" t="s">
        <v>23</v>
      </c>
      <c r="J4411" s="2" t="str">
        <f>HYPERLINK("https://www.nba.com/stats/events?CFID=&amp;CFPARAMS=&amp;GameEventID=172&amp;GameID=0021900224&amp;Season=2019-20&amp;flag=1&amp;title=Leonard%2026'%203PT%20%20(6%20PTS)%20(L.%20Williams%204%20AST)", "26' 3PT  (6 PTS) (L. Williams 4 AST)")</f>
        <v>26' 3PT  (6 PTS) (L. Williams 4 AST)</v>
      </c>
      <c r="K4411" s="2" t="str">
        <f>HYPERLINK("https://www.nba.com/game/...-vs-...-0021900224/play-by-play?watchFullGame=true", "LAC vs HOU - Q2 10:57.00")</f>
        <v>LAC vs HOU - Q2 10:57.00</v>
      </c>
      <c r="L4411">
        <v>25.95</v>
      </c>
      <c r="M4411">
        <v>72.319999999999993</v>
      </c>
      <c r="N4411">
        <v>79.59</v>
      </c>
      <c r="O4411">
        <v>148</v>
      </c>
      <c r="P4411">
        <v>208</v>
      </c>
    </row>
    <row r="4412" spans="1:16" x14ac:dyDescent="0.25">
      <c r="A4412">
        <v>41800217</v>
      </c>
      <c r="B4412" t="s">
        <v>20</v>
      </c>
      <c r="C4412" t="s">
        <v>32</v>
      </c>
      <c r="D4412" t="s">
        <v>33</v>
      </c>
      <c r="E4412">
        <v>92</v>
      </c>
      <c r="F4412">
        <v>90</v>
      </c>
      <c r="G4412">
        <v>4</v>
      </c>
      <c r="H4412" s="1">
        <v>0</v>
      </c>
      <c r="I4412" t="s">
        <v>21</v>
      </c>
      <c r="J4412" s="2" t="str">
        <f>HYPERLINK("https://www.nba.com/stats/events?CFID=&amp;CFPARAMS=&amp;GameEventID=603&amp;GameID=0041800217&amp;Season=2018-19&amp;flag=1&amp;title=Leonard%2015'%20Fadeaway%20Jumper%20(41%20PTS)", "Leonard 15' Fadeaway Jumper (41 PTS)")</f>
        <v>Leonard 15' Fadeaway Jumper (41 PTS)</v>
      </c>
      <c r="K4412" s="2" t="str">
        <f>HYPERLINK("https://www.nba.com/game/...-vs-...-0041800217/play-by-play?watchFullGame=true", "TOR vs PHI - Q4 00:00.00")</f>
        <v>TOR vs PHI - Q4 00:00.00</v>
      </c>
      <c r="L4412">
        <v>15</v>
      </c>
      <c r="M4412">
        <v>149</v>
      </c>
      <c r="N4412">
        <v>32</v>
      </c>
      <c r="O4412">
        <v>149</v>
      </c>
      <c r="P4412">
        <v>32</v>
      </c>
    </row>
    <row r="4413" spans="1:16" x14ac:dyDescent="0.25">
      <c r="A4413">
        <v>21400220</v>
      </c>
      <c r="B4413">
        <v>2014</v>
      </c>
      <c r="C4413" t="s">
        <v>32</v>
      </c>
      <c r="D4413" t="s">
        <v>19</v>
      </c>
      <c r="E4413">
        <v>104</v>
      </c>
      <c r="F4413">
        <v>93</v>
      </c>
      <c r="G4413">
        <v>4</v>
      </c>
      <c r="H4413" s="1">
        <v>1.2962962962962963E-3</v>
      </c>
      <c r="I4413" t="s">
        <v>18</v>
      </c>
      <c r="J4413" s="2" t="str">
        <f>HYPERLINK("https://www.nba.com/stats/events?CFID=&amp;CFPARAMS=&amp;GameEventID=468&amp;GameID=0021400220&amp;Season=2014-15&amp;flag=1&amp;title=Leonard%2015'%20Jump%20Shot%20(20%20PTS)", "Leonard 15' Jump Shot (20 PTS)")</f>
        <v>Leonard 15' Jump Shot (20 PTS)</v>
      </c>
      <c r="K4413" s="2" t="str">
        <f>HYPERLINK("https://www.nba.com/game/...-vs-...-0021400220/play-by-play?watchFullGame=true", "SAS vs IND - Q4 01:52.00")</f>
        <v>SAS vs IND - Q4 01:52.00</v>
      </c>
      <c r="L4413">
        <v>15</v>
      </c>
      <c r="M4413">
        <v>149</v>
      </c>
      <c r="N4413">
        <v>41</v>
      </c>
      <c r="O4413">
        <v>149</v>
      </c>
      <c r="P4413">
        <v>41</v>
      </c>
    </row>
    <row r="4414" spans="1:16" x14ac:dyDescent="0.25">
      <c r="A4414">
        <v>21900157</v>
      </c>
      <c r="B4414">
        <v>2019</v>
      </c>
      <c r="C4414" t="s">
        <v>32</v>
      </c>
      <c r="D4414" t="s">
        <v>22</v>
      </c>
      <c r="E4414">
        <v>36</v>
      </c>
      <c r="F4414">
        <v>21</v>
      </c>
      <c r="G4414">
        <v>2</v>
      </c>
      <c r="H4414" s="1">
        <v>6.5046296296296293E-3</v>
      </c>
      <c r="I4414" t="s">
        <v>23</v>
      </c>
      <c r="J4414" s="2" t="str">
        <f>HYPERLINK("https://www.nba.com/stats/events?CFID=&amp;CFPARAMS=&amp;GameEventID=220&amp;GameID=0021900157&amp;Season=2019-20&amp;flag=1&amp;title=Leonard%2022'%20jumpshot%20(11%20PTS)", "22' jumpshot (11 PTS)")</f>
        <v>22' jumpshot (11 PTS)</v>
      </c>
      <c r="K4414" s="2" t="str">
        <f>HYPERLINK("https://www.nba.com/game/...-vs-...-0021900157/play-by-play?watchFullGame=true", "LAC vs HOU - Q2 09:22.00")</f>
        <v>LAC vs HOU - Q2 09:22.00</v>
      </c>
      <c r="L4414">
        <v>21.52</v>
      </c>
      <c r="M4414">
        <v>78.5</v>
      </c>
      <c r="N4414">
        <v>79.83</v>
      </c>
      <c r="O4414">
        <v>149</v>
      </c>
      <c r="P4414">
        <v>150</v>
      </c>
    </row>
    <row r="4415" spans="1:16" x14ac:dyDescent="0.25">
      <c r="A4415">
        <v>21900419</v>
      </c>
      <c r="B4415">
        <v>2019</v>
      </c>
      <c r="C4415" t="s">
        <v>32</v>
      </c>
      <c r="D4415" t="s">
        <v>22</v>
      </c>
      <c r="E4415">
        <v>62</v>
      </c>
      <c r="F4415">
        <v>48</v>
      </c>
      <c r="G4415">
        <v>2</v>
      </c>
      <c r="H4415" s="1">
        <v>2.0254629629629629E-3</v>
      </c>
      <c r="I4415" t="s">
        <v>23</v>
      </c>
      <c r="J4415" s="2" t="str">
        <f>HYPERLINK("https://www.nba.com/stats/events?CFID=&amp;CFPARAMS=&amp;GameEventID=274&amp;GameID=0021900419&amp;Season=2019-20&amp;flag=1&amp;title=Leonard%2022'%20jumpshot%20(15%20PTS)", "22' jumpshot (15 PTS)")</f>
        <v>22' jumpshot (15 PTS)</v>
      </c>
      <c r="K4415" s="2" t="str">
        <f>HYPERLINK("https://www.nba.com/game/...-vs-...-0021900419/play-by-play?watchFullGame=true", "LAC vs HOU - Q2 02:55.00")</f>
        <v>LAC vs HOU - Q2 02:55.00</v>
      </c>
      <c r="L4415">
        <v>21.79</v>
      </c>
      <c r="M4415">
        <v>78.099999999999994</v>
      </c>
      <c r="N4415">
        <v>79.83</v>
      </c>
      <c r="O4415">
        <v>149</v>
      </c>
      <c r="P4415">
        <v>153</v>
      </c>
    </row>
    <row r="4416" spans="1:16" x14ac:dyDescent="0.25">
      <c r="A4416">
        <v>21401157</v>
      </c>
      <c r="B4416">
        <v>2014</v>
      </c>
      <c r="C4416" t="s">
        <v>16</v>
      </c>
      <c r="D4416" t="s">
        <v>19</v>
      </c>
      <c r="E4416">
        <v>8</v>
      </c>
      <c r="F4416">
        <v>21</v>
      </c>
      <c r="G4416">
        <v>1</v>
      </c>
      <c r="H4416" s="1">
        <v>2.1064814814814813E-3</v>
      </c>
      <c r="I4416" t="s">
        <v>18</v>
      </c>
      <c r="J4416" s="2" t="str">
        <f>HYPERLINK("https://www.nba.com/stats/events?CFID=&amp;CFPARAMS=&amp;GameEventID=108&amp;GameID=0021401157&amp;Season=2014-15&amp;flag=1&amp;title=Leonard%2025'%203PT%20Jump%20Shot%20(12%20PTS)%20(Diaw%201%20AST)", "Leonard 25' 3PT Jump Shot (12 PTS) (Diaw 1 AST)")</f>
        <v>Leonard 25' 3PT Jump Shot (12 PTS) (Diaw 1 AST)</v>
      </c>
      <c r="K4416" s="2" t="str">
        <f>HYPERLINK("https://www.nba.com/game/...-vs-...-0021401157/play-by-play?watchFullGame=true", "SAS vs OKC - Q1 03:02.00")</f>
        <v>SAS vs OKC - Q1 03:02.00</v>
      </c>
      <c r="L4416">
        <v>25</v>
      </c>
      <c r="M4416">
        <v>149</v>
      </c>
      <c r="N4416">
        <v>203</v>
      </c>
      <c r="O4416">
        <v>149</v>
      </c>
      <c r="P4416">
        <v>203</v>
      </c>
    </row>
    <row r="4417" spans="1:16" x14ac:dyDescent="0.25">
      <c r="A4417">
        <v>22000799</v>
      </c>
      <c r="B4417">
        <v>2020</v>
      </c>
      <c r="C4417" t="s">
        <v>16</v>
      </c>
      <c r="D4417" t="s">
        <v>19</v>
      </c>
      <c r="E4417">
        <v>115</v>
      </c>
      <c r="F4417">
        <v>101</v>
      </c>
      <c r="G4417">
        <v>4</v>
      </c>
      <c r="H4417" s="1">
        <v>2.9629629629629628E-3</v>
      </c>
      <c r="I4417" t="s">
        <v>23</v>
      </c>
      <c r="J4417" s="2" t="str">
        <f>HYPERLINK("https://www.nba.com/stats/events?CFID=&amp;CFPARAMS=&amp;GameEventID=592&amp;GameID=0022000799&amp;Season=2020-21&amp;flag=1&amp;title=Leonard%2027'%203PT%20%20(26%20PTS)%20(R.%20Jackson%207%20AST)", "27' 3PT  (26 PTS) (R. Jackson 7 AST)")</f>
        <v>27' 3PT  (26 PTS) (R. Jackson 7 AST)</v>
      </c>
      <c r="K4417" s="2" t="str">
        <f>HYPERLINK("https://www.nba.com/game/...-vs-...-0022000799/play-by-play?watchFullGame=true", "LAC vs HOU - Q4 04:16.00")</f>
        <v>LAC vs HOU - Q4 04:16.00</v>
      </c>
      <c r="L4417">
        <v>27.2</v>
      </c>
      <c r="M4417">
        <v>29.78</v>
      </c>
      <c r="N4417">
        <v>20.170000000000002</v>
      </c>
      <c r="O4417">
        <v>149</v>
      </c>
      <c r="P4417">
        <v>227</v>
      </c>
    </row>
    <row r="4418" spans="1:16" x14ac:dyDescent="0.25">
      <c r="A4418">
        <v>21900224</v>
      </c>
      <c r="B4418">
        <v>2019</v>
      </c>
      <c r="C4418" t="s">
        <v>16</v>
      </c>
      <c r="D4418" t="s">
        <v>22</v>
      </c>
      <c r="E4418">
        <v>51</v>
      </c>
      <c r="F4418">
        <v>47</v>
      </c>
      <c r="G4418">
        <v>2</v>
      </c>
      <c r="H4418" s="1">
        <v>1.5162037037037036E-3</v>
      </c>
      <c r="I4418" t="s">
        <v>23</v>
      </c>
      <c r="J4418" s="2" t="str">
        <f>HYPERLINK("https://www.nba.com/stats/events?CFID=&amp;CFPARAMS=&amp;GameEventID=320&amp;GameID=0021900224&amp;Season=2019-20&amp;flag=1&amp;title=Leonard%2028'%203PT%20%20(11%20PTS)%20(I.%20Zubac%202%20AST)", "28' 3PT  (11 PTS) (I. Zubac 2 AST)")</f>
        <v>28' 3PT  (11 PTS) (I. Zubac 2 AST)</v>
      </c>
      <c r="K4418" s="2" t="str">
        <f>HYPERLINK("https://www.nba.com/game/...-vs-...-0021900224/play-by-play?watchFullGame=true", "LAC vs HOU - Q2 02:11.00")</f>
        <v>LAC vs HOU - Q2 02:11.00</v>
      </c>
      <c r="L4418">
        <v>27.77</v>
      </c>
      <c r="M4418">
        <v>70.09</v>
      </c>
      <c r="N4418">
        <v>79.83</v>
      </c>
      <c r="O4418">
        <v>149</v>
      </c>
      <c r="P4418">
        <v>229</v>
      </c>
    </row>
    <row r="4419" spans="1:16" x14ac:dyDescent="0.25">
      <c r="A4419">
        <v>41800406</v>
      </c>
      <c r="B4419" t="s">
        <v>20</v>
      </c>
      <c r="C4419" t="s">
        <v>16</v>
      </c>
      <c r="D4419" t="s">
        <v>19</v>
      </c>
      <c r="E4419">
        <v>64</v>
      </c>
      <c r="F4419">
        <v>67</v>
      </c>
      <c r="G4419">
        <v>3</v>
      </c>
      <c r="H4419" s="1">
        <v>6.3310185185185188E-3</v>
      </c>
      <c r="I4419" t="s">
        <v>21</v>
      </c>
      <c r="J4419" s="2" t="str">
        <f>HYPERLINK("https://www.nba.com/stats/events?CFID=&amp;CFPARAMS=&amp;GameEventID=349&amp;GameID=0041800406&amp;Season=2018-19&amp;flag=1&amp;title=Leonard%2029'%203PT%20Jump%20Shot%20(12%20PTS)%20(Gasol%203%20AST)", "Leonard 29' 3PT Jump Shot (12 PTS) (Gasol 3 AST)")</f>
        <v>Leonard 29' 3PT Jump Shot (12 PTS) (Gasol 3 AST)</v>
      </c>
      <c r="K4419" s="2" t="str">
        <f>HYPERLINK("https://www.nba.com/game/...-vs-...-0041800406/play-by-play?watchFullGame=true", "TOR vs GSW - Q3 09:07.00")</f>
        <v>TOR vs GSW - Q3 09:07.00</v>
      </c>
      <c r="L4419">
        <v>29</v>
      </c>
      <c r="M4419">
        <v>149</v>
      </c>
      <c r="N4419">
        <v>251</v>
      </c>
      <c r="O4419">
        <v>149</v>
      </c>
      <c r="P4419">
        <v>251</v>
      </c>
    </row>
    <row r="4420" spans="1:16" x14ac:dyDescent="0.25">
      <c r="A4420">
        <v>21500450</v>
      </c>
      <c r="B4420">
        <v>2015</v>
      </c>
      <c r="C4420" t="s">
        <v>32</v>
      </c>
      <c r="D4420" t="s">
        <v>31</v>
      </c>
      <c r="E4420">
        <v>61</v>
      </c>
      <c r="F4420">
        <v>46</v>
      </c>
      <c r="G4420">
        <v>3</v>
      </c>
      <c r="H4420" s="1">
        <v>6.3888888888888893E-3</v>
      </c>
      <c r="I4420" t="s">
        <v>18</v>
      </c>
      <c r="J4420" s="2" t="str">
        <f>HYPERLINK("https://www.nba.com/stats/events?CFID=&amp;CFPARAMS=&amp;GameEventID=254&amp;GameID=0021500450&amp;Season=2015-16&amp;flag=1&amp;title=Leonard%2015'%20Step%20Back%20Jump%20Shot%20(11%20PTS)", "Leonard 15' Step Back Jump Shot (11 PTS)")</f>
        <v>Leonard 15' Step Back Jump Shot (11 PTS)</v>
      </c>
      <c r="K4420" s="2" t="str">
        <f>HYPERLINK("https://www.nba.com/game/...-vs-...-0021500450/play-by-play?watchFullGame=true", "SAS vs DEN - Q3 09:12.00")</f>
        <v>SAS vs DEN - Q3 09:12.00</v>
      </c>
      <c r="L4420">
        <v>15</v>
      </c>
      <c r="M4420">
        <v>150</v>
      </c>
      <c r="N4420">
        <v>-6</v>
      </c>
      <c r="O4420">
        <v>150</v>
      </c>
      <c r="P4420">
        <v>-6</v>
      </c>
    </row>
    <row r="4421" spans="1:16" x14ac:dyDescent="0.25">
      <c r="A4421">
        <v>21600817</v>
      </c>
      <c r="B4421">
        <v>2016</v>
      </c>
      <c r="C4421" t="s">
        <v>32</v>
      </c>
      <c r="D4421" t="s">
        <v>19</v>
      </c>
      <c r="E4421">
        <v>4</v>
      </c>
      <c r="F4421">
        <v>4</v>
      </c>
      <c r="G4421">
        <v>1</v>
      </c>
      <c r="H4421" s="1">
        <v>6.7013888888888887E-3</v>
      </c>
      <c r="I4421" t="s">
        <v>18</v>
      </c>
      <c r="J4421" s="2" t="str">
        <f>HYPERLINK("https://www.nba.com/stats/events?CFID=&amp;CFPARAMS=&amp;GameEventID=13&amp;GameID=0021600817&amp;Season=2016-17&amp;flag=1&amp;title=Leonard%2015'%20Jump%20Shot%20(2%20PTS)%20(Parker%201%20AST)", "Leonard 15' Jump Shot (2 PTS) (Parker 1 AST)")</f>
        <v>Leonard 15' Jump Shot (2 PTS) (Parker 1 AST)</v>
      </c>
      <c r="K4421" s="2" t="str">
        <f>HYPERLINK("https://www.nba.com/game/...-vs-...-0021600817/play-by-play?watchFullGame=true", "SAS vs NYK - Q1 09:39.00")</f>
        <v>SAS vs NYK - Q1 09:39.00</v>
      </c>
      <c r="L4421">
        <v>15</v>
      </c>
      <c r="M4421">
        <v>150</v>
      </c>
      <c r="N4421">
        <v>-5</v>
      </c>
      <c r="O4421">
        <v>150</v>
      </c>
      <c r="P4421">
        <v>-5</v>
      </c>
    </row>
    <row r="4422" spans="1:16" x14ac:dyDescent="0.25">
      <c r="A4422">
        <v>22300160</v>
      </c>
      <c r="B4422">
        <v>2023</v>
      </c>
      <c r="C4422" t="s">
        <v>32</v>
      </c>
      <c r="D4422" t="s">
        <v>19</v>
      </c>
      <c r="E4422">
        <v>11</v>
      </c>
      <c r="F4422">
        <v>12</v>
      </c>
      <c r="G4422">
        <v>1</v>
      </c>
      <c r="H4422" s="1">
        <v>3.7499999999999999E-3</v>
      </c>
      <c r="I4422" t="s">
        <v>23</v>
      </c>
      <c r="J4422" s="2" t="str">
        <f>HYPERLINK("https://www.nba.com/stats/events?CFID=&amp;CFPARAMS=&amp;GameEventID=76&amp;GameID=0022300160&amp;Season=2023-24&amp;flag=1&amp;title=Leonard%2015'%20running%20Jump%20Shot%20(2%20PTS)%20(J.%20Harden%201%20AST)", "15' running Jump Shot (2 PTS) (J. Harden 1 AST)")</f>
        <v>15' running Jump Shot (2 PTS) (J. Harden 1 AST)</v>
      </c>
      <c r="K4422" s="2" t="str">
        <f>HYPERLINK("https://www.nba.com/game/...-vs-...-0022300160/play-by-play?watchFullGame=true", "LAC vs BKN - Q1 05:24.00")</f>
        <v>LAC vs BKN - Q1 05:24.00</v>
      </c>
      <c r="L4422">
        <v>15.59</v>
      </c>
      <c r="M4422">
        <v>89.7</v>
      </c>
      <c r="N4422">
        <v>79.900000000000006</v>
      </c>
      <c r="O4422">
        <v>150</v>
      </c>
      <c r="P4422">
        <v>44</v>
      </c>
    </row>
    <row r="4423" spans="1:16" x14ac:dyDescent="0.25">
      <c r="A4423">
        <v>21501140</v>
      </c>
      <c r="B4423">
        <v>2015</v>
      </c>
      <c r="C4423" t="s">
        <v>32</v>
      </c>
      <c r="D4423" t="s">
        <v>19</v>
      </c>
      <c r="E4423">
        <v>36</v>
      </c>
      <c r="F4423">
        <v>26</v>
      </c>
      <c r="G4423">
        <v>2</v>
      </c>
      <c r="H4423" s="1">
        <v>5.9722222222222225E-3</v>
      </c>
      <c r="I4423" t="s">
        <v>18</v>
      </c>
      <c r="J4423" s="2" t="str">
        <f>HYPERLINK("https://www.nba.com/stats/events?CFID=&amp;CFPARAMS=&amp;GameEventID=137&amp;GameID=0021501140&amp;Season=2015-16&amp;flag=1&amp;title=Leonard%2017'%20Jump%20Shot%20(7%20PTS)%20(West%202%20AST)", "Leonard 17' Jump Shot (7 PTS) (West 2 AST)")</f>
        <v>Leonard 17' Jump Shot (7 PTS) (West 2 AST)</v>
      </c>
      <c r="K4423" s="2" t="str">
        <f>HYPERLINK("https://www.nba.com/game/...-vs-...-0021501140/play-by-play?watchFullGame=true", "SAS vs TOR - Q2 08:36.00")</f>
        <v>SAS vs TOR - Q2 08:36.00</v>
      </c>
      <c r="L4423">
        <v>17</v>
      </c>
      <c r="M4423">
        <v>150</v>
      </c>
      <c r="N4423">
        <v>72</v>
      </c>
      <c r="O4423">
        <v>150</v>
      </c>
      <c r="P4423">
        <v>72</v>
      </c>
    </row>
    <row r="4424" spans="1:16" x14ac:dyDescent="0.25">
      <c r="A4424">
        <v>41500153</v>
      </c>
      <c r="B4424" t="s">
        <v>25</v>
      </c>
      <c r="C4424" t="s">
        <v>32</v>
      </c>
      <c r="D4424" t="s">
        <v>19</v>
      </c>
      <c r="E4424">
        <v>73</v>
      </c>
      <c r="F4424">
        <v>72</v>
      </c>
      <c r="G4424">
        <v>4</v>
      </c>
      <c r="H4424" s="1">
        <v>7.8472222222222224E-3</v>
      </c>
      <c r="I4424" t="s">
        <v>18</v>
      </c>
      <c r="J4424" s="2" t="str">
        <f>HYPERLINK("https://www.nba.com/stats/events?CFID=&amp;CFPARAMS=&amp;GameEventID=377&amp;GameID=0041500153&amp;Season=2015-16&amp;flag=1&amp;title=Leonard%2018'%20Jump%20Shot%20(21%20PTS)%20(West%201%20AST)", "Leonard 18' Jump Shot (21 PTS) (West 1 AST)")</f>
        <v>Leonard 18' Jump Shot (21 PTS) (West 1 AST)</v>
      </c>
      <c r="K4424" s="2" t="str">
        <f>HYPERLINK("https://www.nba.com/game/...-vs-...-0041500153/play-by-play?watchFullGame=true", "SAS vs MEM - Q4 11:18.00")</f>
        <v>SAS vs MEM - Q4 11:18.00</v>
      </c>
      <c r="L4424">
        <v>18</v>
      </c>
      <c r="M4424">
        <v>150</v>
      </c>
      <c r="N4424">
        <v>106</v>
      </c>
      <c r="O4424">
        <v>150</v>
      </c>
      <c r="P4424">
        <v>106</v>
      </c>
    </row>
    <row r="4425" spans="1:16" x14ac:dyDescent="0.25">
      <c r="A4425">
        <v>21901307</v>
      </c>
      <c r="B4425">
        <v>2019</v>
      </c>
      <c r="C4425" t="s">
        <v>32</v>
      </c>
      <c r="D4425" t="s">
        <v>22</v>
      </c>
      <c r="E4425">
        <v>45</v>
      </c>
      <c r="F4425">
        <v>41</v>
      </c>
      <c r="G4425">
        <v>2</v>
      </c>
      <c r="H4425" s="1">
        <v>3.6921296296296298E-3</v>
      </c>
      <c r="I4425" t="s">
        <v>23</v>
      </c>
      <c r="J4425" s="2" t="str">
        <f>HYPERLINK("https://www.nba.com/stats/events?CFID=&amp;CFPARAMS=&amp;GameEventID=249&amp;GameID=0021901307&amp;Season=2019-20&amp;flag=1&amp;title=Leonard%2020'%20jumpshot%20(10%20PTS)", "20' jumpshot (10 PTS)")</f>
        <v>20' jumpshot (10 PTS)</v>
      </c>
      <c r="K4425" s="2" t="str">
        <f>HYPERLINK("https://www.nba.com/game/...-vs-...-0021901307/play-by-play?watchFullGame=true", "LAC vs DEN - Q2 05:19.00")</f>
        <v>LAC vs DEN - Q2 05:19.00</v>
      </c>
      <c r="L4425">
        <v>19.510000000000002</v>
      </c>
      <c r="M4425">
        <v>18.22</v>
      </c>
      <c r="N4425">
        <v>19.920000000000002</v>
      </c>
      <c r="O4425">
        <v>150</v>
      </c>
      <c r="P4425">
        <v>119</v>
      </c>
    </row>
    <row r="4426" spans="1:16" x14ac:dyDescent="0.25">
      <c r="A4426">
        <v>21601161</v>
      </c>
      <c r="B4426">
        <v>2016</v>
      </c>
      <c r="C4426" t="s">
        <v>16</v>
      </c>
      <c r="D4426" t="s">
        <v>19</v>
      </c>
      <c r="E4426">
        <v>71</v>
      </c>
      <c r="F4426">
        <v>60</v>
      </c>
      <c r="G4426">
        <v>4</v>
      </c>
      <c r="H4426" s="1">
        <v>5.4398148148148149E-3</v>
      </c>
      <c r="I4426" t="s">
        <v>18</v>
      </c>
      <c r="J4426" s="2" t="str">
        <f>HYPERLINK("https://www.nba.com/stats/events?CFID=&amp;CFPARAMS=&amp;GameEventID=383&amp;GameID=0021601161&amp;Season=2016-17&amp;flag=1&amp;title=Leonard%2024'%203PT%20Jump%20Shot%20(20%20PTS)%20(Parker%206%20AST)", "Leonard 24' 3PT Jump Shot (20 PTS) (Parker 6 AST)")</f>
        <v>Leonard 24' 3PT Jump Shot (20 PTS) (Parker 6 AST)</v>
      </c>
      <c r="K4426" s="2" t="str">
        <f>HYPERLINK("https://www.nba.com/game/...-vs-...-0021601161/play-by-play?watchFullGame=true", "SAS vs MEM - Q4 07:50.00")</f>
        <v>SAS vs MEM - Q4 07:50.00</v>
      </c>
      <c r="L4426">
        <v>24</v>
      </c>
      <c r="M4426">
        <v>150</v>
      </c>
      <c r="N4426">
        <v>188</v>
      </c>
      <c r="O4426">
        <v>150</v>
      </c>
      <c r="P4426">
        <v>188</v>
      </c>
    </row>
    <row r="4427" spans="1:16" x14ac:dyDescent="0.25">
      <c r="A4427">
        <v>21500784</v>
      </c>
      <c r="B4427">
        <v>2015</v>
      </c>
      <c r="C4427" t="s">
        <v>16</v>
      </c>
      <c r="D4427" t="s">
        <v>19</v>
      </c>
      <c r="E4427">
        <v>54</v>
      </c>
      <c r="F4427">
        <v>61</v>
      </c>
      <c r="G4427">
        <v>3</v>
      </c>
      <c r="H4427" s="1">
        <v>6.3425925925925924E-3</v>
      </c>
      <c r="I4427" t="s">
        <v>18</v>
      </c>
      <c r="J4427" s="2" t="str">
        <f>HYPERLINK("https://www.nba.com/stats/events?CFID=&amp;CFPARAMS=&amp;GameEventID=267&amp;GameID=0021500784&amp;Season=2015-16&amp;flag=1&amp;title=Leonard%2024'%203PT%20Jump%20Shot%20(11%20PTS)%20(West%203%20AST)", "Leonard 24' 3PT Jump Shot (11 PTS) (West 3 AST)")</f>
        <v>Leonard 24' 3PT Jump Shot (11 PTS) (West 3 AST)</v>
      </c>
      <c r="K4427" s="2" t="str">
        <f>HYPERLINK("https://www.nba.com/game/...-vs-...-0021500784/play-by-play?watchFullGame=true", "SAS vs MIA - Q3 09:08.00")</f>
        <v>SAS vs MIA - Q3 09:08.00</v>
      </c>
      <c r="L4427">
        <v>24</v>
      </c>
      <c r="M4427">
        <v>150</v>
      </c>
      <c r="N4427">
        <v>190</v>
      </c>
      <c r="O4427">
        <v>150</v>
      </c>
      <c r="P4427">
        <v>190</v>
      </c>
    </row>
    <row r="4428" spans="1:16" x14ac:dyDescent="0.25">
      <c r="A4428">
        <v>21500516</v>
      </c>
      <c r="B4428">
        <v>2015</v>
      </c>
      <c r="C4428" t="s">
        <v>16</v>
      </c>
      <c r="D4428" t="s">
        <v>19</v>
      </c>
      <c r="E4428">
        <v>15</v>
      </c>
      <c r="F4428">
        <v>9</v>
      </c>
      <c r="G4428">
        <v>1</v>
      </c>
      <c r="H4428" s="1">
        <v>4.2939814814814811E-3</v>
      </c>
      <c r="I4428" t="s">
        <v>18</v>
      </c>
      <c r="J4428" s="2" t="str">
        <f>HYPERLINK("https://www.nba.com/stats/events?CFID=&amp;CFPARAMS=&amp;GameEventID=59&amp;GameID=0021500516&amp;Season=2015-16&amp;flag=1&amp;title=Leonard%2025'%203PT%20Jump%20Shot%20(5%20PTS)%20(Duncan%201%20AST)", "Leonard 25' 3PT Jump Shot (5 PTS) (Duncan 1 AST)")</f>
        <v>Leonard 25' 3PT Jump Shot (5 PTS) (Duncan 1 AST)</v>
      </c>
      <c r="K4428" s="2" t="str">
        <f>HYPERLINK("https://www.nba.com/game/...-vs-...-0021500516/play-by-play?watchFullGame=true", "SAS vs MIL - Q1 06:11.00")</f>
        <v>SAS vs MIL - Q1 06:11.00</v>
      </c>
      <c r="L4428">
        <v>25</v>
      </c>
      <c r="M4428">
        <v>150</v>
      </c>
      <c r="N4428">
        <v>203</v>
      </c>
      <c r="O4428">
        <v>150</v>
      </c>
      <c r="P4428">
        <v>203</v>
      </c>
    </row>
    <row r="4429" spans="1:16" x14ac:dyDescent="0.25">
      <c r="A4429">
        <v>21500280</v>
      </c>
      <c r="B4429">
        <v>2015</v>
      </c>
      <c r="C4429" t="s">
        <v>16</v>
      </c>
      <c r="D4429" t="s">
        <v>19</v>
      </c>
      <c r="E4429">
        <v>25</v>
      </c>
      <c r="F4429">
        <v>32</v>
      </c>
      <c r="G4429">
        <v>2</v>
      </c>
      <c r="H4429" s="1">
        <v>5.0694444444444441E-3</v>
      </c>
      <c r="I4429" t="s">
        <v>18</v>
      </c>
      <c r="J4429" s="2" t="str">
        <f>HYPERLINK("https://www.nba.com/stats/events?CFID=&amp;CFPARAMS=&amp;GameEventID=173&amp;GameID=0021500280&amp;Season=2015-16&amp;flag=1&amp;title=Leonard%2025'%203PT%20Jump%20Shot%20(5%20PTS)%20(Duncan%202%20AST)", "Leonard 25' 3PT Jump Shot (5 PTS) (Duncan 2 AST)")</f>
        <v>Leonard 25' 3PT Jump Shot (5 PTS) (Duncan 2 AST)</v>
      </c>
      <c r="K4429" s="2" t="str">
        <f>HYPERLINK("https://www.nba.com/game/...-vs-...-0021500280/play-by-play?watchFullGame=true", "SAS vs MEM - Q2 07:18.00")</f>
        <v>SAS vs MEM - Q2 07:18.00</v>
      </c>
      <c r="L4429">
        <v>25</v>
      </c>
      <c r="M4429">
        <v>150</v>
      </c>
      <c r="N4429">
        <v>203</v>
      </c>
      <c r="O4429">
        <v>150</v>
      </c>
      <c r="P4429">
        <v>203</v>
      </c>
    </row>
    <row r="4430" spans="1:16" x14ac:dyDescent="0.25">
      <c r="A4430">
        <v>41600154</v>
      </c>
      <c r="B4430" t="s">
        <v>30</v>
      </c>
      <c r="C4430" t="s">
        <v>16</v>
      </c>
      <c r="D4430" t="s">
        <v>19</v>
      </c>
      <c r="E4430">
        <v>88</v>
      </c>
      <c r="F4430">
        <v>83</v>
      </c>
      <c r="G4430">
        <v>4</v>
      </c>
      <c r="H4430" s="1">
        <v>2.7083333333333334E-3</v>
      </c>
      <c r="I4430" t="s">
        <v>18</v>
      </c>
      <c r="J4430" s="2" t="str">
        <f>HYPERLINK("https://www.nba.com/stats/events?CFID=&amp;CFPARAMS=&amp;GameEventID=454&amp;GameID=0041600154&amp;Season=2016-17&amp;flag=1&amp;title=Leonard%2025'%203PT%20Jump%20Shot%20(22%20PTS)%20(Parker%205%20AST)", "Leonard 25' 3PT Jump Shot (22 PTS) (Parker 5 AST)")</f>
        <v>Leonard 25' 3PT Jump Shot (22 PTS) (Parker 5 AST)</v>
      </c>
      <c r="K4430" s="2" t="str">
        <f>HYPERLINK("https://www.nba.com/game/...-vs-...-0041600154/play-by-play?watchFullGame=true", "SAS vs MEM - Q4 03:54.00")</f>
        <v>SAS vs MEM - Q4 03:54.00</v>
      </c>
      <c r="L4430">
        <v>25</v>
      </c>
      <c r="M4430">
        <v>150</v>
      </c>
      <c r="N4430">
        <v>203</v>
      </c>
      <c r="O4430">
        <v>150</v>
      </c>
      <c r="P4430">
        <v>203</v>
      </c>
    </row>
    <row r="4431" spans="1:16" x14ac:dyDescent="0.25">
      <c r="A4431">
        <v>21500590</v>
      </c>
      <c r="B4431">
        <v>2015</v>
      </c>
      <c r="C4431" t="s">
        <v>16</v>
      </c>
      <c r="D4431" t="s">
        <v>19</v>
      </c>
      <c r="E4431">
        <v>64</v>
      </c>
      <c r="F4431">
        <v>64</v>
      </c>
      <c r="G4431">
        <v>3</v>
      </c>
      <c r="H4431" s="1">
        <v>2.476851851851852E-3</v>
      </c>
      <c r="I4431" t="s">
        <v>18</v>
      </c>
      <c r="J4431" s="2" t="str">
        <f>HYPERLINK("https://www.nba.com/stats/events?CFID=&amp;CFPARAMS=&amp;GameEventID=327&amp;GameID=0021500590&amp;Season=2015-16&amp;flag=1&amp;title=Leonard%2025'%203PT%20Jump%20Shot%20(14%20PTS)", "Leonard 25' 3PT Jump Shot (14 PTS)")</f>
        <v>Leonard 25' 3PT Jump Shot (14 PTS)</v>
      </c>
      <c r="K4431" s="2" t="str">
        <f>HYPERLINK("https://www.nba.com/game/...-vs-...-0021500590/play-by-play?watchFullGame=true", "SAS vs CLE - Q3 03:34.00")</f>
        <v>SAS vs CLE - Q3 03:34.00</v>
      </c>
      <c r="L4431">
        <v>25</v>
      </c>
      <c r="M4431">
        <v>150</v>
      </c>
      <c r="N4431">
        <v>203</v>
      </c>
      <c r="O4431">
        <v>150</v>
      </c>
      <c r="P4431">
        <v>203</v>
      </c>
    </row>
    <row r="4432" spans="1:16" x14ac:dyDescent="0.25">
      <c r="A4432">
        <v>41800404</v>
      </c>
      <c r="B4432" t="s">
        <v>20</v>
      </c>
      <c r="C4432" t="s">
        <v>16</v>
      </c>
      <c r="D4432" t="s">
        <v>19</v>
      </c>
      <c r="E4432">
        <v>46</v>
      </c>
      <c r="F4432">
        <v>45</v>
      </c>
      <c r="G4432">
        <v>3</v>
      </c>
      <c r="H4432" s="1">
        <v>7.9861111111111105E-3</v>
      </c>
      <c r="I4432" t="s">
        <v>21</v>
      </c>
      <c r="J4432" s="2" t="str">
        <f>HYPERLINK("https://www.nba.com/stats/events?CFID=&amp;CFPARAMS=&amp;GameEventID=330&amp;GameID=0041800404&amp;Season=2018-19&amp;flag=1&amp;title=Leonard%2026'%203PT%20Jump%20Shot%20(17%20PTS)%20(VanVleet%202%20AST)", "Leonard 26' 3PT Jump Shot (17 PTS) (VanVleet 2 AST)")</f>
        <v>Leonard 26' 3PT Jump Shot (17 PTS) (VanVleet 2 AST)</v>
      </c>
      <c r="K4432" s="2" t="str">
        <f>HYPERLINK("https://www.nba.com/game/...-vs-...-0041800404/play-by-play?watchFullGame=true", "TOR vs GSW - Q3 11:30.00")</f>
        <v>TOR vs GSW - Q3 11:30.00</v>
      </c>
      <c r="L4432">
        <v>26</v>
      </c>
      <c r="M4432">
        <v>150</v>
      </c>
      <c r="N4432">
        <v>211</v>
      </c>
      <c r="O4432">
        <v>150</v>
      </c>
      <c r="P4432">
        <v>211</v>
      </c>
    </row>
    <row r="4433" spans="1:16" x14ac:dyDescent="0.25">
      <c r="A4433">
        <v>21601033</v>
      </c>
      <c r="B4433">
        <v>2016</v>
      </c>
      <c r="C4433" t="s">
        <v>16</v>
      </c>
      <c r="D4433" t="s">
        <v>19</v>
      </c>
      <c r="E4433">
        <v>42</v>
      </c>
      <c r="F4433">
        <v>41</v>
      </c>
      <c r="G4433">
        <v>2</v>
      </c>
      <c r="H4433" s="1">
        <v>3.7037037037037035E-4</v>
      </c>
      <c r="I4433" t="s">
        <v>18</v>
      </c>
      <c r="J4433" s="2" t="str">
        <f>HYPERLINK("https://www.nba.com/stats/events?CFID=&amp;CFPARAMS=&amp;GameEventID=234&amp;GameID=0021601033&amp;Season=2016-17&amp;flag=1&amp;title=Leonard%2027'%203PT%20Jump%20Shot%20(9%20PTS)%20(Aldridge%202%20AST)", "Leonard 27' 3PT Jump Shot (9 PTS) (Aldridge 2 AST)")</f>
        <v>Leonard 27' 3PT Jump Shot (9 PTS) (Aldridge 2 AST)</v>
      </c>
      <c r="K4433" s="2" t="str">
        <f>HYPERLINK("https://www.nba.com/game/...-vs-...-0021601033/play-by-play?watchFullGame=true", "SAS vs MEM - Q2 00:32.00")</f>
        <v>SAS vs MEM - Q2 00:32.00</v>
      </c>
      <c r="L4433">
        <v>27</v>
      </c>
      <c r="M4433">
        <v>150</v>
      </c>
      <c r="N4433">
        <v>228</v>
      </c>
      <c r="O4433">
        <v>150</v>
      </c>
      <c r="P4433">
        <v>228</v>
      </c>
    </row>
    <row r="4434" spans="1:16" x14ac:dyDescent="0.25">
      <c r="A4434">
        <v>22300304</v>
      </c>
      <c r="B4434">
        <v>2023</v>
      </c>
      <c r="C4434" t="s">
        <v>32</v>
      </c>
      <c r="D4434" t="s">
        <v>19</v>
      </c>
      <c r="E4434">
        <v>31</v>
      </c>
      <c r="F4434">
        <v>22</v>
      </c>
      <c r="G4434">
        <v>1</v>
      </c>
      <c r="H4434" s="1">
        <v>1.9560185185185184E-3</v>
      </c>
      <c r="I4434" t="s">
        <v>23</v>
      </c>
      <c r="J4434" s="2" t="str">
        <f>HYPERLINK("https://www.nba.com/stats/events?CFID=&amp;CFPARAMS=&amp;GameEventID=106&amp;GameID=0022300304&amp;Season=2023-24&amp;flag=1&amp;title=Leonard%2015'%20fadeaway%20Jump%20Shot%20(6%20PTS)%20(R.%20Westbrook%203%20AST)", "15' fadeaway Jump Shot (6 PTS) (R. Westbrook 3 AST)")</f>
        <v>15' fadeaway Jump Shot (6 PTS) (R. Westbrook 3 AST)</v>
      </c>
      <c r="K4434" s="2" t="str">
        <f>HYPERLINK("https://www.nba.com/game/...-vs-...-0022300304/play-by-play?watchFullGame=true", "LAC vs POR - Q1 02:49.00")</f>
        <v>LAC vs POR - Q1 02:49.00</v>
      </c>
      <c r="L4434">
        <v>15.17</v>
      </c>
      <c r="M4434">
        <v>96.24</v>
      </c>
      <c r="N4434">
        <v>80.150000000000006</v>
      </c>
      <c r="O4434">
        <v>151</v>
      </c>
      <c r="P4434">
        <v>-17</v>
      </c>
    </row>
    <row r="4435" spans="1:16" x14ac:dyDescent="0.25">
      <c r="A4435">
        <v>21500939</v>
      </c>
      <c r="B4435">
        <v>2015</v>
      </c>
      <c r="C4435" t="s">
        <v>32</v>
      </c>
      <c r="D4435" t="s">
        <v>29</v>
      </c>
      <c r="E4435">
        <v>14</v>
      </c>
      <c r="F4435">
        <v>8</v>
      </c>
      <c r="G4435">
        <v>1</v>
      </c>
      <c r="H4435" s="1">
        <v>3.449074074074074E-3</v>
      </c>
      <c r="I4435" t="s">
        <v>18</v>
      </c>
      <c r="J4435" s="2" t="str">
        <f>HYPERLINK("https://www.nba.com/stats/events?CFID=&amp;CFPARAMS=&amp;GameEventID=62&amp;GameID=0021500939&amp;Season=2015-16&amp;flag=1&amp;title=Leonard%2015'%20Pullup%20Jump%20Shot%20(4%20PTS)", "Leonard 15' Pullup Jump Shot (4 PTS)")</f>
        <v>Leonard 15' Pullup Jump Shot (4 PTS)</v>
      </c>
      <c r="K4435" s="2" t="str">
        <f>HYPERLINK("https://www.nba.com/game/...-vs-...-0021500939/play-by-play?watchFullGame=true", "SAS vs IND - Q1 04:58.00")</f>
        <v>SAS vs IND - Q1 04:58.00</v>
      </c>
      <c r="L4435">
        <v>15</v>
      </c>
      <c r="M4435">
        <v>151</v>
      </c>
      <c r="N4435">
        <v>-11</v>
      </c>
      <c r="O4435">
        <v>151</v>
      </c>
      <c r="P4435">
        <v>-11</v>
      </c>
    </row>
    <row r="4436" spans="1:16" x14ac:dyDescent="0.25">
      <c r="A4436">
        <v>22300280</v>
      </c>
      <c r="B4436">
        <v>2023</v>
      </c>
      <c r="C4436" t="s">
        <v>32</v>
      </c>
      <c r="D4436" t="s">
        <v>19</v>
      </c>
      <c r="E4436">
        <v>104</v>
      </c>
      <c r="F4436">
        <v>105</v>
      </c>
      <c r="G4436">
        <v>4</v>
      </c>
      <c r="H4436" s="1">
        <v>1.8402777777777777E-3</v>
      </c>
      <c r="I4436" t="s">
        <v>23</v>
      </c>
      <c r="J4436" s="2" t="str">
        <f>HYPERLINK("https://www.nba.com/stats/events?CFID=&amp;CFPARAMS=&amp;GameEventID=600&amp;GameID=0022300280&amp;Season=2023-24&amp;flag=1&amp;title=Leonard%2015'%20pullup%20Jump%20Shot%20(16%20PTS)%20(J.%20Harden%209%20AST)", "15' pullup Jump Shot (16 PTS) (J. Harden 9 AST)")</f>
        <v>15' pullup Jump Shot (16 PTS) (J. Harden 9 AST)</v>
      </c>
      <c r="K4436" s="2" t="str">
        <f>HYPERLINK("https://www.nba.com/game/...-vs-...-0022300280/play-by-play?watchFullGame=true", "LAC vs GSW - Q4 02:39.00")</f>
        <v>LAC vs GSW - Q4 02:39.00</v>
      </c>
      <c r="L4436">
        <v>15.34</v>
      </c>
      <c r="M4436">
        <v>91.38</v>
      </c>
      <c r="N4436">
        <v>80.150000000000006</v>
      </c>
      <c r="O4436">
        <v>151</v>
      </c>
      <c r="P4436">
        <v>29</v>
      </c>
    </row>
    <row r="4437" spans="1:16" x14ac:dyDescent="0.25">
      <c r="A4437">
        <v>21401157</v>
      </c>
      <c r="B4437">
        <v>2014</v>
      </c>
      <c r="C4437" t="s">
        <v>32</v>
      </c>
      <c r="D4437" t="s">
        <v>19</v>
      </c>
      <c r="E4437">
        <v>31</v>
      </c>
      <c r="F4437">
        <v>52</v>
      </c>
      <c r="G4437">
        <v>2</v>
      </c>
      <c r="H4437" s="1">
        <v>2.9513888888888888E-3</v>
      </c>
      <c r="I4437" t="s">
        <v>18</v>
      </c>
      <c r="J4437" s="2" t="str">
        <f>HYPERLINK("https://www.nba.com/stats/events?CFID=&amp;CFPARAMS=&amp;GameEventID=220&amp;GameID=0021401157&amp;Season=2014-15&amp;flag=1&amp;title=Leonard%2015'%20Jump%20Shot%20(19%20PTS)", "Leonard 15' Jump Shot (19 PTS)")</f>
        <v>Leonard 15' Jump Shot (19 PTS)</v>
      </c>
      <c r="K4437" s="2" t="str">
        <f>HYPERLINK("https://www.nba.com/game/...-vs-...-0021401157/play-by-play?watchFullGame=true", "SAS vs OKC - Q2 04:15.00")</f>
        <v>SAS vs OKC - Q2 04:15.00</v>
      </c>
      <c r="L4437">
        <v>15</v>
      </c>
      <c r="M4437">
        <v>151</v>
      </c>
      <c r="N4437">
        <v>30</v>
      </c>
      <c r="O4437">
        <v>151</v>
      </c>
      <c r="P4437">
        <v>30</v>
      </c>
    </row>
    <row r="4438" spans="1:16" x14ac:dyDescent="0.25">
      <c r="A4438">
        <v>21601085</v>
      </c>
      <c r="B4438">
        <v>2016</v>
      </c>
      <c r="C4438" t="s">
        <v>32</v>
      </c>
      <c r="D4438" t="s">
        <v>19</v>
      </c>
      <c r="E4438">
        <v>18</v>
      </c>
      <c r="F4438">
        <v>11</v>
      </c>
      <c r="G4438">
        <v>1</v>
      </c>
      <c r="H4438" s="1">
        <v>3.3217592592592591E-3</v>
      </c>
      <c r="I4438" t="s">
        <v>18</v>
      </c>
      <c r="J4438" s="2" t="str">
        <f>HYPERLINK("https://www.nba.com/stats/events?CFID=&amp;CFPARAMS=&amp;GameEventID=65&amp;GameID=0021601085&amp;Season=2016-17&amp;flag=1&amp;title=Leonard%2015'%20Jump%20Shot%20(3%20PTS)%20(Mills%201%20AST)", "Leonard 15' Jump Shot (3 PTS) (Mills 1 AST)")</f>
        <v>Leonard 15' Jump Shot (3 PTS) (Mills 1 AST)</v>
      </c>
      <c r="K4438" s="2" t="str">
        <f>HYPERLINK("https://www.nba.com/game/...-vs-...-0021601085/play-by-play?watchFullGame=true", "SAS vs NYK - Q1 04:47.00")</f>
        <v>SAS vs NYK - Q1 04:47.00</v>
      </c>
      <c r="L4438">
        <v>15</v>
      </c>
      <c r="M4438">
        <v>151</v>
      </c>
      <c r="N4438">
        <v>31</v>
      </c>
      <c r="O4438">
        <v>151</v>
      </c>
      <c r="P4438">
        <v>31</v>
      </c>
    </row>
    <row r="4439" spans="1:16" x14ac:dyDescent="0.25">
      <c r="A4439">
        <v>21600744</v>
      </c>
      <c r="B4439">
        <v>2016</v>
      </c>
      <c r="C4439" t="s">
        <v>32</v>
      </c>
      <c r="D4439" t="s">
        <v>29</v>
      </c>
      <c r="E4439">
        <v>33</v>
      </c>
      <c r="F4439">
        <v>30</v>
      </c>
      <c r="G4439">
        <v>2</v>
      </c>
      <c r="H4439" s="1">
        <v>5.4282407407407404E-3</v>
      </c>
      <c r="I4439" t="s">
        <v>18</v>
      </c>
      <c r="J4439" s="2" t="str">
        <f>HYPERLINK("https://www.nba.com/stats/events?CFID=&amp;CFPARAMS=&amp;GameEventID=196&amp;GameID=0021600744&amp;Season=2016-17&amp;flag=1&amp;title=Leonard%2017'%20Pullup%20Jump%20Shot%20(6%20PTS)", "Leonard 17' Pullup Jump Shot (6 PTS)")</f>
        <v>Leonard 17' Pullup Jump Shot (6 PTS)</v>
      </c>
      <c r="K4439" s="2" t="str">
        <f>HYPERLINK("https://www.nba.com/game/...-vs-...-0021600744/play-by-play?watchFullGame=true", "SAS vs PHI - Q2 07:49.00")</f>
        <v>SAS vs PHI - Q2 07:49.00</v>
      </c>
      <c r="L4439">
        <v>17</v>
      </c>
      <c r="M4439">
        <v>151</v>
      </c>
      <c r="N4439">
        <v>85</v>
      </c>
      <c r="O4439">
        <v>151</v>
      </c>
      <c r="P4439">
        <v>85</v>
      </c>
    </row>
    <row r="4440" spans="1:16" x14ac:dyDescent="0.25">
      <c r="A4440">
        <v>22300618</v>
      </c>
      <c r="B4440">
        <v>2023</v>
      </c>
      <c r="C4440" t="s">
        <v>32</v>
      </c>
      <c r="D4440" t="s">
        <v>19</v>
      </c>
      <c r="E4440">
        <v>60</v>
      </c>
      <c r="F4440">
        <v>51</v>
      </c>
      <c r="G4440">
        <v>2</v>
      </c>
      <c r="H4440" s="1">
        <v>3.7384259259259259E-3</v>
      </c>
      <c r="I4440" t="s">
        <v>23</v>
      </c>
      <c r="J4440" s="2" t="str">
        <f>HYPERLINK("https://www.nba.com/stats/events?CFID=&amp;CFPARAMS=&amp;GameEventID=243&amp;GameID=0022300618&amp;Season=2023-24&amp;flag=1&amp;title=Leonard%2017'%20pullup%20Jump%20Shot%20(10%20PTS)", "17' pullup Jump Shot (10 PTS)")</f>
        <v>17' pullup Jump Shot (10 PTS)</v>
      </c>
      <c r="K4440" s="2" t="str">
        <f>HYPERLINK("https://www.nba.com/game/...-vs-...-0022300618/play-by-play?watchFullGame=true", "LAC vs LAL - Q2 05:23.00")</f>
        <v>LAC vs LAL - Q2 05:23.00</v>
      </c>
      <c r="L4440">
        <v>17.829999999999998</v>
      </c>
      <c r="M4440">
        <v>84.28</v>
      </c>
      <c r="N4440">
        <v>80.150000000000006</v>
      </c>
      <c r="O4440">
        <v>151</v>
      </c>
      <c r="P4440">
        <v>95</v>
      </c>
    </row>
    <row r="4441" spans="1:16" x14ac:dyDescent="0.25">
      <c r="A4441">
        <v>21500090</v>
      </c>
      <c r="B4441">
        <v>2015</v>
      </c>
      <c r="C4441" t="s">
        <v>32</v>
      </c>
      <c r="D4441" t="s">
        <v>29</v>
      </c>
      <c r="E4441">
        <v>18</v>
      </c>
      <c r="F4441">
        <v>19</v>
      </c>
      <c r="G4441">
        <v>1</v>
      </c>
      <c r="H4441" s="1">
        <v>1.7708333333333332E-3</v>
      </c>
      <c r="I4441" t="s">
        <v>18</v>
      </c>
      <c r="J4441" s="2" t="str">
        <f>HYPERLINK("https://www.nba.com/stats/events?CFID=&amp;CFPARAMS=&amp;GameEventID=103&amp;GameID=0021500090&amp;Season=2015-16&amp;flag=1&amp;title=Leonard%2018'%20Pullup%20Jump%20Shot%20(4%20PTS)", "Leonard 18' Pullup Jump Shot (4 PTS)")</f>
        <v>Leonard 18' Pullup Jump Shot (4 PTS)</v>
      </c>
      <c r="K4441" s="2" t="str">
        <f>HYPERLINK("https://www.nba.com/game/...-vs-...-0021500090/play-by-play?watchFullGame=true", "SAS vs CHA - Q1 02:33.00")</f>
        <v>SAS vs CHA - Q1 02:33.00</v>
      </c>
      <c r="L4441">
        <v>18</v>
      </c>
      <c r="M4441">
        <v>151</v>
      </c>
      <c r="N4441">
        <v>105</v>
      </c>
      <c r="O4441">
        <v>151</v>
      </c>
      <c r="P4441">
        <v>105</v>
      </c>
    </row>
    <row r="4442" spans="1:16" x14ac:dyDescent="0.25">
      <c r="A4442">
        <v>21400610</v>
      </c>
      <c r="B4442">
        <v>2014</v>
      </c>
      <c r="C4442" t="s">
        <v>32</v>
      </c>
      <c r="D4442" t="s">
        <v>29</v>
      </c>
      <c r="E4442">
        <v>32</v>
      </c>
      <c r="F4442">
        <v>22</v>
      </c>
      <c r="G4442">
        <v>2</v>
      </c>
      <c r="H4442" s="1">
        <v>4.0972222222222226E-3</v>
      </c>
      <c r="I4442" t="s">
        <v>18</v>
      </c>
      <c r="J4442" s="2" t="str">
        <f>HYPERLINK("https://www.nba.com/stats/events?CFID=&amp;CFPARAMS=&amp;GameEventID=187&amp;GameID=0021400610&amp;Season=2014-15&amp;flag=1&amp;title=Leonard%2019'%20Pullup%20Jump%20Shot%20(5%20PTS)%20(Parker%202%20AST)", "Leonard 19' Pullup Jump Shot (5 PTS) (Parker 2 AST)")</f>
        <v>Leonard 19' Pullup Jump Shot (5 PTS) (Parker 2 AST)</v>
      </c>
      <c r="K4442" s="2" t="str">
        <f>HYPERLINK("https://www.nba.com/game/...-vs-...-0021400610/play-by-play?watchFullGame=true", "SAS vs UTA - Q2 05:54.00")</f>
        <v>SAS vs UTA - Q2 05:54.00</v>
      </c>
      <c r="L4442">
        <v>19</v>
      </c>
      <c r="M4442">
        <v>151</v>
      </c>
      <c r="N4442">
        <v>108</v>
      </c>
      <c r="O4442">
        <v>151</v>
      </c>
      <c r="P4442">
        <v>108</v>
      </c>
    </row>
    <row r="4443" spans="1:16" x14ac:dyDescent="0.25">
      <c r="A4443">
        <v>21500960</v>
      </c>
      <c r="B4443">
        <v>2015</v>
      </c>
      <c r="C4443" t="s">
        <v>32</v>
      </c>
      <c r="D4443" t="s">
        <v>19</v>
      </c>
      <c r="E4443">
        <v>27</v>
      </c>
      <c r="F4443">
        <v>22</v>
      </c>
      <c r="G4443">
        <v>1</v>
      </c>
      <c r="H4443" s="1">
        <v>1.8634259259259259E-3</v>
      </c>
      <c r="I4443" t="s">
        <v>18</v>
      </c>
      <c r="J4443" s="2" t="str">
        <f>HYPERLINK("https://www.nba.com/stats/events?CFID=&amp;CFPARAMS=&amp;GameEventID=86&amp;GameID=0021500960&amp;Season=2015-16&amp;flag=1&amp;title=Leonard%2019'%20Jump%20Shot%20(11%20PTS)%20(Mills%201%20AST)", "Leonard 19' Jump Shot (11 PTS) (Mills 1 AST)")</f>
        <v>Leonard 19' Jump Shot (11 PTS) (Mills 1 AST)</v>
      </c>
      <c r="K4443" s="2" t="str">
        <f>HYPERLINK("https://www.nba.com/game/...-vs-...-0021500960/play-by-play?watchFullGame=true", "SAS vs CHI - Q1 02:41.00")</f>
        <v>SAS vs CHI - Q1 02:41.00</v>
      </c>
      <c r="L4443">
        <v>19</v>
      </c>
      <c r="M4443">
        <v>151</v>
      </c>
      <c r="N4443">
        <v>116</v>
      </c>
      <c r="O4443">
        <v>151</v>
      </c>
      <c r="P4443">
        <v>116</v>
      </c>
    </row>
    <row r="4444" spans="1:16" x14ac:dyDescent="0.25">
      <c r="A4444">
        <v>21600264</v>
      </c>
      <c r="B4444">
        <v>2016</v>
      </c>
      <c r="C4444" t="s">
        <v>32</v>
      </c>
      <c r="D4444" t="s">
        <v>19</v>
      </c>
      <c r="E4444">
        <v>2</v>
      </c>
      <c r="F4444">
        <v>2</v>
      </c>
      <c r="G4444">
        <v>1</v>
      </c>
      <c r="H4444" s="1">
        <v>7.8703703703703696E-3</v>
      </c>
      <c r="I4444" t="s">
        <v>18</v>
      </c>
      <c r="J4444" s="2" t="str">
        <f>HYPERLINK("https://www.nba.com/stats/events?CFID=&amp;CFPARAMS=&amp;GameEventID=3&amp;GameID=0021600264&amp;Season=2016-17&amp;flag=1&amp;title=Leonard%2020'%20Jump%20Shot%20(2%20PTS)%20(Gasol%201%20AST)", "Leonard 20' Jump Shot (2 PTS) (Gasol 1 AST)")</f>
        <v>Leonard 20' Jump Shot (2 PTS) (Gasol 1 AST)</v>
      </c>
      <c r="K4444" s="2" t="str">
        <f>HYPERLINK("https://www.nba.com/game/...-vs-...-0021600264/play-by-play?watchFullGame=true", "SAS vs ORL - Q1 11:20.00")</f>
        <v>SAS vs ORL - Q1 11:20.00</v>
      </c>
      <c r="L4444">
        <v>20</v>
      </c>
      <c r="M4444">
        <v>151</v>
      </c>
      <c r="N4444">
        <v>129</v>
      </c>
      <c r="O4444">
        <v>151</v>
      </c>
      <c r="P4444">
        <v>129</v>
      </c>
    </row>
    <row r="4445" spans="1:16" x14ac:dyDescent="0.25">
      <c r="A4445">
        <v>21600588</v>
      </c>
      <c r="B4445">
        <v>2016</v>
      </c>
      <c r="C4445" t="s">
        <v>32</v>
      </c>
      <c r="D4445" t="s">
        <v>29</v>
      </c>
      <c r="E4445">
        <v>78</v>
      </c>
      <c r="F4445">
        <v>57</v>
      </c>
      <c r="G4445">
        <v>3</v>
      </c>
      <c r="H4445" s="1">
        <v>6.5972222222222222E-3</v>
      </c>
      <c r="I4445" t="s">
        <v>18</v>
      </c>
      <c r="J4445" s="2" t="str">
        <f>HYPERLINK("https://www.nba.com/stats/events?CFID=&amp;CFPARAMS=&amp;GameEventID=314&amp;GameID=0021600588&amp;Season=2016-17&amp;flag=1&amp;title=Leonard%2021'%20Pullup%20Jump%20Shot%20(25%20PTS)", "Leonard 21' Pullup Jump Shot (25 PTS)")</f>
        <v>Leonard 21' Pullup Jump Shot (25 PTS)</v>
      </c>
      <c r="K4445" s="2" t="str">
        <f>HYPERLINK("https://www.nba.com/game/...-vs-...-0021600588/play-by-play?watchFullGame=true", "SAS vs LAL - Q3 09:30.00")</f>
        <v>SAS vs LAL - Q3 09:30.00</v>
      </c>
      <c r="L4445">
        <v>21</v>
      </c>
      <c r="M4445">
        <v>151</v>
      </c>
      <c r="N4445">
        <v>141</v>
      </c>
      <c r="O4445">
        <v>151</v>
      </c>
      <c r="P4445">
        <v>141</v>
      </c>
    </row>
    <row r="4446" spans="1:16" x14ac:dyDescent="0.25">
      <c r="A4446">
        <v>21400139</v>
      </c>
      <c r="B4446">
        <v>2014</v>
      </c>
      <c r="C4446" t="s">
        <v>32</v>
      </c>
      <c r="D4446" t="s">
        <v>19</v>
      </c>
      <c r="E4446">
        <v>69</v>
      </c>
      <c r="F4446">
        <v>66</v>
      </c>
      <c r="G4446">
        <v>3</v>
      </c>
      <c r="H4446" s="1">
        <v>9.9537037037037042E-4</v>
      </c>
      <c r="I4446" t="s">
        <v>18</v>
      </c>
      <c r="J4446" s="2" t="str">
        <f>HYPERLINK("https://www.nba.com/stats/events?CFID=&amp;CFPARAMS=&amp;GameEventID=340&amp;GameID=0021400139&amp;Season=2014-15&amp;flag=1&amp;title=Leonard%2021'%20Jump%20Shot%20(11%20PTS)%20(Joseph%202%20AST)", "Leonard 21' Jump Shot (11 PTS) (Joseph 2 AST)")</f>
        <v>Leonard 21' Jump Shot (11 PTS) (Joseph 2 AST)</v>
      </c>
      <c r="K4446" s="2" t="str">
        <f>HYPERLINK("https://www.nba.com/game/...-vs-...-0021400139/play-by-play?watchFullGame=true", "SAS vs SAC - Q3 01:26.00")</f>
        <v>SAS vs SAC - Q3 01:26.00</v>
      </c>
      <c r="L4446">
        <v>21</v>
      </c>
      <c r="M4446">
        <v>151</v>
      </c>
      <c r="N4446">
        <v>145</v>
      </c>
      <c r="O4446">
        <v>151</v>
      </c>
      <c r="P4446">
        <v>145</v>
      </c>
    </row>
    <row r="4447" spans="1:16" x14ac:dyDescent="0.25">
      <c r="A4447">
        <v>21401181</v>
      </c>
      <c r="B4447">
        <v>2014</v>
      </c>
      <c r="C4447" t="s">
        <v>32</v>
      </c>
      <c r="D4447" t="s">
        <v>19</v>
      </c>
      <c r="E4447">
        <v>57</v>
      </c>
      <c r="F4447">
        <v>56</v>
      </c>
      <c r="G4447">
        <v>3</v>
      </c>
      <c r="H4447" s="1">
        <v>5.7291666666666663E-3</v>
      </c>
      <c r="I4447" t="s">
        <v>18</v>
      </c>
      <c r="J4447" s="2" t="str">
        <f>HYPERLINK("https://www.nba.com/stats/events?CFID=&amp;CFPARAMS=&amp;GameEventID=296&amp;GameID=0021401181&amp;Season=2014-15&amp;flag=1&amp;title=Leonard%2022'%20Jump%20Shot%20(8%20PTS)", "Leonard 22' Jump Shot (8 PTS)")</f>
        <v>Leonard 22' Jump Shot (8 PTS)</v>
      </c>
      <c r="K4447" s="2" t="str">
        <f>HYPERLINK("https://www.nba.com/game/...-vs-...-0021401181/play-by-play?watchFullGame=true", "SAS vs HOU - Q3 08:15.00")</f>
        <v>SAS vs HOU - Q3 08:15.00</v>
      </c>
      <c r="L4447">
        <v>22</v>
      </c>
      <c r="M4447">
        <v>151</v>
      </c>
      <c r="N4447">
        <v>160</v>
      </c>
      <c r="O4447">
        <v>151</v>
      </c>
      <c r="P4447">
        <v>160</v>
      </c>
    </row>
    <row r="4448" spans="1:16" x14ac:dyDescent="0.25">
      <c r="A4448">
        <v>21600994</v>
      </c>
      <c r="B4448">
        <v>2016</v>
      </c>
      <c r="C4448" t="s">
        <v>16</v>
      </c>
      <c r="D4448" t="s">
        <v>29</v>
      </c>
      <c r="E4448">
        <v>100</v>
      </c>
      <c r="F4448">
        <v>91</v>
      </c>
      <c r="G4448">
        <v>4</v>
      </c>
      <c r="H4448" s="1">
        <v>1.4699074074074074E-3</v>
      </c>
      <c r="I4448" t="s">
        <v>18</v>
      </c>
      <c r="J4448" s="2" t="str">
        <f>HYPERLINK("https://www.nba.com/stats/events?CFID=&amp;CFPARAMS=&amp;GameEventID=509&amp;GameID=0021600994&amp;Season=2016-17&amp;flag=1&amp;title=Leonard%2026'%203PT%20Pullup%20Jump%20Shot%20(26%20PTS)", "Leonard 26' 3PT Pullup Jump Shot (26 PTS)")</f>
        <v>Leonard 26' 3PT Pullup Jump Shot (26 PTS)</v>
      </c>
      <c r="K4448" s="2" t="str">
        <f>HYPERLINK("https://www.nba.com/game/...-vs-...-0021600994/play-by-play?watchFullGame=true", "SAS vs ATL - Q4 02:07.00")</f>
        <v>SAS vs ATL - Q4 02:07.00</v>
      </c>
      <c r="L4448">
        <v>26</v>
      </c>
      <c r="M4448">
        <v>151</v>
      </c>
      <c r="N4448">
        <v>213</v>
      </c>
      <c r="O4448">
        <v>151</v>
      </c>
      <c r="P4448">
        <v>213</v>
      </c>
    </row>
    <row r="4449" spans="1:16" x14ac:dyDescent="0.25">
      <c r="A4449">
        <v>22300848</v>
      </c>
      <c r="B4449">
        <v>2023</v>
      </c>
      <c r="C4449" t="s">
        <v>16</v>
      </c>
      <c r="D4449" t="s">
        <v>19</v>
      </c>
      <c r="E4449">
        <v>84</v>
      </c>
      <c r="F4449">
        <v>66</v>
      </c>
      <c r="G4449">
        <v>3</v>
      </c>
      <c r="H4449" s="1">
        <v>3.8773148148148148E-3</v>
      </c>
      <c r="I4449" t="s">
        <v>23</v>
      </c>
      <c r="J4449" s="2" t="str">
        <f>HYPERLINK("https://www.nba.com/stats/events?CFID=&amp;CFPARAMS=&amp;GameEventID=409&amp;GameID=0022300848&amp;Season=2023-24&amp;flag=1&amp;title=Leonard%2026'%203PT%20%20(20%20PTS)%20(J.%20Harden%207%20AST)", "26' 3PT  (20 PTS) (J. Harden 7 AST)")</f>
        <v>26' 3PT  (20 PTS) (J. Harden 7 AST)</v>
      </c>
      <c r="K4449" s="2" t="str">
        <f>HYPERLINK("https://www.nba.com/game/...-vs-...-0022300848/play-by-play?watchFullGame=true", "LAC vs LAL - Q3 05:35.00")</f>
        <v>LAC vs LAL - Q3 05:35.00</v>
      </c>
      <c r="L4449">
        <v>26.34</v>
      </c>
      <c r="M4449">
        <v>28.56</v>
      </c>
      <c r="N4449">
        <v>19.850000000000001</v>
      </c>
      <c r="O4449">
        <v>151</v>
      </c>
      <c r="P4449">
        <v>216</v>
      </c>
    </row>
    <row r="4450" spans="1:16" x14ac:dyDescent="0.25">
      <c r="A4450">
        <v>22201041</v>
      </c>
      <c r="B4450">
        <v>2022</v>
      </c>
      <c r="C4450" t="s">
        <v>32</v>
      </c>
      <c r="D4450" t="s">
        <v>19</v>
      </c>
      <c r="E4450">
        <v>63</v>
      </c>
      <c r="F4450">
        <v>61</v>
      </c>
      <c r="G4450">
        <v>3</v>
      </c>
      <c r="H4450" s="1">
        <v>7.8009259259259256E-3</v>
      </c>
      <c r="I4450" t="s">
        <v>23</v>
      </c>
      <c r="J4450" s="2" t="str">
        <f>HYPERLINK("https://www.nba.com/stats/events?CFID=&amp;CFPARAMS=&amp;GameEventID=338&amp;GameID=0022201041&amp;Season=2022-23&amp;flag=1&amp;title=Leonard%2015'%20fadeaway%20Jump%20Shot%20(19%20PTS)", "15' fadeaway Jump Shot (19 PTS)")</f>
        <v>15' fadeaway Jump Shot (19 PTS)</v>
      </c>
      <c r="K4450" s="2" t="str">
        <f>HYPERLINK("https://www.nba.com/game/...-vs-...-0022201041/play-by-play?watchFullGame=true", "LAC vs GSW - Q3 11:14.00")</f>
        <v>LAC vs GSW - Q3 11:14.00</v>
      </c>
      <c r="L4450">
        <v>15.38</v>
      </c>
      <c r="M4450">
        <v>96.9</v>
      </c>
      <c r="N4450">
        <v>80.39</v>
      </c>
      <c r="O4450">
        <v>152</v>
      </c>
      <c r="P4450">
        <v>-23</v>
      </c>
    </row>
    <row r="4451" spans="1:16" x14ac:dyDescent="0.25">
      <c r="A4451">
        <v>41400164</v>
      </c>
      <c r="B4451" t="s">
        <v>28</v>
      </c>
      <c r="C4451" t="s">
        <v>32</v>
      </c>
      <c r="D4451" t="s">
        <v>31</v>
      </c>
      <c r="E4451">
        <v>8</v>
      </c>
      <c r="F4451">
        <v>6</v>
      </c>
      <c r="G4451">
        <v>1</v>
      </c>
      <c r="H4451" s="1">
        <v>5.4282407407407404E-3</v>
      </c>
      <c r="I4451" t="s">
        <v>18</v>
      </c>
      <c r="J4451" s="2" t="str">
        <f>HYPERLINK("https://www.nba.com/stats/events?CFID=&amp;CFPARAMS=&amp;GameEventID=37&amp;GameID=0041400164&amp;Season=2014-15&amp;flag=1&amp;title=Leonard%2015'%20Step%20Back%20Jump%20Shot%20(6%20PTS)%20(Green%201%20AST)", "Leonard 15' Step Back Jump Shot (6 PTS) (Green 1 AST)")</f>
        <v>Leonard 15' Step Back Jump Shot (6 PTS) (Green 1 AST)</v>
      </c>
      <c r="K4451" s="2" t="str">
        <f>HYPERLINK("https://www.nba.com/game/...-vs-...-0041400164/play-by-play?watchFullGame=true", "SAS vs LAC - Q1 07:49.00")</f>
        <v>SAS vs LAC - Q1 07:49.00</v>
      </c>
      <c r="L4451">
        <v>15</v>
      </c>
      <c r="M4451">
        <v>152</v>
      </c>
      <c r="N4451">
        <v>28</v>
      </c>
      <c r="O4451">
        <v>152</v>
      </c>
      <c r="P4451">
        <v>28</v>
      </c>
    </row>
    <row r="4452" spans="1:16" x14ac:dyDescent="0.25">
      <c r="A4452">
        <v>22000457</v>
      </c>
      <c r="B4452">
        <v>2020</v>
      </c>
      <c r="C4452" t="s">
        <v>32</v>
      </c>
      <c r="D4452" t="s">
        <v>19</v>
      </c>
      <c r="E4452">
        <v>61</v>
      </c>
      <c r="F4452">
        <v>56</v>
      </c>
      <c r="G4452">
        <v>3</v>
      </c>
      <c r="H4452" s="1">
        <v>6.076388888888889E-3</v>
      </c>
      <c r="I4452" t="s">
        <v>23</v>
      </c>
      <c r="J4452" s="2" t="str">
        <f>HYPERLINK("https://www.nba.com/stats/events?CFID=&amp;CFPARAMS=&amp;GameEventID=331&amp;GameID=0022000457&amp;Season=2020-21&amp;flag=1&amp;title=Leonard%2017'%20step%20back%20Jump%20Shot%20(14%20PTS)%20(P.%20George%202%20AST)", "17' step back Jump Shot (14 PTS) (P. George 2 AST)")</f>
        <v>17' step back Jump Shot (14 PTS) (P. George 2 AST)</v>
      </c>
      <c r="K4452" s="2" t="str">
        <f>HYPERLINK("https://www.nba.com/game/...-vs-...-0022000457/play-by-play?watchFullGame=true", "LAC vs UTA - Q3 08:45.00")</f>
        <v>LAC vs UTA - Q3 08:45.00</v>
      </c>
      <c r="L4452">
        <v>17.75</v>
      </c>
      <c r="M4452">
        <v>84.71</v>
      </c>
      <c r="N4452">
        <v>80.459999999999994</v>
      </c>
      <c r="O4452">
        <v>152</v>
      </c>
      <c r="P4452">
        <v>91</v>
      </c>
    </row>
    <row r="4453" spans="1:16" x14ac:dyDescent="0.25">
      <c r="A4453">
        <v>21400102</v>
      </c>
      <c r="B4453">
        <v>2014</v>
      </c>
      <c r="C4453" t="s">
        <v>32</v>
      </c>
      <c r="D4453" t="s">
        <v>31</v>
      </c>
      <c r="E4453">
        <v>30</v>
      </c>
      <c r="F4453">
        <v>25</v>
      </c>
      <c r="G4453">
        <v>2</v>
      </c>
      <c r="H4453" s="1">
        <v>4.4444444444444444E-3</v>
      </c>
      <c r="I4453" t="s">
        <v>18</v>
      </c>
      <c r="J4453" s="2" t="str">
        <f>HYPERLINK("https://www.nba.com/stats/events?CFID=&amp;CFPARAMS=&amp;GameEventID=171&amp;GameID=0021400102&amp;Season=2014-15&amp;flag=1&amp;title=Leonard%2018'%20Step%20Back%20Jump%20Shot%20(10%20PTS)", "Leonard 18' Step Back Jump Shot (10 PTS)")</f>
        <v>Leonard 18' Step Back Jump Shot (10 PTS)</v>
      </c>
      <c r="K4453" s="2" t="str">
        <f>HYPERLINK("https://www.nba.com/game/...-vs-...-0021400102/play-by-play?watchFullGame=true", "SAS vs LAC - Q2 06:24.00")</f>
        <v>SAS vs LAC - Q2 06:24.00</v>
      </c>
      <c r="L4453">
        <v>18</v>
      </c>
      <c r="M4453">
        <v>152</v>
      </c>
      <c r="N4453">
        <v>91</v>
      </c>
      <c r="O4453">
        <v>152</v>
      </c>
      <c r="P4453">
        <v>91</v>
      </c>
    </row>
    <row r="4454" spans="1:16" x14ac:dyDescent="0.25">
      <c r="A4454">
        <v>21401057</v>
      </c>
      <c r="B4454">
        <v>2014</v>
      </c>
      <c r="C4454" t="s">
        <v>32</v>
      </c>
      <c r="D4454" t="s">
        <v>19</v>
      </c>
      <c r="E4454">
        <v>51</v>
      </c>
      <c r="F4454">
        <v>51</v>
      </c>
      <c r="G4454">
        <v>3</v>
      </c>
      <c r="H4454" s="1">
        <v>5.3587962962962964E-3</v>
      </c>
      <c r="I4454" t="s">
        <v>18</v>
      </c>
      <c r="J4454" s="2" t="str">
        <f>HYPERLINK("https://www.nba.com/stats/events?CFID=&amp;CFPARAMS=&amp;GameEventID=292&amp;GameID=0021401057&amp;Season=2014-15&amp;flag=1&amp;title=Leonard%2018'%20Jump%20Shot%20(13%20PTS)", "Leonard 18' Jump Shot (13 PTS)")</f>
        <v>Leonard 18' Jump Shot (13 PTS)</v>
      </c>
      <c r="K4454" s="2" t="str">
        <f>HYPERLINK("https://www.nba.com/game/...-vs-...-0021401057/play-by-play?watchFullGame=true", "SAS vs DAL - Q3 07:43.00")</f>
        <v>SAS vs DAL - Q3 07:43.00</v>
      </c>
      <c r="L4454">
        <v>18</v>
      </c>
      <c r="M4454">
        <v>152</v>
      </c>
      <c r="N4454">
        <v>96</v>
      </c>
      <c r="O4454">
        <v>152</v>
      </c>
      <c r="P4454">
        <v>96</v>
      </c>
    </row>
    <row r="4455" spans="1:16" x14ac:dyDescent="0.25">
      <c r="A4455">
        <v>21300296</v>
      </c>
      <c r="B4455">
        <v>2013</v>
      </c>
      <c r="C4455" t="s">
        <v>32</v>
      </c>
      <c r="D4455" t="s">
        <v>19</v>
      </c>
      <c r="E4455">
        <v>50</v>
      </c>
      <c r="F4455">
        <v>59</v>
      </c>
      <c r="G4455">
        <v>3</v>
      </c>
      <c r="H4455" s="1">
        <v>7.1990740740740739E-3</v>
      </c>
      <c r="I4455" t="s">
        <v>18</v>
      </c>
      <c r="J4455" s="2" t="str">
        <f>HYPERLINK("https://www.nba.com/stats/events?CFID=&amp;CFPARAMS=&amp;GameEventID=227&amp;GameID=0021300296&amp;Season=2013-14&amp;flag=1&amp;title=Leonard%2021'%20Jump%20Shot%20(9%20PTS)%20(Bonner%201%20AST)", "Leonard 21' Jump Shot (9 PTS) (Bonner 1 AST)")</f>
        <v>Leonard 21' Jump Shot (9 PTS) (Bonner 1 AST)</v>
      </c>
      <c r="K4455" s="2" t="str">
        <f>HYPERLINK("https://www.nba.com/game/...-vs-...-0021300296/play-by-play?watchFullGame=true", "SAS vs IND - Q3 10:22.00")</f>
        <v>SAS vs IND - Q3 10:22.00</v>
      </c>
      <c r="L4455">
        <v>21</v>
      </c>
      <c r="M4455">
        <v>152</v>
      </c>
      <c r="N4455">
        <v>146</v>
      </c>
      <c r="O4455">
        <v>152</v>
      </c>
      <c r="P4455">
        <v>146</v>
      </c>
    </row>
    <row r="4456" spans="1:16" x14ac:dyDescent="0.25">
      <c r="A4456">
        <v>22000488</v>
      </c>
      <c r="B4456">
        <v>2020</v>
      </c>
      <c r="C4456" t="s">
        <v>16</v>
      </c>
      <c r="D4456" t="s">
        <v>19</v>
      </c>
      <c r="E4456">
        <v>126</v>
      </c>
      <c r="F4456">
        <v>106</v>
      </c>
      <c r="G4456">
        <v>4</v>
      </c>
      <c r="H4456" s="1">
        <v>2.7546296296296294E-3</v>
      </c>
      <c r="I4456" t="s">
        <v>23</v>
      </c>
      <c r="J4456" s="2" t="str">
        <f>HYPERLINK("https://www.nba.com/stats/events?CFID=&amp;CFPARAMS=&amp;GameEventID=560&amp;GameID=0022000488&amp;Season=2020-21&amp;flag=1&amp;title=Leonard%2024'%203PT%20pullup%20(32%20PTS)%20(R.%20Jackson%202%20AST)", "24' 3PT pullup (32 PTS) (R. Jackson 2 AST)")</f>
        <v>24' 3PT pullup (32 PTS) (R. Jackson 2 AST)</v>
      </c>
      <c r="K4456" s="2" t="str">
        <f>HYPERLINK("https://www.nba.com/game/...-vs-...-0022000488/play-by-play?watchFullGame=true", "LAC vs WAS - Q4 03:58.00")</f>
        <v>LAC vs WAS - Q4 03:58.00</v>
      </c>
      <c r="L4456">
        <v>24.83</v>
      </c>
      <c r="M4456">
        <v>26.49</v>
      </c>
      <c r="N4456">
        <v>19.68</v>
      </c>
      <c r="O4456">
        <v>152</v>
      </c>
      <c r="P4456">
        <v>197</v>
      </c>
    </row>
    <row r="4457" spans="1:16" x14ac:dyDescent="0.25">
      <c r="A4457">
        <v>41800402</v>
      </c>
      <c r="B4457" t="s">
        <v>20</v>
      </c>
      <c r="C4457" t="s">
        <v>16</v>
      </c>
      <c r="D4457" t="s">
        <v>29</v>
      </c>
      <c r="E4457">
        <v>74</v>
      </c>
      <c r="F4457">
        <v>81</v>
      </c>
      <c r="G4457">
        <v>3</v>
      </c>
      <c r="H4457" s="1">
        <v>1.3773148148148147E-3</v>
      </c>
      <c r="I4457" t="s">
        <v>21</v>
      </c>
      <c r="J4457" s="2" t="str">
        <f>HYPERLINK("https://www.nba.com/stats/events?CFID=&amp;CFPARAMS=&amp;GameEventID=511&amp;GameID=0041800402&amp;Season=2018-19&amp;flag=1&amp;title=Leonard%2026'%203PT%20Pullup%20Jump%20Shot%20(24%20PTS)", "Leonard 26' 3PT Pullup Jump Shot (24 PTS)")</f>
        <v>Leonard 26' 3PT Pullup Jump Shot (24 PTS)</v>
      </c>
      <c r="K4457" s="2" t="str">
        <f>HYPERLINK("https://www.nba.com/game/...-vs-...-0041800402/play-by-play?watchFullGame=true", "TOR vs GSW - Q3 01:59.00")</f>
        <v>TOR vs GSW - Q3 01:59.00</v>
      </c>
      <c r="L4457">
        <v>26</v>
      </c>
      <c r="M4457">
        <v>152</v>
      </c>
      <c r="N4457">
        <v>213</v>
      </c>
      <c r="O4457">
        <v>152</v>
      </c>
      <c r="P4457">
        <v>213</v>
      </c>
    </row>
    <row r="4458" spans="1:16" x14ac:dyDescent="0.25">
      <c r="A4458">
        <v>21400102</v>
      </c>
      <c r="B4458">
        <v>2014</v>
      </c>
      <c r="C4458" t="s">
        <v>16</v>
      </c>
      <c r="D4458" t="s">
        <v>19</v>
      </c>
      <c r="E4458">
        <v>51</v>
      </c>
      <c r="F4458">
        <v>50</v>
      </c>
      <c r="G4458">
        <v>3</v>
      </c>
      <c r="H4458" s="1">
        <v>6.4004629629629628E-3</v>
      </c>
      <c r="I4458" t="s">
        <v>18</v>
      </c>
      <c r="J4458" s="2" t="str">
        <f>HYPERLINK("https://www.nba.com/stats/events?CFID=&amp;CFPARAMS=&amp;GameEventID=271&amp;GameID=0021400102&amp;Season=2014-15&amp;flag=1&amp;title=Leonard%2026'%203PT%20Jump%20Shot%20(20%20PTS)%20(Bonner%202%20AST)", "Leonard 26' 3PT Jump Shot (20 PTS) (Bonner 2 AST)")</f>
        <v>Leonard 26' 3PT Jump Shot (20 PTS) (Bonner 2 AST)</v>
      </c>
      <c r="K4458" s="2" t="str">
        <f>HYPERLINK("https://www.nba.com/game/...-vs-...-0021400102/play-by-play?watchFullGame=true", "SAS vs LAC - Q3 09:13.00")</f>
        <v>SAS vs LAC - Q3 09:13.00</v>
      </c>
      <c r="L4458">
        <v>26</v>
      </c>
      <c r="M4458">
        <v>152</v>
      </c>
      <c r="N4458">
        <v>217</v>
      </c>
      <c r="O4458">
        <v>152</v>
      </c>
      <c r="P4458">
        <v>217</v>
      </c>
    </row>
    <row r="4459" spans="1:16" x14ac:dyDescent="0.25">
      <c r="A4459">
        <v>22400715</v>
      </c>
      <c r="B4459">
        <v>2024</v>
      </c>
      <c r="C4459" t="s">
        <v>16</v>
      </c>
      <c r="D4459" t="s">
        <v>19</v>
      </c>
      <c r="E4459">
        <v>13</v>
      </c>
      <c r="F4459">
        <v>13</v>
      </c>
      <c r="G4459">
        <v>1</v>
      </c>
      <c r="H4459" s="1">
        <v>5.6828703703703702E-3</v>
      </c>
      <c r="I4459" t="s">
        <v>23</v>
      </c>
      <c r="J4459" s="2" t="str">
        <f>HYPERLINK("https://www.nba.com/stats/events?CFID=&amp;CFPARAMS=&amp;GameEventID=49&amp;GameID=0022400715&amp;Season=2024-25&amp;flag=1&amp;title=Leonard%2028'%203PT%20%20(3%20PTS)%20(J.%20Harden%202%20AST)", "28' 3PT  (3 PTS) (J. Harden 2 AST)")</f>
        <v>28' 3PT  (3 PTS) (J. Harden 2 AST)</v>
      </c>
      <c r="K4459" s="2" t="str">
        <f>HYPERLINK("https://www.nba.com/game/...-vs-...-0022400715/play-by-play?watchFullGame=true", "LAC vs LAL - Q1 08:11.00")</f>
        <v>LAC vs LAL - Q1 08:11.00</v>
      </c>
      <c r="L4459">
        <v>28.37</v>
      </c>
      <c r="M4459">
        <v>68.94</v>
      </c>
      <c r="N4459">
        <v>80.39</v>
      </c>
      <c r="O4459">
        <v>152</v>
      </c>
      <c r="P4459">
        <v>239</v>
      </c>
    </row>
    <row r="4460" spans="1:16" x14ac:dyDescent="0.25">
      <c r="A4460">
        <v>22200745</v>
      </c>
      <c r="B4460">
        <v>2022</v>
      </c>
      <c r="C4460" t="s">
        <v>32</v>
      </c>
      <c r="D4460" t="s">
        <v>19</v>
      </c>
      <c r="E4460">
        <v>4</v>
      </c>
      <c r="F4460">
        <v>4</v>
      </c>
      <c r="G4460">
        <v>1</v>
      </c>
      <c r="H4460" s="1">
        <v>6.5624999999999998E-3</v>
      </c>
      <c r="I4460" t="s">
        <v>23</v>
      </c>
      <c r="J4460" s="2" t="str">
        <f>HYPERLINK("https://www.nba.com/stats/events?CFID=&amp;CFPARAMS=&amp;GameEventID=32&amp;GameID=0022200745&amp;Season=2022-23&amp;flag=1&amp;title=Leonard%2015'%20pullup%20Jump%20Shot%20(4%20PTS)", "15' pullup Jump Shot (4 PTS)")</f>
        <v>15' pullup Jump Shot (4 PTS)</v>
      </c>
      <c r="K4460" s="2" t="str">
        <f>HYPERLINK("https://www.nba.com/game/...-vs-...-0022200745/play-by-play?watchFullGame=true", "LAC vs ATL - Q1 09:27.00")</f>
        <v>LAC vs ATL - Q1 09:27.00</v>
      </c>
      <c r="L4460">
        <v>15.32</v>
      </c>
      <c r="M4460">
        <v>94.69</v>
      </c>
      <c r="N4460">
        <v>80.64</v>
      </c>
      <c r="O4460">
        <v>153</v>
      </c>
      <c r="P4460">
        <v>-3</v>
      </c>
    </row>
    <row r="4461" spans="1:16" x14ac:dyDescent="0.25">
      <c r="A4461">
        <v>21500742</v>
      </c>
      <c r="B4461">
        <v>2015</v>
      </c>
      <c r="C4461" t="s">
        <v>32</v>
      </c>
      <c r="D4461" t="s">
        <v>19</v>
      </c>
      <c r="E4461">
        <v>55</v>
      </c>
      <c r="F4461">
        <v>45</v>
      </c>
      <c r="G4461">
        <v>3</v>
      </c>
      <c r="H4461" s="1">
        <v>7.858796296296296E-3</v>
      </c>
      <c r="I4461" t="s">
        <v>18</v>
      </c>
      <c r="J4461" s="2" t="str">
        <f>HYPERLINK("https://www.nba.com/stats/events?CFID=&amp;CFPARAMS=&amp;GameEventID=248&amp;GameID=0021500742&amp;Season=2015-16&amp;flag=1&amp;title=Leonard%2015'%20Jump%20Shot%20(13%20PTS)%20(West%203%20AST)", "Leonard 15' Jump Shot (13 PTS) (West 3 AST)")</f>
        <v>Leonard 15' Jump Shot (13 PTS) (West 3 AST)</v>
      </c>
      <c r="K4461" s="2" t="str">
        <f>HYPERLINK("https://www.nba.com/game/...-vs-...-0021500742/play-by-play?watchFullGame=true", "SAS vs NOP - Q3 11:19.00")</f>
        <v>SAS vs NOP - Q3 11:19.00</v>
      </c>
      <c r="L4461">
        <v>15</v>
      </c>
      <c r="M4461">
        <v>153</v>
      </c>
      <c r="N4461">
        <v>11</v>
      </c>
      <c r="O4461">
        <v>153</v>
      </c>
      <c r="P4461">
        <v>11</v>
      </c>
    </row>
    <row r="4462" spans="1:16" x14ac:dyDescent="0.25">
      <c r="A4462">
        <v>21500028</v>
      </c>
      <c r="B4462">
        <v>2015</v>
      </c>
      <c r="C4462" t="s">
        <v>32</v>
      </c>
      <c r="D4462" t="s">
        <v>31</v>
      </c>
      <c r="E4462">
        <v>63</v>
      </c>
      <c r="F4462">
        <v>58</v>
      </c>
      <c r="G4462">
        <v>3</v>
      </c>
      <c r="H4462" s="1">
        <v>3.8888888888888888E-3</v>
      </c>
      <c r="I4462" t="s">
        <v>18</v>
      </c>
      <c r="J4462" s="2" t="str">
        <f>HYPERLINK("https://www.nba.com/stats/events?CFID=&amp;CFPARAMS=&amp;GameEventID=285&amp;GameID=0021500028&amp;Season=2015-16&amp;flag=1&amp;title=Leonard%2016'%20Step%20Back%20Jump%20Shot%20(12%20PTS)%20(Parker%204%20AST)", "Leonard 16' Step Back Jump Shot (12 PTS) (Parker 4 AST)")</f>
        <v>Leonard 16' Step Back Jump Shot (12 PTS) (Parker 4 AST)</v>
      </c>
      <c r="K4462" s="2" t="str">
        <f>HYPERLINK("https://www.nba.com/game/...-vs-...-0021500028/play-by-play?watchFullGame=true", "SAS vs BKN - Q3 05:36.00")</f>
        <v>SAS vs BKN - Q3 05:36.00</v>
      </c>
      <c r="L4462">
        <v>16</v>
      </c>
      <c r="M4462">
        <v>153</v>
      </c>
      <c r="N4462">
        <v>57</v>
      </c>
      <c r="O4462">
        <v>153</v>
      </c>
      <c r="P4462">
        <v>57</v>
      </c>
    </row>
    <row r="4463" spans="1:16" x14ac:dyDescent="0.25">
      <c r="A4463">
        <v>22201162</v>
      </c>
      <c r="B4463">
        <v>2022</v>
      </c>
      <c r="C4463" t="s">
        <v>32</v>
      </c>
      <c r="D4463" t="s">
        <v>19</v>
      </c>
      <c r="E4463">
        <v>64</v>
      </c>
      <c r="F4463">
        <v>69</v>
      </c>
      <c r="G4463">
        <v>3</v>
      </c>
      <c r="H4463" s="1">
        <v>6.2500000000000003E-3</v>
      </c>
      <c r="I4463" t="s">
        <v>23</v>
      </c>
      <c r="J4463" s="2" t="str">
        <f>HYPERLINK("https://www.nba.com/stats/events?CFID=&amp;CFPARAMS=&amp;GameEventID=366&amp;GameID=0022201162&amp;Season=2022-23&amp;flag=1&amp;title=Leonard%2016'%20fadeaway%20Jump%20Shot%20(19%20PTS)", "16' fadeaway Jump Shot (19 PTS)")</f>
        <v>16' fadeaway Jump Shot (19 PTS)</v>
      </c>
      <c r="K4463" s="2" t="str">
        <f>HYPERLINK("https://www.nba.com/game/...-vs-...-0022201162/play-by-play?watchFullGame=true", "LAC vs NOP - Q3 09:00.00")</f>
        <v>LAC vs NOP - Q3 09:00.00</v>
      </c>
      <c r="L4463">
        <v>16.62</v>
      </c>
      <c r="M4463">
        <v>12.43</v>
      </c>
      <c r="N4463">
        <v>19.36</v>
      </c>
      <c r="O4463">
        <v>153</v>
      </c>
      <c r="P4463">
        <v>64</v>
      </c>
    </row>
    <row r="4464" spans="1:16" x14ac:dyDescent="0.25">
      <c r="A4464">
        <v>22300235</v>
      </c>
      <c r="B4464">
        <v>2023</v>
      </c>
      <c r="C4464" t="s">
        <v>32</v>
      </c>
      <c r="D4464" t="s">
        <v>19</v>
      </c>
      <c r="E4464">
        <v>62</v>
      </c>
      <c r="F4464">
        <v>68</v>
      </c>
      <c r="G4464">
        <v>3</v>
      </c>
      <c r="H4464" s="1">
        <v>4.5023148148148149E-3</v>
      </c>
      <c r="I4464" t="s">
        <v>23</v>
      </c>
      <c r="J4464" s="2" t="str">
        <f>HYPERLINK("https://www.nba.com/stats/events?CFID=&amp;CFPARAMS=&amp;GameEventID=421&amp;GameID=0022300235&amp;Season=2023-24&amp;flag=1&amp;title=Leonard%2017'%20Jump%20Shot%20(18%20PTS)%20(J.%20Harden%206%20AST)", "17' Jump Shot (18 PTS) (J. Harden 6 AST)")</f>
        <v>17' Jump Shot (18 PTS) (J. Harden 6 AST)</v>
      </c>
      <c r="K4464" s="2" t="str">
        <f>HYPERLINK("https://www.nba.com/game/...-vs-...-0022300235/play-by-play?watchFullGame=true", "LAC vs SAS - Q3 06:29.00")</f>
        <v>LAC vs SAS - Q3 06:29.00</v>
      </c>
      <c r="L4464">
        <v>17.91</v>
      </c>
      <c r="M4464">
        <v>15.46</v>
      </c>
      <c r="N4464">
        <v>19.36</v>
      </c>
      <c r="O4464">
        <v>153</v>
      </c>
      <c r="P4464">
        <v>93</v>
      </c>
    </row>
    <row r="4465" spans="1:16" x14ac:dyDescent="0.25">
      <c r="A4465">
        <v>21501063</v>
      </c>
      <c r="B4465">
        <v>2015</v>
      </c>
      <c r="C4465" t="s">
        <v>32</v>
      </c>
      <c r="D4465" t="s">
        <v>29</v>
      </c>
      <c r="E4465">
        <v>4</v>
      </c>
      <c r="F4465">
        <v>0</v>
      </c>
      <c r="G4465">
        <v>1</v>
      </c>
      <c r="H4465" s="1">
        <v>6.7476851851851856E-3</v>
      </c>
      <c r="I4465" t="s">
        <v>18</v>
      </c>
      <c r="J4465" s="2" t="str">
        <f>HYPERLINK("https://www.nba.com/stats/events?CFID=&amp;CFPARAMS=&amp;GameEventID=16&amp;GameID=0021501063&amp;Season=2015-16&amp;flag=1&amp;title=Leonard%2019'%20Pullup%20Jump%20Shot%20(2%20PTS)", "Leonard 19' Pullup Jump Shot (2 PTS)")</f>
        <v>Leonard 19' Pullup Jump Shot (2 PTS)</v>
      </c>
      <c r="K4465" s="2" t="str">
        <f>HYPERLINK("https://www.nba.com/game/...-vs-...-0021501063/play-by-play?watchFullGame=true", "SAS vs MIA - Q1 09:43.00")</f>
        <v>SAS vs MIA - Q1 09:43.00</v>
      </c>
      <c r="L4465">
        <v>19</v>
      </c>
      <c r="M4465">
        <v>153</v>
      </c>
      <c r="N4465">
        <v>106</v>
      </c>
      <c r="O4465">
        <v>153</v>
      </c>
      <c r="P4465">
        <v>106</v>
      </c>
    </row>
    <row r="4466" spans="1:16" x14ac:dyDescent="0.25">
      <c r="A4466">
        <v>21501018</v>
      </c>
      <c r="B4466">
        <v>2015</v>
      </c>
      <c r="C4466" t="s">
        <v>32</v>
      </c>
      <c r="D4466" t="s">
        <v>29</v>
      </c>
      <c r="E4466">
        <v>109</v>
      </c>
      <c r="F4466">
        <v>94</v>
      </c>
      <c r="G4466">
        <v>4</v>
      </c>
      <c r="H4466" s="1">
        <v>3.1134259259259257E-3</v>
      </c>
      <c r="I4466" t="s">
        <v>18</v>
      </c>
      <c r="J4466" s="2" t="str">
        <f>HYPERLINK("https://www.nba.com/stats/events?CFID=&amp;CFPARAMS=&amp;GameEventID=498&amp;GameID=0021501018&amp;Season=2015-16&amp;flag=1&amp;title=Leonard%2020'%20Pullup%20Jump%20Shot%20(19%20PTS)", "Leonard 20' Pullup Jump Shot (19 PTS)")</f>
        <v>Leonard 20' Pullup Jump Shot (19 PTS)</v>
      </c>
      <c r="K4466" s="2" t="str">
        <f>HYPERLINK("https://www.nba.com/game/...-vs-...-0021501018/play-by-play?watchFullGame=true", "SAS vs POR - Q4 04:29.00")</f>
        <v>SAS vs POR - Q4 04:29.00</v>
      </c>
      <c r="L4466">
        <v>20</v>
      </c>
      <c r="M4466">
        <v>153</v>
      </c>
      <c r="N4466">
        <v>126</v>
      </c>
      <c r="O4466">
        <v>153</v>
      </c>
      <c r="P4466">
        <v>126</v>
      </c>
    </row>
    <row r="4467" spans="1:16" x14ac:dyDescent="0.25">
      <c r="A4467">
        <v>21600077</v>
      </c>
      <c r="B4467">
        <v>2016</v>
      </c>
      <c r="C4467" t="s">
        <v>32</v>
      </c>
      <c r="D4467" t="s">
        <v>29</v>
      </c>
      <c r="E4467">
        <v>69</v>
      </c>
      <c r="F4467">
        <v>88</v>
      </c>
      <c r="G4467">
        <v>4</v>
      </c>
      <c r="H4467" s="1">
        <v>6.7245370370370367E-3</v>
      </c>
      <c r="I4467" t="s">
        <v>18</v>
      </c>
      <c r="J4467" s="2" t="str">
        <f>HYPERLINK("https://www.nba.com/stats/events?CFID=&amp;CFPARAMS=&amp;GameEventID=410&amp;GameID=0021600077&amp;Season=2016-17&amp;flag=1&amp;title=Leonard%2022'%20Pullup%20Jump%20Shot%20(27%20PTS)%20(Lee%202%20AST)", "Leonard 22' Pullup Jump Shot (27 PTS) (Lee 2 AST)")</f>
        <v>Leonard 22' Pullup Jump Shot (27 PTS) (Lee 2 AST)</v>
      </c>
      <c r="K4467" s="2" t="str">
        <f>HYPERLINK("https://www.nba.com/game/...-vs-...-0021600077/play-by-play?watchFullGame=true", "SAS vs UTA - Q4 09:41.00")</f>
        <v>SAS vs UTA - Q4 09:41.00</v>
      </c>
      <c r="L4467">
        <v>22</v>
      </c>
      <c r="M4467">
        <v>153</v>
      </c>
      <c r="N4467">
        <v>164</v>
      </c>
      <c r="O4467">
        <v>153</v>
      </c>
      <c r="P4467">
        <v>164</v>
      </c>
    </row>
    <row r="4468" spans="1:16" x14ac:dyDescent="0.25">
      <c r="A4468">
        <v>21500207</v>
      </c>
      <c r="B4468">
        <v>2015</v>
      </c>
      <c r="C4468" t="s">
        <v>16</v>
      </c>
      <c r="D4468" t="s">
        <v>19</v>
      </c>
      <c r="E4468">
        <v>5</v>
      </c>
      <c r="F4468">
        <v>7</v>
      </c>
      <c r="G4468">
        <v>1</v>
      </c>
      <c r="H4468" s="1">
        <v>6.6666666666666671E-3</v>
      </c>
      <c r="I4468" t="s">
        <v>18</v>
      </c>
      <c r="J4468" s="2" t="str">
        <f>HYPERLINK("https://www.nba.com/stats/events?CFID=&amp;CFPARAMS=&amp;GameEventID=22&amp;GameID=0021500207&amp;Season=2015-16&amp;flag=1&amp;title=Leonard%2024'%203PT%20Jump%20Shot%20(5%20PTS)%20(Green%201%20AST)", "Leonard 24' 3PT Jump Shot (5 PTS) (Green 1 AST)")</f>
        <v>Leonard 24' 3PT Jump Shot (5 PTS) (Green 1 AST)</v>
      </c>
      <c r="K4468" s="2" t="str">
        <f>HYPERLINK("https://www.nba.com/game/...-vs-...-0021500207/play-by-play?watchFullGame=true", "SAS vs PHX - Q1 09:36.00")</f>
        <v>SAS vs PHX - Q1 09:36.00</v>
      </c>
      <c r="L4468">
        <v>24</v>
      </c>
      <c r="M4468">
        <v>153</v>
      </c>
      <c r="N4468">
        <v>190</v>
      </c>
      <c r="O4468">
        <v>153</v>
      </c>
      <c r="P4468">
        <v>190</v>
      </c>
    </row>
    <row r="4469" spans="1:16" x14ac:dyDescent="0.25">
      <c r="A4469">
        <v>21600543</v>
      </c>
      <c r="B4469">
        <v>2016</v>
      </c>
      <c r="C4469" t="s">
        <v>16</v>
      </c>
      <c r="D4469" t="s">
        <v>19</v>
      </c>
      <c r="E4469">
        <v>53</v>
      </c>
      <c r="F4469">
        <v>61</v>
      </c>
      <c r="G4469">
        <v>3</v>
      </c>
      <c r="H4469" s="1">
        <v>7.8703703703703696E-3</v>
      </c>
      <c r="I4469" t="s">
        <v>18</v>
      </c>
      <c r="J4469" s="2" t="str">
        <f>HYPERLINK("https://www.nba.com/stats/events?CFID=&amp;CFPARAMS=&amp;GameEventID=233&amp;GameID=0021600543&amp;Season=2016-17&amp;flag=1&amp;title=Leonard%2025'%203PT%20Jump%20Shot%20(11%20PTS)%20(Parker%207%20AST)", "Leonard 25' 3PT Jump Shot (11 PTS) (Parker 7 AST)")</f>
        <v>Leonard 25' 3PT Jump Shot (11 PTS) (Parker 7 AST)</v>
      </c>
      <c r="K4469" s="2" t="str">
        <f>HYPERLINK("https://www.nba.com/game/...-vs-...-0021600543/play-by-play?watchFullGame=true", "SAS vs DEN - Q3 11:20.00")</f>
        <v>SAS vs DEN - Q3 11:20.00</v>
      </c>
      <c r="L4469">
        <v>25</v>
      </c>
      <c r="M4469">
        <v>153</v>
      </c>
      <c r="N4469">
        <v>193</v>
      </c>
      <c r="O4469">
        <v>153</v>
      </c>
      <c r="P4469">
        <v>193</v>
      </c>
    </row>
    <row r="4470" spans="1:16" x14ac:dyDescent="0.25">
      <c r="A4470">
        <v>22300273</v>
      </c>
      <c r="B4470">
        <v>2023</v>
      </c>
      <c r="C4470" t="s">
        <v>16</v>
      </c>
      <c r="D4470" t="s">
        <v>19</v>
      </c>
      <c r="E4470">
        <v>55</v>
      </c>
      <c r="F4470">
        <v>43</v>
      </c>
      <c r="G4470">
        <v>2</v>
      </c>
      <c r="H4470" s="1">
        <v>2.0254629629629629E-3</v>
      </c>
      <c r="I4470" t="s">
        <v>23</v>
      </c>
      <c r="J4470" s="2" t="str">
        <f>HYPERLINK("https://www.nba.com/stats/events?CFID=&amp;CFPARAMS=&amp;GameEventID=296&amp;GameID=0022300273&amp;Season=2023-24&amp;flag=1&amp;title=Leonard%2026'%203PT%20running%20pullup%20(12%20PTS)", "26' 3PT running pullup (12 PTS)")</f>
        <v>26' 3PT running pullup (12 PTS)</v>
      </c>
      <c r="K4470" s="2" t="str">
        <f>HYPERLINK("https://www.nba.com/game/...-vs-...-0022300273/play-by-play?watchFullGame=true", "LAC vs GSW - Q2 02:55.00")</f>
        <v>LAC vs GSW - Q2 02:55.00</v>
      </c>
      <c r="L4470">
        <v>26.88</v>
      </c>
      <c r="M4470">
        <v>70.91</v>
      </c>
      <c r="N4470">
        <v>80.64</v>
      </c>
      <c r="O4470">
        <v>153</v>
      </c>
      <c r="P4470">
        <v>221</v>
      </c>
    </row>
    <row r="4471" spans="1:16" x14ac:dyDescent="0.25">
      <c r="A4471">
        <v>22200668</v>
      </c>
      <c r="B4471">
        <v>2022</v>
      </c>
      <c r="C4471" t="s">
        <v>16</v>
      </c>
      <c r="D4471" t="s">
        <v>19</v>
      </c>
      <c r="E4471">
        <v>84</v>
      </c>
      <c r="F4471">
        <v>81</v>
      </c>
      <c r="G4471">
        <v>3</v>
      </c>
      <c r="H4471" s="1">
        <v>1.9097222222222222E-3</v>
      </c>
      <c r="I4471" t="s">
        <v>23</v>
      </c>
      <c r="J4471" s="2" t="str">
        <f>HYPERLINK("https://www.nba.com/stats/events?CFID=&amp;CFPARAMS=&amp;GameEventID=416&amp;GameID=0022200668&amp;Season=2022-23&amp;flag=1&amp;title=Leonard%2026'%203PT%20pullup%20(26%20PTS)", "26' 3PT pullup (26 PTS)")</f>
        <v>26' 3PT pullup (26 PTS)</v>
      </c>
      <c r="K4471" s="2" t="str">
        <f>HYPERLINK("https://www.nba.com/game/...-vs-...-0022200668/play-by-play?watchFullGame=true", "LAC vs PHI - Q3 02:45.00")</f>
        <v>LAC vs PHI - Q3 02:45.00</v>
      </c>
      <c r="L4471">
        <v>26.88</v>
      </c>
      <c r="M4471">
        <v>29.09</v>
      </c>
      <c r="N4471">
        <v>19.36</v>
      </c>
      <c r="O4471">
        <v>153</v>
      </c>
      <c r="P4471">
        <v>221</v>
      </c>
    </row>
    <row r="4472" spans="1:16" x14ac:dyDescent="0.25">
      <c r="A4472">
        <v>21300082</v>
      </c>
      <c r="B4472">
        <v>2013</v>
      </c>
      <c r="C4472" t="s">
        <v>32</v>
      </c>
      <c r="D4472" t="s">
        <v>19</v>
      </c>
      <c r="E4472">
        <v>21</v>
      </c>
      <c r="F4472">
        <v>10</v>
      </c>
      <c r="G4472">
        <v>1</v>
      </c>
      <c r="H4472" s="1">
        <v>3.0671296296296297E-3</v>
      </c>
      <c r="I4472" t="s">
        <v>18</v>
      </c>
      <c r="J4472" s="2" t="str">
        <f>HYPERLINK("https://www.nba.com/stats/events?CFID=&amp;CFPARAMS=&amp;GameEventID=55&amp;GameID=0021300082&amp;Season=2013-14&amp;flag=1&amp;title=Leonard%2015'%20Jump%20Shot%20(5%20PTS)", "Leonard 15' Jump Shot (5 PTS)")</f>
        <v>Leonard 15' Jump Shot (5 PTS)</v>
      </c>
      <c r="K4472" s="2" t="str">
        <f>HYPERLINK("https://www.nba.com/game/...-vs-...-0021300082/play-by-play?watchFullGame=true", "SAS vs GSW - Q1 04:25.00")</f>
        <v>SAS vs GSW - Q1 04:25.00</v>
      </c>
      <c r="L4472">
        <v>15</v>
      </c>
      <c r="M4472">
        <v>154</v>
      </c>
      <c r="N4472">
        <v>-14</v>
      </c>
      <c r="O4472">
        <v>154</v>
      </c>
      <c r="P4472">
        <v>-14</v>
      </c>
    </row>
    <row r="4473" spans="1:16" x14ac:dyDescent="0.25">
      <c r="A4473">
        <v>21401001</v>
      </c>
      <c r="B4473">
        <v>2014</v>
      </c>
      <c r="C4473" t="s">
        <v>32</v>
      </c>
      <c r="D4473" t="s">
        <v>19</v>
      </c>
      <c r="E4473">
        <v>90</v>
      </c>
      <c r="F4473">
        <v>89</v>
      </c>
      <c r="G4473">
        <v>4</v>
      </c>
      <c r="H4473" s="1">
        <v>2.7199074074074074E-3</v>
      </c>
      <c r="I4473" t="s">
        <v>18</v>
      </c>
      <c r="J4473" s="2" t="str">
        <f>HYPERLINK("https://www.nba.com/stats/events?CFID=&amp;CFPARAMS=&amp;GameEventID=479&amp;GameID=0021401001&amp;Season=2014-15&amp;flag=1&amp;title=Leonard%2017'%20Jump%20Shot%20(11%20PTS)%20(Duncan%203%20AST)", "Leonard 17' Jump Shot (11 PTS) (Duncan 3 AST)")</f>
        <v>Leonard 17' Jump Shot (11 PTS) (Duncan 3 AST)</v>
      </c>
      <c r="K4473" s="2" t="str">
        <f>HYPERLINK("https://www.nba.com/game/...-vs-...-0021401001/play-by-play?watchFullGame=true", "SAS vs NYK - Q4 03:55.00")</f>
        <v>SAS vs NYK - Q4 03:55.00</v>
      </c>
      <c r="L4473">
        <v>17</v>
      </c>
      <c r="M4473">
        <v>154</v>
      </c>
      <c r="N4473">
        <v>71</v>
      </c>
      <c r="O4473">
        <v>154</v>
      </c>
      <c r="P4473">
        <v>71</v>
      </c>
    </row>
    <row r="4474" spans="1:16" x14ac:dyDescent="0.25">
      <c r="A4474">
        <v>21900090</v>
      </c>
      <c r="B4474">
        <v>2019</v>
      </c>
      <c r="C4474" t="s">
        <v>16</v>
      </c>
      <c r="D4474" t="s">
        <v>22</v>
      </c>
      <c r="E4474">
        <v>77</v>
      </c>
      <c r="F4474">
        <v>76</v>
      </c>
      <c r="G4474">
        <v>4</v>
      </c>
      <c r="H4474" s="1">
        <v>5.8680555555555552E-3</v>
      </c>
      <c r="I4474" t="s">
        <v>23</v>
      </c>
      <c r="J4474" s="2" t="str">
        <f>HYPERLINK("https://www.nba.com/stats/events?CFID=&amp;CFPARAMS=&amp;GameEventID=567&amp;GameID=0021900090&amp;Season=2019-20&amp;flag=1&amp;title=[LAC]%20Leonard%203pt%20shot:%20Made%20(17%20PTS)%20assist:%20Harrell%20(2%20AST)", "[LAC] Leonard 3pt shot: Made (17 PTS) assist: Harrell (2 AST)")</f>
        <v>[LAC] Leonard 3pt shot: Made (17 PTS) assist: Harrell (2 AST)</v>
      </c>
      <c r="K4474" s="2" t="str">
        <f>HYPERLINK("https://www.nba.com/game/...-vs-...-0021900090/play-by-play?watchFullGame=true", "LAC vs UTA - Q4 08:27.00")</f>
        <v>LAC vs UTA - Q4 08:27.00</v>
      </c>
      <c r="L4474">
        <v>25.71</v>
      </c>
      <c r="M4474">
        <v>73.11</v>
      </c>
      <c r="N4474">
        <v>80.81</v>
      </c>
      <c r="O4474">
        <v>154</v>
      </c>
      <c r="P4474">
        <v>200</v>
      </c>
    </row>
    <row r="4475" spans="1:16" x14ac:dyDescent="0.25">
      <c r="A4475">
        <v>41200403</v>
      </c>
      <c r="B4475" t="s">
        <v>27</v>
      </c>
      <c r="C4475" t="s">
        <v>32</v>
      </c>
      <c r="D4475" t="s">
        <v>29</v>
      </c>
      <c r="E4475">
        <v>9</v>
      </c>
      <c r="F4475">
        <v>4</v>
      </c>
      <c r="G4475">
        <v>1</v>
      </c>
      <c r="H4475" s="1">
        <v>5.4861111111111109E-3</v>
      </c>
      <c r="I4475" t="s">
        <v>18</v>
      </c>
      <c r="J4475" s="2" t="str">
        <f>HYPERLINK("https://www.nba.com/stats/events?CFID=&amp;CFPARAMS=&amp;GameEventID=32&amp;GameID=0041200403&amp;Season=2012-13&amp;flag=1&amp;title=Leonard%2016'%20Pullup%20Jump%20Shot%20(5%20PTS)%20(Parker%202%20AST)", "Leonard 16' Pullup Jump Shot (5 PTS) (Parker 2 AST)")</f>
        <v>Leonard 16' Pullup Jump Shot (5 PTS) (Parker 2 AST)</v>
      </c>
      <c r="K4475" s="2" t="str">
        <f>HYPERLINK("https://www.nba.com/game/...-vs-...-0041200403/play-by-play?watchFullGame=true", "SAS vs MIA - Q1 07:54.00")</f>
        <v>SAS vs MIA - Q1 07:54.00</v>
      </c>
      <c r="L4475">
        <v>16</v>
      </c>
      <c r="M4475">
        <v>155</v>
      </c>
      <c r="N4475">
        <v>-17</v>
      </c>
      <c r="O4475">
        <v>155</v>
      </c>
      <c r="P4475">
        <v>-17</v>
      </c>
    </row>
    <row r="4476" spans="1:16" x14ac:dyDescent="0.25">
      <c r="A4476">
        <v>21500347</v>
      </c>
      <c r="B4476">
        <v>2015</v>
      </c>
      <c r="C4476" t="s">
        <v>32</v>
      </c>
      <c r="D4476" t="s">
        <v>29</v>
      </c>
      <c r="E4476">
        <v>9</v>
      </c>
      <c r="F4476">
        <v>17</v>
      </c>
      <c r="G4476">
        <v>1</v>
      </c>
      <c r="H4476" s="1">
        <v>2.3726851851851851E-3</v>
      </c>
      <c r="I4476" t="s">
        <v>18</v>
      </c>
      <c r="J4476" s="2" t="str">
        <f>HYPERLINK("https://www.nba.com/stats/events?CFID=&amp;CFPARAMS=&amp;GameEventID=79&amp;GameID=0021500347&amp;Season=2015-16&amp;flag=1&amp;title=Leonard%2016'%20Pullup%20Jump%20Shot%20(4%20PTS)%20(Diaw%202%20AST)", "Leonard 16' Pullup Jump Shot (4 PTS) (Diaw 2 AST)")</f>
        <v>Leonard 16' Pullup Jump Shot (4 PTS) (Diaw 2 AST)</v>
      </c>
      <c r="K4476" s="2" t="str">
        <f>HYPERLINK("https://www.nba.com/game/...-vs-...-0021500347/play-by-play?watchFullGame=true", "SAS vs ATL - Q1 03:25.00")</f>
        <v>SAS vs ATL - Q1 03:25.00</v>
      </c>
      <c r="L4476">
        <v>16</v>
      </c>
      <c r="M4476">
        <v>155</v>
      </c>
      <c r="N4476">
        <v>-5</v>
      </c>
      <c r="O4476">
        <v>155</v>
      </c>
      <c r="P4476">
        <v>-5</v>
      </c>
    </row>
    <row r="4477" spans="1:16" x14ac:dyDescent="0.25">
      <c r="A4477">
        <v>21600213</v>
      </c>
      <c r="B4477">
        <v>2016</v>
      </c>
      <c r="C4477" t="s">
        <v>32</v>
      </c>
      <c r="D4477" t="s">
        <v>31</v>
      </c>
      <c r="E4477">
        <v>58</v>
      </c>
      <c r="F4477">
        <v>59</v>
      </c>
      <c r="G4477">
        <v>2</v>
      </c>
      <c r="H4477" s="1">
        <v>8.9120370370370373E-4</v>
      </c>
      <c r="I4477" t="s">
        <v>18</v>
      </c>
      <c r="J4477" s="2" t="str">
        <f>HYPERLINK("https://www.nba.com/stats/events?CFID=&amp;CFPARAMS=&amp;GameEventID=223&amp;GameID=0021600213&amp;Season=2016-17&amp;flag=1&amp;title=Leonard%2016'%20Step%20Back%20Jump%20Shot%20(16%20PTS)", "Leonard 16' Step Back Jump Shot (16 PTS)")</f>
        <v>Leonard 16' Step Back Jump Shot (16 PTS)</v>
      </c>
      <c r="K4477" s="2" t="str">
        <f>HYPERLINK("https://www.nba.com/game/...-vs-...-0021600213/play-by-play?watchFullGame=true", "SAS vs CHA - Q2 01:17.00")</f>
        <v>SAS vs CHA - Q2 01:17.00</v>
      </c>
      <c r="L4477">
        <v>16</v>
      </c>
      <c r="M4477">
        <v>155</v>
      </c>
      <c r="N4477">
        <v>7</v>
      </c>
      <c r="O4477">
        <v>155</v>
      </c>
      <c r="P4477">
        <v>7</v>
      </c>
    </row>
    <row r="4478" spans="1:16" x14ac:dyDescent="0.25">
      <c r="A4478">
        <v>21400931</v>
      </c>
      <c r="B4478">
        <v>2014</v>
      </c>
      <c r="C4478" t="s">
        <v>32</v>
      </c>
      <c r="D4478" t="s">
        <v>19</v>
      </c>
      <c r="E4478">
        <v>4</v>
      </c>
      <c r="F4478">
        <v>4</v>
      </c>
      <c r="G4478">
        <v>1</v>
      </c>
      <c r="H4478" s="1">
        <v>7.1643518518518514E-3</v>
      </c>
      <c r="I4478" t="s">
        <v>18</v>
      </c>
      <c r="J4478" s="2" t="str">
        <f>HYPERLINK("https://www.nba.com/stats/events?CFID=&amp;CFPARAMS=&amp;GameEventID=11&amp;GameID=0021400931&amp;Season=2014-15&amp;flag=1&amp;title=Leonard%2016'%20Jump%20Shot%20(2%20PTS)", "Leonard 16' Jump Shot (2 PTS)")</f>
        <v>Leonard 16' Jump Shot (2 PTS)</v>
      </c>
      <c r="K4478" s="2" t="str">
        <f>HYPERLINK("https://www.nba.com/game/...-vs-...-0021400931/play-by-play?watchFullGame=true", "SAS vs CHI - Q1 10:19.00")</f>
        <v>SAS vs CHI - Q1 10:19.00</v>
      </c>
      <c r="L4478">
        <v>16</v>
      </c>
      <c r="M4478">
        <v>155</v>
      </c>
      <c r="N4478">
        <v>17</v>
      </c>
      <c r="O4478">
        <v>155</v>
      </c>
      <c r="P4478">
        <v>17</v>
      </c>
    </row>
    <row r="4479" spans="1:16" x14ac:dyDescent="0.25">
      <c r="A4479">
        <v>21300229</v>
      </c>
      <c r="B4479">
        <v>2013</v>
      </c>
      <c r="C4479" t="s">
        <v>32</v>
      </c>
      <c r="D4479" t="s">
        <v>33</v>
      </c>
      <c r="E4479">
        <v>40</v>
      </c>
      <c r="F4479">
        <v>58</v>
      </c>
      <c r="G4479">
        <v>2</v>
      </c>
      <c r="H4479" s="1">
        <v>1.736111111111111E-3</v>
      </c>
      <c r="I4479" t="s">
        <v>18</v>
      </c>
      <c r="J4479" s="2" t="str">
        <f>HYPERLINK("https://www.nba.com/stats/events?CFID=&amp;CFPARAMS=&amp;GameEventID=202&amp;GameID=0021300229&amp;Season=2013-14&amp;flag=1&amp;title=Leonard%2016'%20Fadeaway%20Jumper%20(10%20PTS)", "Leonard 16' Fadeaway Jumper (10 PTS)")</f>
        <v>Leonard 16' Fadeaway Jumper (10 PTS)</v>
      </c>
      <c r="K4479" s="2" t="str">
        <f>HYPERLINK("https://www.nba.com/game/...-vs-...-0021300229/play-by-play?watchFullGame=true", "SAS vs ORL - Q2 02:30.00")</f>
        <v>SAS vs ORL - Q2 02:30.00</v>
      </c>
      <c r="L4479">
        <v>16</v>
      </c>
      <c r="M4479">
        <v>155</v>
      </c>
      <c r="N4479">
        <v>26</v>
      </c>
      <c r="O4479">
        <v>155</v>
      </c>
      <c r="P4479">
        <v>26</v>
      </c>
    </row>
    <row r="4480" spans="1:16" x14ac:dyDescent="0.25">
      <c r="A4480">
        <v>21500979</v>
      </c>
      <c r="B4480">
        <v>2015</v>
      </c>
      <c r="C4480" t="s">
        <v>32</v>
      </c>
      <c r="D4480" t="s">
        <v>29</v>
      </c>
      <c r="E4480">
        <v>41</v>
      </c>
      <c r="F4480">
        <v>42</v>
      </c>
      <c r="G4480">
        <v>2</v>
      </c>
      <c r="H4480" s="1">
        <v>1.7592592592592592E-3</v>
      </c>
      <c r="I4480" t="s">
        <v>18</v>
      </c>
      <c r="J4480" s="2" t="str">
        <f>HYPERLINK("https://www.nba.com/stats/events?CFID=&amp;CFPARAMS=&amp;GameEventID=244&amp;GameID=0021500979&amp;Season=2015-16&amp;flag=1&amp;title=Leonard%2016'%20Pullup%20Jump%20Shot%20(9%20PTS)", "Leonard 16' Pullup Jump Shot (9 PTS)")</f>
        <v>Leonard 16' Pullup Jump Shot (9 PTS)</v>
      </c>
      <c r="K4480" s="2" t="str">
        <f>HYPERLINK("https://www.nba.com/game/...-vs-...-0021500979/play-by-play?watchFullGame=true", "SAS vs OKC - Q2 02:32.00")</f>
        <v>SAS vs OKC - Q2 02:32.00</v>
      </c>
      <c r="L4480">
        <v>16</v>
      </c>
      <c r="M4480">
        <v>155</v>
      </c>
      <c r="N4480">
        <v>26</v>
      </c>
      <c r="O4480">
        <v>155</v>
      </c>
      <c r="P4480">
        <v>26</v>
      </c>
    </row>
    <row r="4481" spans="1:16" x14ac:dyDescent="0.25">
      <c r="A4481">
        <v>41500231</v>
      </c>
      <c r="B4481" t="s">
        <v>25</v>
      </c>
      <c r="C4481" t="s">
        <v>32</v>
      </c>
      <c r="D4481" t="s">
        <v>19</v>
      </c>
      <c r="E4481">
        <v>85</v>
      </c>
      <c r="F4481">
        <v>53</v>
      </c>
      <c r="G4481">
        <v>3</v>
      </c>
      <c r="H4481" s="1">
        <v>4.6296296296296294E-3</v>
      </c>
      <c r="I4481" t="s">
        <v>18</v>
      </c>
      <c r="J4481" s="2" t="str">
        <f>HYPERLINK("https://www.nba.com/stats/events?CFID=&amp;CFPARAMS=&amp;GameEventID=284&amp;GameID=0041500231&amp;Season=2015-16&amp;flag=1&amp;title=Leonard%2016'%20Jump%20Shot%20(25%20PTS)", "Leonard 16' Jump Shot (25 PTS)")</f>
        <v>Leonard 16' Jump Shot (25 PTS)</v>
      </c>
      <c r="K4481" s="2" t="str">
        <f>HYPERLINK("https://www.nba.com/game/...-vs-...-0041500231/play-by-play?watchFullGame=true", "SAS vs OKC - Q3 06:40.00")</f>
        <v>SAS vs OKC - Q3 06:40.00</v>
      </c>
      <c r="L4481">
        <v>16</v>
      </c>
      <c r="M4481">
        <v>155</v>
      </c>
      <c r="N4481">
        <v>51</v>
      </c>
      <c r="O4481">
        <v>155</v>
      </c>
      <c r="P4481">
        <v>51</v>
      </c>
    </row>
    <row r="4482" spans="1:16" x14ac:dyDescent="0.25">
      <c r="A4482">
        <v>21600801</v>
      </c>
      <c r="B4482">
        <v>2016</v>
      </c>
      <c r="C4482" t="s">
        <v>32</v>
      </c>
      <c r="D4482" t="s">
        <v>19</v>
      </c>
      <c r="E4482">
        <v>13</v>
      </c>
      <c r="F4482">
        <v>20</v>
      </c>
      <c r="G4482">
        <v>1</v>
      </c>
      <c r="H4482" s="1">
        <v>1.8055555555555555E-3</v>
      </c>
      <c r="I4482" t="s">
        <v>18</v>
      </c>
      <c r="J4482" s="2" t="str">
        <f>HYPERLINK("https://www.nba.com/stats/events?CFID=&amp;CFPARAMS=&amp;GameEventID=81&amp;GameID=0021600801&amp;Season=2016-17&amp;flag=1&amp;title=Leonard%2017'%20Jump%20Shot%20(4%20PTS)", "Leonard 17' Jump Shot (4 PTS)")</f>
        <v>Leonard 17' Jump Shot (4 PTS)</v>
      </c>
      <c r="K4482" s="2" t="str">
        <f>HYPERLINK("https://www.nba.com/game/...-vs-...-0021600801/play-by-play?watchFullGame=true", "SAS vs DET - Q1 02:36.00")</f>
        <v>SAS vs DET - Q1 02:36.00</v>
      </c>
      <c r="L4482">
        <v>17</v>
      </c>
      <c r="M4482">
        <v>155</v>
      </c>
      <c r="N4482">
        <v>57</v>
      </c>
      <c r="O4482">
        <v>155</v>
      </c>
      <c r="P4482">
        <v>57</v>
      </c>
    </row>
    <row r="4483" spans="1:16" x14ac:dyDescent="0.25">
      <c r="A4483">
        <v>21900212</v>
      </c>
      <c r="B4483">
        <v>2019</v>
      </c>
      <c r="C4483" t="s">
        <v>32</v>
      </c>
      <c r="D4483" t="s">
        <v>22</v>
      </c>
      <c r="E4483">
        <v>12</v>
      </c>
      <c r="F4483">
        <v>7</v>
      </c>
      <c r="G4483">
        <v>1</v>
      </c>
      <c r="H4483" s="1">
        <v>4.5601851851851853E-3</v>
      </c>
      <c r="I4483" t="s">
        <v>23</v>
      </c>
      <c r="J4483" s="2" t="str">
        <f>HYPERLINK("https://www.nba.com/stats/events?CFID=&amp;CFPARAMS=&amp;GameEventID=67&amp;GameID=0021900212&amp;Season=2019-20&amp;flag=1&amp;title=Leonard%2017'%20jumpshot%20(5%20PTS)%20(P.%20George%201%20AST)", "17' jumpshot (5 PTS) (P. George 1 AST)")</f>
        <v>17' jumpshot (5 PTS) (P. George 1 AST)</v>
      </c>
      <c r="K4483" s="2" t="str">
        <f>HYPERLINK("https://www.nba.com/game/...-vs-...-0021900212/play-by-play?watchFullGame=true", "LAC vs BOS - Q1 06:34.00")</f>
        <v>LAC vs BOS - Q1 06:34.00</v>
      </c>
      <c r="L4483">
        <v>17.18</v>
      </c>
      <c r="M4483">
        <v>12.93</v>
      </c>
      <c r="N4483">
        <v>19.05</v>
      </c>
      <c r="O4483">
        <v>155</v>
      </c>
      <c r="P4483">
        <v>69</v>
      </c>
    </row>
    <row r="4484" spans="1:16" x14ac:dyDescent="0.25">
      <c r="A4484">
        <v>21600575</v>
      </c>
      <c r="B4484">
        <v>2016</v>
      </c>
      <c r="C4484" t="s">
        <v>32</v>
      </c>
      <c r="D4484" t="s">
        <v>19</v>
      </c>
      <c r="E4484">
        <v>97</v>
      </c>
      <c r="F4484">
        <v>92</v>
      </c>
      <c r="G4484">
        <v>4</v>
      </c>
      <c r="H4484" s="1">
        <v>5.0231481481481481E-3</v>
      </c>
      <c r="I4484" t="s">
        <v>18</v>
      </c>
      <c r="J4484" s="2" t="str">
        <f>HYPERLINK("https://www.nba.com/stats/events?CFID=&amp;CFPARAMS=&amp;GameEventID=408&amp;GameID=0021600575&amp;Season=2016-17&amp;flag=1&amp;title=Leonard%2020'%20Jump%20Shot%20(27%20PTS)", "Leonard 20' Jump Shot (27 PTS)")</f>
        <v>Leonard 20' Jump Shot (27 PTS)</v>
      </c>
      <c r="K4484" s="2" t="str">
        <f>HYPERLINK("https://www.nba.com/game/...-vs-...-0021600575/play-by-play?watchFullGame=true", "SAS vs MIL - Q4 07:14.00")</f>
        <v>SAS vs MIL - Q4 07:14.00</v>
      </c>
      <c r="L4484">
        <v>20</v>
      </c>
      <c r="M4484">
        <v>155</v>
      </c>
      <c r="N4484">
        <v>124</v>
      </c>
      <c r="O4484">
        <v>155</v>
      </c>
      <c r="P4484">
        <v>124</v>
      </c>
    </row>
    <row r="4485" spans="1:16" x14ac:dyDescent="0.25">
      <c r="A4485">
        <v>21600353</v>
      </c>
      <c r="B4485">
        <v>2016</v>
      </c>
      <c r="C4485" t="s">
        <v>16</v>
      </c>
      <c r="D4485" t="s">
        <v>29</v>
      </c>
      <c r="E4485">
        <v>38</v>
      </c>
      <c r="F4485">
        <v>26</v>
      </c>
      <c r="G4485">
        <v>1</v>
      </c>
      <c r="H4485" s="1">
        <v>3.9699074074074072E-4</v>
      </c>
      <c r="I4485" t="s">
        <v>18</v>
      </c>
      <c r="J4485" s="2" t="str">
        <f>HYPERLINK("https://www.nba.com/stats/events?CFID=&amp;CFPARAMS=&amp;GameEventID=93&amp;GameID=0021600353&amp;Season=2016-17&amp;flag=1&amp;title=Leonard%2025'%203PT%20Pullup%20Jump%20Shot%20(12%20PTS)", "Leonard 25' 3PT Pullup Jump Shot (12 PTS)")</f>
        <v>Leonard 25' 3PT Pullup Jump Shot (12 PTS)</v>
      </c>
      <c r="K4485" s="2" t="str">
        <f>HYPERLINK("https://www.nba.com/game/...-vs-...-0021600353/play-by-play?watchFullGame=true", "SAS vs BKN - Q1 00:34.30")</f>
        <v>SAS vs BKN - Q1 00:34.30</v>
      </c>
      <c r="L4485">
        <v>25</v>
      </c>
      <c r="M4485">
        <v>155</v>
      </c>
      <c r="N4485">
        <v>193</v>
      </c>
      <c r="O4485">
        <v>155</v>
      </c>
      <c r="P4485">
        <v>193</v>
      </c>
    </row>
    <row r="4486" spans="1:16" x14ac:dyDescent="0.25">
      <c r="A4486">
        <v>21500296</v>
      </c>
      <c r="B4486">
        <v>2015</v>
      </c>
      <c r="C4486" t="s">
        <v>16</v>
      </c>
      <c r="D4486" t="s">
        <v>19</v>
      </c>
      <c r="E4486">
        <v>18</v>
      </c>
      <c r="F4486">
        <v>21</v>
      </c>
      <c r="G4486">
        <v>1</v>
      </c>
      <c r="H4486" s="1">
        <v>2.3726851851851851E-3</v>
      </c>
      <c r="I4486" t="s">
        <v>18</v>
      </c>
      <c r="J4486" s="2" t="str">
        <f>HYPERLINK("https://www.nba.com/stats/events?CFID=&amp;CFPARAMS=&amp;GameEventID=71&amp;GameID=0021500296&amp;Season=2015-16&amp;flag=1&amp;title=Leonard%2025'%203PT%20Jump%20Shot%20(6%20PTS)", "Leonard 25' 3PT Jump Shot (6 PTS)")</f>
        <v>Leonard 25' 3PT Jump Shot (6 PTS)</v>
      </c>
      <c r="K4486" s="2" t="str">
        <f>HYPERLINK("https://www.nba.com/game/...-vs-...-0021500296/play-by-play?watchFullGame=true", "SAS vs BOS - Q1 03:25.00")</f>
        <v>SAS vs BOS - Q1 03:25.00</v>
      </c>
      <c r="L4486">
        <v>25</v>
      </c>
      <c r="M4486">
        <v>155</v>
      </c>
      <c r="N4486">
        <v>193</v>
      </c>
      <c r="O4486">
        <v>155</v>
      </c>
      <c r="P4486">
        <v>193</v>
      </c>
    </row>
    <row r="4487" spans="1:16" x14ac:dyDescent="0.25">
      <c r="A4487">
        <v>21900239</v>
      </c>
      <c r="B4487">
        <v>2019</v>
      </c>
      <c r="C4487" t="s">
        <v>16</v>
      </c>
      <c r="D4487" t="s">
        <v>22</v>
      </c>
      <c r="E4487">
        <v>48</v>
      </c>
      <c r="F4487">
        <v>35</v>
      </c>
      <c r="G4487">
        <v>2</v>
      </c>
      <c r="H4487" s="1">
        <v>6.2268518518518515E-3</v>
      </c>
      <c r="I4487" t="s">
        <v>23</v>
      </c>
      <c r="J4487" s="2" t="str">
        <f>HYPERLINK("https://www.nba.com/stats/events?CFID=&amp;CFPARAMS=&amp;GameEventID=209&amp;GameID=0021900239&amp;Season=2019-20&amp;flag=1&amp;title=Leonard%2026'%203PT%20%20(10%20PTS)%20(R.%20McGruder%202%20AST)", "26' 3PT  (10 PTS) (R. McGruder 2 AST)")</f>
        <v>26' 3PT  (10 PTS) (R. McGruder 2 AST)</v>
      </c>
      <c r="K4487" s="2" t="str">
        <f>HYPERLINK("https://www.nba.com/game/...-vs-...-0021900239/play-by-play?watchFullGame=true", "LAC vs NOP - Q2 08:58.00")</f>
        <v>LAC vs NOP - Q2 08:58.00</v>
      </c>
      <c r="L4487">
        <v>25.58</v>
      </c>
      <c r="M4487">
        <v>73.37</v>
      </c>
      <c r="N4487">
        <v>81.06</v>
      </c>
      <c r="O4487">
        <v>155</v>
      </c>
      <c r="P4487">
        <v>198</v>
      </c>
    </row>
    <row r="4488" spans="1:16" x14ac:dyDescent="0.25">
      <c r="A4488">
        <v>21600114</v>
      </c>
      <c r="B4488">
        <v>2016</v>
      </c>
      <c r="C4488" t="s">
        <v>16</v>
      </c>
      <c r="D4488" t="s">
        <v>19</v>
      </c>
      <c r="E4488">
        <v>24</v>
      </c>
      <c r="F4488">
        <v>33</v>
      </c>
      <c r="G4488">
        <v>1</v>
      </c>
      <c r="H4488" s="1">
        <v>6.4814814814814816E-5</v>
      </c>
      <c r="I4488" t="s">
        <v>18</v>
      </c>
      <c r="J4488" s="2" t="str">
        <f>HYPERLINK("https://www.nba.com/stats/events?CFID=&amp;CFPARAMS=&amp;GameEventID=131&amp;GameID=0021600114&amp;Season=2016-17&amp;flag=1&amp;title=Leonard%2025'%203PT%20Jump%20Shot%20(10%20PTS)%20(Ginobili%201%20AST)", "Leonard 25' 3PT Jump Shot (10 PTS) (Ginobili 1 AST)")</f>
        <v>Leonard 25' 3PT Jump Shot (10 PTS) (Ginobili 1 AST)</v>
      </c>
      <c r="K4488" s="2" t="str">
        <f>HYPERLINK("https://www.nba.com/game/...-vs-...-0021600114/play-by-play?watchFullGame=true", "SAS vs HOU - Q1 00:05.60")</f>
        <v>SAS vs HOU - Q1 00:05.60</v>
      </c>
      <c r="L4488">
        <v>25</v>
      </c>
      <c r="M4488">
        <v>155</v>
      </c>
      <c r="N4488">
        <v>200</v>
      </c>
      <c r="O4488">
        <v>155</v>
      </c>
      <c r="P4488">
        <v>200</v>
      </c>
    </row>
    <row r="4489" spans="1:16" x14ac:dyDescent="0.25">
      <c r="A4489">
        <v>21500242</v>
      </c>
      <c r="B4489">
        <v>2015</v>
      </c>
      <c r="C4489" t="s">
        <v>16</v>
      </c>
      <c r="D4489" t="s">
        <v>19</v>
      </c>
      <c r="E4489">
        <v>46</v>
      </c>
      <c r="F4489">
        <v>36</v>
      </c>
      <c r="G4489">
        <v>2</v>
      </c>
      <c r="H4489" s="1">
        <v>3.0787037037037037E-3</v>
      </c>
      <c r="I4489" t="s">
        <v>18</v>
      </c>
      <c r="J4489" s="2" t="str">
        <f>HYPERLINK("https://www.nba.com/stats/events?CFID=&amp;CFPARAMS=&amp;GameEventID=205&amp;GameID=0021500242&amp;Season=2015-16&amp;flag=1&amp;title=Leonard%2025'%203PT%20Jump%20Shot%20(7%20PTS)%20(Parker%205%20AST)", "Leonard 25' 3PT Jump Shot (7 PTS) (Parker 5 AST)")</f>
        <v>Leonard 25' 3PT Jump Shot (7 PTS) (Parker 5 AST)</v>
      </c>
      <c r="K4489" s="2" t="str">
        <f>HYPERLINK("https://www.nba.com/game/...-vs-...-0021500242/play-by-play?watchFullGame=true", "SAS vs ATL - Q2 04:26.00")</f>
        <v>SAS vs ATL - Q2 04:26.00</v>
      </c>
      <c r="L4489">
        <v>25</v>
      </c>
      <c r="M4489">
        <v>155</v>
      </c>
      <c r="N4489">
        <v>200</v>
      </c>
      <c r="O4489">
        <v>155</v>
      </c>
      <c r="P4489">
        <v>200</v>
      </c>
    </row>
    <row r="4490" spans="1:16" x14ac:dyDescent="0.25">
      <c r="A4490">
        <v>22400697</v>
      </c>
      <c r="B4490">
        <v>2024</v>
      </c>
      <c r="C4490" t="s">
        <v>32</v>
      </c>
      <c r="D4490" t="s">
        <v>19</v>
      </c>
      <c r="E4490">
        <v>46</v>
      </c>
      <c r="F4490">
        <v>47</v>
      </c>
      <c r="G4490">
        <v>2</v>
      </c>
      <c r="H4490" s="1">
        <v>4.1898148148148146E-3</v>
      </c>
      <c r="I4490" t="s">
        <v>23</v>
      </c>
      <c r="J4490" s="2" t="str">
        <f>HYPERLINK("https://www.nba.com/stats/events?CFID=&amp;CFPARAMS=&amp;GameEventID=231&amp;GameID=0022400697&amp;Season=2024-25&amp;flag=1&amp;title=Leonard%2015'%20pullup%20Jump%20Shot%20(7%20PTS)", "15' pullup Jump Shot (7 PTS)")</f>
        <v>15' pullup Jump Shot (7 PTS)</v>
      </c>
      <c r="K4490" s="2" t="str">
        <f>HYPERLINK("https://www.nba.com/game/...-vs-...-0022400697/play-by-play?watchFullGame=true", "LAC vs TOR - Q2 06:02.00")</f>
        <v>LAC vs TOR - Q2 06:02.00</v>
      </c>
      <c r="L4490">
        <v>15.77</v>
      </c>
      <c r="M4490">
        <v>91.67</v>
      </c>
      <c r="N4490">
        <v>81.13</v>
      </c>
      <c r="O4490">
        <v>156</v>
      </c>
      <c r="P4490">
        <v>26</v>
      </c>
    </row>
    <row r="4491" spans="1:16" x14ac:dyDescent="0.25">
      <c r="A4491">
        <v>21500347</v>
      </c>
      <c r="B4491">
        <v>2015</v>
      </c>
      <c r="C4491" t="s">
        <v>32</v>
      </c>
      <c r="D4491" t="s">
        <v>87</v>
      </c>
      <c r="E4491">
        <v>67</v>
      </c>
      <c r="F4491">
        <v>87</v>
      </c>
      <c r="G4491">
        <v>4</v>
      </c>
      <c r="H4491" s="1">
        <v>5.8333333333333336E-3</v>
      </c>
      <c r="I4491" t="s">
        <v>18</v>
      </c>
      <c r="J4491" s="2" t="str">
        <f>HYPERLINK("https://www.nba.com/stats/events?CFID=&amp;CFPARAMS=&amp;GameEventID=437&amp;GameID=0021500347&amp;Season=2015-16&amp;flag=1&amp;title=Leonard%2019'%20Running%20Pull-Up%20Jump%20Shot%20(19%20PTS)", "Leonard 19' Running Pull-Up Jump Shot (19 PTS)")</f>
        <v>Leonard 19' Running Pull-Up Jump Shot (19 PTS)</v>
      </c>
      <c r="K4491" s="2" t="str">
        <f>HYPERLINK("https://www.nba.com/game/...-vs-...-0021500347/play-by-play?watchFullGame=true", "SAS vs ATL - Q4 08:24.00")</f>
        <v>SAS vs ATL - Q4 08:24.00</v>
      </c>
      <c r="L4491">
        <v>19</v>
      </c>
      <c r="M4491">
        <v>156</v>
      </c>
      <c r="N4491">
        <v>111</v>
      </c>
      <c r="O4491">
        <v>156</v>
      </c>
      <c r="P4491">
        <v>111</v>
      </c>
    </row>
    <row r="4492" spans="1:16" x14ac:dyDescent="0.25">
      <c r="A4492">
        <v>22200871</v>
      </c>
      <c r="B4492">
        <v>2022</v>
      </c>
      <c r="C4492" t="s">
        <v>32</v>
      </c>
      <c r="D4492" t="s">
        <v>19</v>
      </c>
      <c r="E4492">
        <v>21</v>
      </c>
      <c r="F4492">
        <v>11</v>
      </c>
      <c r="G4492">
        <v>1</v>
      </c>
      <c r="H4492" s="1">
        <v>2.8240740740740739E-3</v>
      </c>
      <c r="I4492" t="s">
        <v>23</v>
      </c>
      <c r="J4492" s="2" t="str">
        <f>HYPERLINK("https://www.nba.com/stats/events?CFID=&amp;CFPARAMS=&amp;GameEventID=75&amp;GameID=0022200871&amp;Season=2022-23&amp;flag=1&amp;title=Leonard%2019'%20fadeaway%20Jump%20Shot%20(8%20PTS)", "19' fadeaway Jump Shot (8 PTS)")</f>
        <v>19' fadeaway Jump Shot (8 PTS)</v>
      </c>
      <c r="K4492" s="2" t="str">
        <f>HYPERLINK("https://www.nba.com/game/...-vs-...-0022200871/play-by-play?watchFullGame=true", "LAC vs GSW - Q1 04:04.00")</f>
        <v>LAC vs GSW - Q1 04:04.00</v>
      </c>
      <c r="L4492">
        <v>19.57</v>
      </c>
      <c r="M4492">
        <v>81.78</v>
      </c>
      <c r="N4492">
        <v>81.13</v>
      </c>
      <c r="O4492">
        <v>156</v>
      </c>
      <c r="P4492">
        <v>119</v>
      </c>
    </row>
    <row r="4493" spans="1:16" x14ac:dyDescent="0.25">
      <c r="A4493">
        <v>22300325</v>
      </c>
      <c r="B4493">
        <v>2023</v>
      </c>
      <c r="C4493" t="s">
        <v>32</v>
      </c>
      <c r="D4493" t="s">
        <v>19</v>
      </c>
      <c r="E4493">
        <v>13</v>
      </c>
      <c r="F4493">
        <v>14</v>
      </c>
      <c r="G4493">
        <v>1</v>
      </c>
      <c r="H4493" s="1">
        <v>3.9120370370370368E-3</v>
      </c>
      <c r="I4493" t="s">
        <v>23</v>
      </c>
      <c r="J4493" s="2" t="str">
        <f>HYPERLINK("https://www.nba.com/stats/events?CFID=&amp;CFPARAMS=&amp;GameEventID=84&amp;GameID=0022300325&amp;Season=2023-24&amp;flag=1&amp;title=Leonard%2020'%20pullup%20Jump%20Shot%20(5%20PTS)%20(J.%20Harden%204%20AST)", "20' pullup Jump Shot (5 PTS) (J. Harden 4 AST)")</f>
        <v>20' pullup Jump Shot (5 PTS) (J. Harden 4 AST)</v>
      </c>
      <c r="K4493" s="2" t="str">
        <f>HYPERLINK("https://www.nba.com/game/...-vs-...-0022300325/play-by-play?watchFullGame=true", "LAC vs GSW - Q1 05:38.00")</f>
        <v>LAC vs GSW - Q1 05:38.00</v>
      </c>
      <c r="L4493">
        <v>20.48</v>
      </c>
      <c r="M4493">
        <v>19.760000000000002</v>
      </c>
      <c r="N4493">
        <v>18.87</v>
      </c>
      <c r="O4493">
        <v>156</v>
      </c>
      <c r="P4493">
        <v>133</v>
      </c>
    </row>
    <row r="4494" spans="1:16" x14ac:dyDescent="0.25">
      <c r="A4494">
        <v>21600874</v>
      </c>
      <c r="B4494">
        <v>2016</v>
      </c>
      <c r="C4494" t="s">
        <v>16</v>
      </c>
      <c r="D4494" t="s">
        <v>29</v>
      </c>
      <c r="E4494">
        <v>36</v>
      </c>
      <c r="F4494">
        <v>55</v>
      </c>
      <c r="G4494">
        <v>2</v>
      </c>
      <c r="H4494" s="1">
        <v>1.4583333333333334E-3</v>
      </c>
      <c r="I4494" t="s">
        <v>18</v>
      </c>
      <c r="J4494" s="2" t="str">
        <f>HYPERLINK("https://www.nba.com/stats/events?CFID=&amp;CFPARAMS=&amp;GameEventID=215&amp;GameID=0021600874&amp;Season=2016-17&amp;flag=1&amp;title=Leonard%2024'%203PT%20Pullup%20Jump%20Shot%20(19%20PTS)%20(Aldridge%201%20AST)", "Leonard 24' 3PT Pullup Jump Shot (19 PTS) (Aldridge 1 AST)")</f>
        <v>Leonard 24' 3PT Pullup Jump Shot (19 PTS) (Aldridge 1 AST)</v>
      </c>
      <c r="K4494" s="2" t="str">
        <f>HYPERLINK("https://www.nba.com/game/...-vs-...-0021600874/play-by-play?watchFullGame=true", "SAS vs LAL - Q2 02:06.00")</f>
        <v>SAS vs LAL - Q2 02:06.00</v>
      </c>
      <c r="L4494">
        <v>24</v>
      </c>
      <c r="M4494">
        <v>156</v>
      </c>
      <c r="N4494">
        <v>183</v>
      </c>
      <c r="O4494">
        <v>156</v>
      </c>
      <c r="P4494">
        <v>183</v>
      </c>
    </row>
    <row r="4495" spans="1:16" x14ac:dyDescent="0.25">
      <c r="A4495">
        <v>21900603</v>
      </c>
      <c r="B4495">
        <v>2019</v>
      </c>
      <c r="C4495" t="s">
        <v>16</v>
      </c>
      <c r="D4495" t="s">
        <v>22</v>
      </c>
      <c r="E4495">
        <v>59</v>
      </c>
      <c r="F4495">
        <v>50</v>
      </c>
      <c r="G4495">
        <v>2</v>
      </c>
      <c r="H4495" s="1">
        <v>1.4699074074074074E-3</v>
      </c>
      <c r="I4495" t="s">
        <v>23</v>
      </c>
      <c r="J4495" s="2" t="str">
        <f>HYPERLINK("https://www.nba.com/stats/events?CFID=&amp;CFPARAMS=&amp;GameEventID=273&amp;GameID=0021900603&amp;Season=2019-20&amp;flag=1&amp;title=Leonard%2026'%203PT%20%20(23%20PTS)", "26' 3PT  (23 PTS)")</f>
        <v>26' 3PT  (23 PTS)</v>
      </c>
      <c r="K4495" s="2" t="str">
        <f>HYPERLINK("https://www.nba.com/game/...-vs-...-0021900603/play-by-play?watchFullGame=true", "LAC vs CLE - Q2 02:07.00")</f>
        <v>LAC vs CLE - Q2 02:07.00</v>
      </c>
      <c r="L4495">
        <v>25.5</v>
      </c>
      <c r="M4495">
        <v>26.46</v>
      </c>
      <c r="N4495">
        <v>18.8</v>
      </c>
      <c r="O4495">
        <v>156</v>
      </c>
      <c r="P4495">
        <v>196</v>
      </c>
    </row>
    <row r="4496" spans="1:16" x14ac:dyDescent="0.25">
      <c r="A4496">
        <v>21600114</v>
      </c>
      <c r="B4496">
        <v>2016</v>
      </c>
      <c r="C4496" t="s">
        <v>16</v>
      </c>
      <c r="D4496" t="s">
        <v>19</v>
      </c>
      <c r="E4496">
        <v>93</v>
      </c>
      <c r="F4496">
        <v>96</v>
      </c>
      <c r="G4496">
        <v>4</v>
      </c>
      <c r="H4496" s="1">
        <v>4.5486111111111109E-3</v>
      </c>
      <c r="I4496" t="s">
        <v>18</v>
      </c>
      <c r="J4496" s="2" t="str">
        <f>HYPERLINK("https://www.nba.com/stats/events?CFID=&amp;CFPARAMS=&amp;GameEventID=492&amp;GameID=0021600114&amp;Season=2016-17&amp;flag=1&amp;title=Leonard%2025'%203PT%20Jump%20Shot%20(30%20PTS)%20(Mills%209%20AST)", "Leonard 25' 3PT Jump Shot (30 PTS) (Mills 9 AST)")</f>
        <v>Leonard 25' 3PT Jump Shot (30 PTS) (Mills 9 AST)</v>
      </c>
      <c r="K4496" s="2" t="str">
        <f>HYPERLINK("https://www.nba.com/game/...-vs-...-0021600114/play-by-play?watchFullGame=true", "SAS vs HOU - Q4 06:33.00")</f>
        <v>SAS vs HOU - Q4 06:33.00</v>
      </c>
      <c r="L4496">
        <v>25</v>
      </c>
      <c r="M4496">
        <v>156</v>
      </c>
      <c r="N4496">
        <v>200</v>
      </c>
      <c r="O4496">
        <v>156</v>
      </c>
      <c r="P4496">
        <v>200</v>
      </c>
    </row>
    <row r="4497" spans="1:16" x14ac:dyDescent="0.25">
      <c r="A4497">
        <v>21600508</v>
      </c>
      <c r="B4497">
        <v>2016</v>
      </c>
      <c r="C4497" t="s">
        <v>16</v>
      </c>
      <c r="D4497" t="s">
        <v>29</v>
      </c>
      <c r="E4497">
        <v>112</v>
      </c>
      <c r="F4497">
        <v>112</v>
      </c>
      <c r="G4497">
        <v>5</v>
      </c>
      <c r="H4497" s="1">
        <v>3.9699074074074072E-4</v>
      </c>
      <c r="I4497" t="s">
        <v>18</v>
      </c>
      <c r="J4497" s="2" t="str">
        <f>HYPERLINK("https://www.nba.com/stats/events?CFID=&amp;CFPARAMS=&amp;GameEventID=599&amp;GameID=0021600508&amp;Season=2016-17&amp;flag=1&amp;title=Leonard%2026'%203PT%20Pullup%20Jump%20Shot%20(13%20PTS)", "Leonard 26' 3PT Pullup Jump Shot (13 PTS)")</f>
        <v>Leonard 26' 3PT Pullup Jump Shot (13 PTS)</v>
      </c>
      <c r="K4497" s="2" t="str">
        <f>HYPERLINK("https://www.nba.com/game/...-vs-...-0021600508/play-by-play?watchFullGame=true", "SAS vs ATL - Q5 00:34.30")</f>
        <v>SAS vs ATL - Q5 00:34.30</v>
      </c>
      <c r="L4497">
        <v>26</v>
      </c>
      <c r="M4497">
        <v>156</v>
      </c>
      <c r="N4497">
        <v>203</v>
      </c>
      <c r="O4497">
        <v>156</v>
      </c>
      <c r="P4497">
        <v>203</v>
      </c>
    </row>
    <row r="4498" spans="1:16" x14ac:dyDescent="0.25">
      <c r="A4498">
        <v>22300099</v>
      </c>
      <c r="B4498">
        <v>2023</v>
      </c>
      <c r="C4498" t="s">
        <v>16</v>
      </c>
      <c r="D4498" t="s">
        <v>19</v>
      </c>
      <c r="E4498">
        <v>49</v>
      </c>
      <c r="F4498">
        <v>31</v>
      </c>
      <c r="G4498">
        <v>2</v>
      </c>
      <c r="H4498" s="1">
        <v>2.3263888888888887E-3</v>
      </c>
      <c r="I4498" t="s">
        <v>23</v>
      </c>
      <c r="J4498" s="2" t="str">
        <f>HYPERLINK("https://www.nba.com/stats/events?CFID=&amp;CFPARAMS=&amp;GameEventID=302&amp;GameID=0022300099&amp;Season=2023-24&amp;flag=1&amp;title=Leonard%2031'%203PT%20%20(13%20PTS)%20(R.%20Covington%201%20AST)", "31' 3PT  (13 PTS) (R. Covington 1 AST)")</f>
        <v>31' 3PT  (13 PTS) (R. Covington 1 AST)</v>
      </c>
      <c r="K4498" s="2" t="str">
        <f>HYPERLINK("https://www.nba.com/game/...-vs-...-0022300099/play-by-play?watchFullGame=true", "LAC vs SAS - Q2 03:21.00")</f>
        <v>LAC vs SAS - Q2 03:21.00</v>
      </c>
      <c r="L4498">
        <v>31.54</v>
      </c>
      <c r="M4498">
        <v>65.23</v>
      </c>
      <c r="N4498">
        <v>81.13</v>
      </c>
      <c r="O4498">
        <v>156</v>
      </c>
      <c r="P4498">
        <v>274</v>
      </c>
    </row>
    <row r="4499" spans="1:16" x14ac:dyDescent="0.25">
      <c r="A4499">
        <v>21400159</v>
      </c>
      <c r="B4499">
        <v>2014</v>
      </c>
      <c r="C4499" t="s">
        <v>32</v>
      </c>
      <c r="D4499" t="s">
        <v>33</v>
      </c>
      <c r="E4499">
        <v>53</v>
      </c>
      <c r="F4499">
        <v>51</v>
      </c>
      <c r="G4499">
        <v>3</v>
      </c>
      <c r="H4499" s="1">
        <v>5.5439814814814813E-3</v>
      </c>
      <c r="I4499" t="s">
        <v>18</v>
      </c>
      <c r="J4499" s="2" t="str">
        <f>HYPERLINK("https://www.nba.com/stats/events?CFID=&amp;CFPARAMS=&amp;GameEventID=285&amp;GameID=0021400159&amp;Season=2014-15&amp;flag=1&amp;title=Leonard%2016'%20Fadeaway%20Jumper%20(9%20PTS)", "Leonard 16' Fadeaway Jumper (9 PTS)")</f>
        <v>Leonard 16' Fadeaway Jumper (9 PTS)</v>
      </c>
      <c r="K4499" s="2" t="str">
        <f>HYPERLINK("https://www.nba.com/game/...-vs-...-0021400159/play-by-play?watchFullGame=true", "SAS vs CLE - Q3 07:59.00")</f>
        <v>SAS vs CLE - Q3 07:59.00</v>
      </c>
      <c r="L4499">
        <v>16</v>
      </c>
      <c r="M4499">
        <v>157</v>
      </c>
      <c r="N4499">
        <v>36</v>
      </c>
      <c r="O4499">
        <v>157</v>
      </c>
      <c r="P4499">
        <v>36</v>
      </c>
    </row>
    <row r="4500" spans="1:16" x14ac:dyDescent="0.25">
      <c r="A4500">
        <v>22000400</v>
      </c>
      <c r="B4500">
        <v>2020</v>
      </c>
      <c r="C4500" t="s">
        <v>32</v>
      </c>
      <c r="D4500" t="s">
        <v>19</v>
      </c>
      <c r="E4500">
        <v>18</v>
      </c>
      <c r="F4500">
        <v>26</v>
      </c>
      <c r="G4500">
        <v>1</v>
      </c>
      <c r="H4500" s="1">
        <v>7.407407407407407E-4</v>
      </c>
      <c r="I4500" t="s">
        <v>23</v>
      </c>
      <c r="J4500" s="2" t="str">
        <f>HYPERLINK("https://www.nba.com/stats/events?CFID=&amp;CFPARAMS=&amp;GameEventID=140&amp;GameID=0022000400&amp;Season=2020-21&amp;flag=1&amp;title=Leonard%2018'%20Jump%20Shot%20(6%20PTS)", "18' Jump Shot (6 PTS)")</f>
        <v>18' Jump Shot (6 PTS)</v>
      </c>
      <c r="K4500" s="2" t="str">
        <f>HYPERLINK("https://www.nba.com/game/...-vs-...-0022000400/play-by-play?watchFullGame=true", "LAC vs CHI - Q1 01:04.00")</f>
        <v>LAC vs CHI - Q1 01:04.00</v>
      </c>
      <c r="L4500">
        <v>18.489999999999998</v>
      </c>
      <c r="M4500">
        <v>84.05</v>
      </c>
      <c r="N4500">
        <v>81.44</v>
      </c>
      <c r="O4500">
        <v>157</v>
      </c>
      <c r="P4500">
        <v>97</v>
      </c>
    </row>
    <row r="4501" spans="1:16" x14ac:dyDescent="0.25">
      <c r="A4501">
        <v>41800217</v>
      </c>
      <c r="B4501" t="s">
        <v>20</v>
      </c>
      <c r="C4501" t="s">
        <v>32</v>
      </c>
      <c r="D4501" t="s">
        <v>29</v>
      </c>
      <c r="E4501">
        <v>87</v>
      </c>
      <c r="F4501">
        <v>85</v>
      </c>
      <c r="G4501">
        <v>4</v>
      </c>
      <c r="H4501" s="1">
        <v>1.1689814814814816E-3</v>
      </c>
      <c r="I4501" t="s">
        <v>21</v>
      </c>
      <c r="J4501" s="2" t="str">
        <f>HYPERLINK("https://www.nba.com/stats/events?CFID=&amp;CFPARAMS=&amp;GameEventID=567&amp;GameID=0041800217&amp;Season=2018-19&amp;flag=1&amp;title=Leonard%2024'%20Pullup%20Jump%20Shot%20(38%20PTS)", "Leonard 24' Pullup Jump Shot (38 PTS)")</f>
        <v>Leonard 24' Pullup Jump Shot (38 PTS)</v>
      </c>
      <c r="K4501" s="2" t="str">
        <f>HYPERLINK("https://www.nba.com/game/...-vs-...-0041800217/play-by-play?watchFullGame=true", "TOR vs PHI - Q4 01:41.00")</f>
        <v>TOR vs PHI - Q4 01:41.00</v>
      </c>
      <c r="L4501">
        <v>24</v>
      </c>
      <c r="M4501">
        <v>157</v>
      </c>
      <c r="N4501">
        <v>175</v>
      </c>
      <c r="O4501">
        <v>157</v>
      </c>
      <c r="P4501">
        <v>175</v>
      </c>
    </row>
    <row r="4502" spans="1:16" x14ac:dyDescent="0.25">
      <c r="A4502">
        <v>21600575</v>
      </c>
      <c r="B4502">
        <v>2016</v>
      </c>
      <c r="C4502" t="s">
        <v>32</v>
      </c>
      <c r="D4502" t="s">
        <v>29</v>
      </c>
      <c r="E4502">
        <v>99</v>
      </c>
      <c r="F4502">
        <v>94</v>
      </c>
      <c r="G4502">
        <v>4</v>
      </c>
      <c r="H4502" s="1">
        <v>3.4953703703703705E-3</v>
      </c>
      <c r="I4502" t="s">
        <v>18</v>
      </c>
      <c r="J4502" s="2" t="str">
        <f>HYPERLINK("https://www.nba.com/stats/events?CFID=&amp;CFPARAMS=&amp;GameEventID=425&amp;GameID=0021600575&amp;Season=2016-17&amp;flag=1&amp;title=Leonard%2016'%20Pullup%20Jump%20Shot%20(29%20PTS)", "Leonard 16' Pullup Jump Shot (29 PTS)")</f>
        <v>Leonard 16' Pullup Jump Shot (29 PTS)</v>
      </c>
      <c r="K4502" s="2" t="str">
        <f>HYPERLINK("https://www.nba.com/game/...-vs-...-0021600575/play-by-play?watchFullGame=true", "SAS vs MIL - Q4 05:02.00")</f>
        <v>SAS vs MIL - Q4 05:02.00</v>
      </c>
      <c r="L4502">
        <v>16</v>
      </c>
      <c r="M4502">
        <v>158</v>
      </c>
      <c r="N4502">
        <v>-29</v>
      </c>
      <c r="O4502">
        <v>158</v>
      </c>
      <c r="P4502">
        <v>-29</v>
      </c>
    </row>
    <row r="4503" spans="1:16" x14ac:dyDescent="0.25">
      <c r="A4503">
        <v>21501161</v>
      </c>
      <c r="B4503">
        <v>2015</v>
      </c>
      <c r="C4503" t="s">
        <v>32</v>
      </c>
      <c r="D4503" t="s">
        <v>19</v>
      </c>
      <c r="E4503">
        <v>86</v>
      </c>
      <c r="F4503">
        <v>88</v>
      </c>
      <c r="G4503">
        <v>4</v>
      </c>
      <c r="H4503" s="1">
        <v>5.6712962962962965E-5</v>
      </c>
      <c r="I4503" t="s">
        <v>18</v>
      </c>
      <c r="J4503" s="2" t="str">
        <f>HYPERLINK("https://www.nba.com/stats/events?CFID=&amp;CFPARAMS=&amp;GameEventID=450&amp;GameID=0021501161&amp;Season=2015-16&amp;flag=1&amp;title=Leonard%2016'%20Jump%20Shot%20(18%20PTS)%20(Anderson%204%20AST)", "Leonard 16' Jump Shot (18 PTS) (Anderson 4 AST)")</f>
        <v>Leonard 16' Jump Shot (18 PTS) (Anderson 4 AST)</v>
      </c>
      <c r="K4503" s="2" t="str">
        <f>HYPERLINK("https://www.nba.com/game/...-vs-...-0021501161/play-by-play?watchFullGame=true", "SAS vs UTA - Q4 00:04.90")</f>
        <v>SAS vs UTA - Q4 00:04.90</v>
      </c>
      <c r="L4503">
        <v>16</v>
      </c>
      <c r="M4503">
        <v>158</v>
      </c>
      <c r="N4503">
        <v>2</v>
      </c>
      <c r="O4503">
        <v>158</v>
      </c>
      <c r="P4503">
        <v>2</v>
      </c>
    </row>
    <row r="4504" spans="1:16" x14ac:dyDescent="0.25">
      <c r="A4504">
        <v>22000172</v>
      </c>
      <c r="B4504">
        <v>2020</v>
      </c>
      <c r="C4504" t="s">
        <v>32</v>
      </c>
      <c r="D4504" t="s">
        <v>19</v>
      </c>
      <c r="E4504">
        <v>70</v>
      </c>
      <c r="F4504">
        <v>57</v>
      </c>
      <c r="G4504">
        <v>3</v>
      </c>
      <c r="H4504" s="1">
        <v>4.8958333333333336E-3</v>
      </c>
      <c r="I4504" t="s">
        <v>23</v>
      </c>
      <c r="J4504" s="2" t="str">
        <f>HYPERLINK("https://www.nba.com/stats/events?CFID=&amp;CFPARAMS=&amp;GameEventID=362&amp;GameID=0022000172&amp;Season=2020-21&amp;flag=1&amp;title=Leonard%2015'%20Jump%20Shot%20(12%20PTS)", "15' Jump Shot (12 PTS)")</f>
        <v>15' Jump Shot (12 PTS)</v>
      </c>
      <c r="K4504" s="2" t="str">
        <f>HYPERLINK("https://www.nba.com/game/...-vs-...-0022000172/play-by-play?watchFullGame=true", "LAC vs NOP - Q3 07:03.00")</f>
        <v>LAC vs NOP - Q3 07:03.00</v>
      </c>
      <c r="L4504">
        <v>15.78</v>
      </c>
      <c r="M4504">
        <v>93.74</v>
      </c>
      <c r="N4504">
        <v>81.55</v>
      </c>
      <c r="O4504">
        <v>158</v>
      </c>
      <c r="P4504">
        <v>6</v>
      </c>
    </row>
    <row r="4505" spans="1:16" x14ac:dyDescent="0.25">
      <c r="A4505">
        <v>21900377</v>
      </c>
      <c r="B4505">
        <v>2019</v>
      </c>
      <c r="C4505" t="s">
        <v>32</v>
      </c>
      <c r="D4505" t="s">
        <v>22</v>
      </c>
      <c r="E4505">
        <v>11</v>
      </c>
      <c r="F4505">
        <v>18</v>
      </c>
      <c r="G4505">
        <v>1</v>
      </c>
      <c r="H4505" s="1">
        <v>4.3981481481481484E-3</v>
      </c>
      <c r="I4505" t="s">
        <v>23</v>
      </c>
      <c r="J4505" s="2" t="str">
        <f>HYPERLINK("https://www.nba.com/stats/events?CFID=&amp;CFPARAMS=&amp;GameEventID=63&amp;GameID=0021900377&amp;Season=2019-20&amp;flag=1&amp;title=Leonard%2016'%20jumpshot%20(11%20PTS)%20(P.%20George%201%20AST)", "16' jumpshot (11 PTS) (P. George 1 AST)")</f>
        <v>16' jumpshot (11 PTS) (P. George 1 AST)</v>
      </c>
      <c r="K4505" s="2" t="str">
        <f>HYPERLINK("https://www.nba.com/game/...-vs-...-0021900377/play-by-play?watchFullGame=true", "LAC vs MIN - Q1 06:20.00")</f>
        <v>LAC vs MIN - Q1 06:20.00</v>
      </c>
      <c r="L4505">
        <v>15.94</v>
      </c>
      <c r="M4505">
        <v>93.12</v>
      </c>
      <c r="N4505">
        <v>81.69</v>
      </c>
      <c r="O4505">
        <v>158</v>
      </c>
      <c r="P4505">
        <v>12</v>
      </c>
    </row>
    <row r="4506" spans="1:16" x14ac:dyDescent="0.25">
      <c r="A4506">
        <v>21600834</v>
      </c>
      <c r="B4506">
        <v>2016</v>
      </c>
      <c r="C4506" t="s">
        <v>32</v>
      </c>
      <c r="D4506" t="s">
        <v>19</v>
      </c>
      <c r="E4506">
        <v>43</v>
      </c>
      <c r="F4506">
        <v>63</v>
      </c>
      <c r="G4506">
        <v>3</v>
      </c>
      <c r="H4506" s="1">
        <v>6.7129629629629631E-3</v>
      </c>
      <c r="I4506" t="s">
        <v>18</v>
      </c>
      <c r="J4506" s="2" t="str">
        <f>HYPERLINK("https://www.nba.com/stats/events?CFID=&amp;CFPARAMS=&amp;GameEventID=288&amp;GameID=0021600834&amp;Season=2016-17&amp;flag=1&amp;title=Leonard%2016'%20Jump%20Shot%20(22%20PTS)%20(Parker%206%20AST)", "Leonard 16' Jump Shot (22 PTS) (Parker 6 AST)")</f>
        <v>Leonard 16' Jump Shot (22 PTS) (Parker 6 AST)</v>
      </c>
      <c r="K4506" s="2" t="str">
        <f>HYPERLINK("https://www.nba.com/game/...-vs-...-0021600834/play-by-play?watchFullGame=true", "SAS vs ORL - Q3 09:40.00")</f>
        <v>SAS vs ORL - Q3 09:40.00</v>
      </c>
      <c r="L4506">
        <v>16</v>
      </c>
      <c r="M4506">
        <v>158</v>
      </c>
      <c r="N4506">
        <v>16</v>
      </c>
      <c r="O4506">
        <v>158</v>
      </c>
      <c r="P4506">
        <v>16</v>
      </c>
    </row>
    <row r="4507" spans="1:16" x14ac:dyDescent="0.25">
      <c r="A4507">
        <v>21900626</v>
      </c>
      <c r="B4507">
        <v>2019</v>
      </c>
      <c r="C4507" t="s">
        <v>32</v>
      </c>
      <c r="D4507" t="s">
        <v>22</v>
      </c>
      <c r="E4507">
        <v>10</v>
      </c>
      <c r="F4507">
        <v>12</v>
      </c>
      <c r="G4507">
        <v>1</v>
      </c>
      <c r="H4507" s="1">
        <v>5.9953703703703705E-3</v>
      </c>
      <c r="I4507" t="s">
        <v>23</v>
      </c>
      <c r="J4507" s="2" t="str">
        <f>HYPERLINK("https://www.nba.com/stats/events?CFID=&amp;CFPARAMS=&amp;GameEventID=43&amp;GameID=0021900626&amp;Season=2019-20&amp;flag=1&amp;title=Leonard%2016'%20jumpshot%20(5%20PTS)%20(P.%20Beverley%202%20AST)", "16' jumpshot (5 PTS) (P. Beverley 2 AST)")</f>
        <v>16' jumpshot (5 PTS) (P. Beverley 2 AST)</v>
      </c>
      <c r="K4507" s="2" t="str">
        <f>HYPERLINK("https://www.nba.com/game/...-vs-...-0021900626/play-by-play?watchFullGame=true", "LAC vs NOP - Q1 08:38.00")</f>
        <v>LAC vs NOP - Q1 08:38.00</v>
      </c>
      <c r="L4507">
        <v>16.22</v>
      </c>
      <c r="M4507">
        <v>9.02</v>
      </c>
      <c r="N4507">
        <v>18.45</v>
      </c>
      <c r="O4507">
        <v>158</v>
      </c>
      <c r="P4507">
        <v>32</v>
      </c>
    </row>
    <row r="4508" spans="1:16" x14ac:dyDescent="0.25">
      <c r="A4508">
        <v>21600625</v>
      </c>
      <c r="B4508">
        <v>2016</v>
      </c>
      <c r="C4508" t="s">
        <v>32</v>
      </c>
      <c r="D4508" t="s">
        <v>19</v>
      </c>
      <c r="E4508">
        <v>63</v>
      </c>
      <c r="F4508">
        <v>67</v>
      </c>
      <c r="G4508">
        <v>2</v>
      </c>
      <c r="H4508" s="1">
        <v>6.226851851851851E-4</v>
      </c>
      <c r="I4508" t="s">
        <v>18</v>
      </c>
      <c r="J4508" s="2" t="str">
        <f>HYPERLINK("https://www.nba.com/stats/events?CFID=&amp;CFPARAMS=&amp;GameEventID=289&amp;GameID=0021600625&amp;Season=2016-17&amp;flag=1&amp;title=Leonard%2016'%20Jump%20Shot%20(15%20PTS)%20(Mills%202%20AST)", "Leonard 16' Jump Shot (15 PTS) (Mills 2 AST)")</f>
        <v>Leonard 16' Jump Shot (15 PTS) (Mills 2 AST)</v>
      </c>
      <c r="K4508" s="2" t="str">
        <f>HYPERLINK("https://www.nba.com/game/...-vs-...-0021600625/play-by-play?watchFullGame=true", "SAS vs MIN - Q2 00:53.80")</f>
        <v>SAS vs MIN - Q2 00:53.80</v>
      </c>
      <c r="L4508">
        <v>16</v>
      </c>
      <c r="M4508">
        <v>158</v>
      </c>
      <c r="N4508">
        <v>46</v>
      </c>
      <c r="O4508">
        <v>158</v>
      </c>
      <c r="P4508">
        <v>46</v>
      </c>
    </row>
    <row r="4509" spans="1:16" x14ac:dyDescent="0.25">
      <c r="A4509">
        <v>41500154</v>
      </c>
      <c r="B4509" t="s">
        <v>25</v>
      </c>
      <c r="C4509" t="s">
        <v>32</v>
      </c>
      <c r="D4509" t="s">
        <v>17</v>
      </c>
      <c r="E4509">
        <v>4</v>
      </c>
      <c r="F4509">
        <v>6</v>
      </c>
      <c r="G4509">
        <v>1</v>
      </c>
      <c r="H4509" s="1">
        <v>6.6898148148148151E-3</v>
      </c>
      <c r="I4509" t="s">
        <v>18</v>
      </c>
      <c r="J4509" s="2" t="str">
        <f>HYPERLINK("https://www.nba.com/stats/events?CFID=&amp;CFPARAMS=&amp;GameEventID=17&amp;GameID=0041500154&amp;Season=2015-16&amp;flag=1&amp;title=Leonard%2022'%20Running%20Jump%20Shot%20(2%20PTS)", "Leonard 22' Running Jump Shot (2 PTS)")</f>
        <v>Leonard 22' Running Jump Shot (2 PTS)</v>
      </c>
      <c r="K4509" s="2" t="str">
        <f>HYPERLINK("https://www.nba.com/game/...-vs-...-0041500154/play-by-play?watchFullGame=true", "SAS vs MEM - Q1 09:38.00")</f>
        <v>SAS vs MEM - Q1 09:38.00</v>
      </c>
      <c r="L4509">
        <v>22</v>
      </c>
      <c r="M4509">
        <v>158</v>
      </c>
      <c r="N4509">
        <v>156</v>
      </c>
      <c r="O4509">
        <v>158</v>
      </c>
      <c r="P4509">
        <v>156</v>
      </c>
    </row>
    <row r="4510" spans="1:16" x14ac:dyDescent="0.25">
      <c r="A4510">
        <v>21500689</v>
      </c>
      <c r="B4510">
        <v>2015</v>
      </c>
      <c r="C4510" t="s">
        <v>16</v>
      </c>
      <c r="D4510" t="s">
        <v>19</v>
      </c>
      <c r="E4510">
        <v>57</v>
      </c>
      <c r="F4510">
        <v>44</v>
      </c>
      <c r="G4510">
        <v>2</v>
      </c>
      <c r="H4510" s="1">
        <v>2.9629629629629628E-3</v>
      </c>
      <c r="I4510" t="s">
        <v>18</v>
      </c>
      <c r="J4510" s="2" t="str">
        <f>HYPERLINK("https://www.nba.com/stats/events?CFID=&amp;CFPARAMS=&amp;GameEventID=244&amp;GameID=0021500689&amp;Season=2015-16&amp;flag=1&amp;title=Leonard%2024'%203PT%20Jump%20Shot%20(10%20PTS)%20(Parker%203%20AST)", "Leonard 24' 3PT Jump Shot (10 PTS) (Parker 3 AST)")</f>
        <v>Leonard 24' 3PT Jump Shot (10 PTS) (Parker 3 AST)</v>
      </c>
      <c r="K4510" s="2" t="str">
        <f>HYPERLINK("https://www.nba.com/game/...-vs-...-0021500689/play-by-play?watchFullGame=true", "SAS vs HOU - Q2 04:16.00")</f>
        <v>SAS vs HOU - Q2 04:16.00</v>
      </c>
      <c r="L4510">
        <v>24</v>
      </c>
      <c r="M4510">
        <v>158</v>
      </c>
      <c r="N4510">
        <v>183</v>
      </c>
      <c r="O4510">
        <v>158</v>
      </c>
      <c r="P4510">
        <v>183</v>
      </c>
    </row>
    <row r="4511" spans="1:16" x14ac:dyDescent="0.25">
      <c r="A4511">
        <v>21500379</v>
      </c>
      <c r="B4511">
        <v>2015</v>
      </c>
      <c r="C4511" t="s">
        <v>16</v>
      </c>
      <c r="D4511" t="s">
        <v>19</v>
      </c>
      <c r="E4511">
        <v>3</v>
      </c>
      <c r="F4511">
        <v>2</v>
      </c>
      <c r="G4511">
        <v>1</v>
      </c>
      <c r="H4511" s="1">
        <v>7.8472222222222224E-3</v>
      </c>
      <c r="I4511" t="s">
        <v>18</v>
      </c>
      <c r="J4511" s="2" t="str">
        <f>HYPERLINK("https://www.nba.com/stats/events?CFID=&amp;CFPARAMS=&amp;GameEventID=5&amp;GameID=0021500379&amp;Season=2015-16&amp;flag=1&amp;title=Leonard%2025'%203PT%20Jump%20Shot%20(3%20PTS)%20(Parker%201%20AST)", "Leonard 25' 3PT Jump Shot (3 PTS) (Parker 1 AST)")</f>
        <v>Leonard 25' 3PT Jump Shot (3 PTS) (Parker 1 AST)</v>
      </c>
      <c r="K4511" s="2" t="str">
        <f>HYPERLINK("https://www.nba.com/game/...-vs-...-0021500379/play-by-play?watchFullGame=true", "SAS vs WAS - Q1 11:18.00")</f>
        <v>SAS vs WAS - Q1 11:18.00</v>
      </c>
      <c r="L4511">
        <v>25</v>
      </c>
      <c r="M4511">
        <v>158</v>
      </c>
      <c r="N4511">
        <v>193</v>
      </c>
      <c r="O4511">
        <v>158</v>
      </c>
      <c r="P4511">
        <v>193</v>
      </c>
    </row>
    <row r="4512" spans="1:16" x14ac:dyDescent="0.25">
      <c r="A4512">
        <v>22301064</v>
      </c>
      <c r="B4512">
        <v>2023</v>
      </c>
      <c r="C4512" t="s">
        <v>16</v>
      </c>
      <c r="D4512" t="s">
        <v>19</v>
      </c>
      <c r="E4512">
        <v>71</v>
      </c>
      <c r="F4512">
        <v>73</v>
      </c>
      <c r="G4512">
        <v>3</v>
      </c>
      <c r="H4512" s="1">
        <v>2.0486111111111113E-3</v>
      </c>
      <c r="I4512" t="s">
        <v>23</v>
      </c>
      <c r="J4512" s="2" t="str">
        <f>HYPERLINK("https://www.nba.com/stats/events?CFID=&amp;CFPARAMS=&amp;GameEventID=420&amp;GameID=0022301064&amp;Season=2023-24&amp;flag=1&amp;title=Leonard%2025'%203PT%20%20(20%20PTS)", "25' 3PT  (20 PTS)")</f>
        <v>25' 3PT  (20 PTS)</v>
      </c>
      <c r="K4512" s="2" t="str">
        <f>HYPERLINK("https://www.nba.com/game/...-vs-...-0022301064/play-by-play?watchFullGame=true", "LAC vs ORL - Q3 02:57.00")</f>
        <v>LAC vs ORL - Q3 02:57.00</v>
      </c>
      <c r="L4512">
        <v>25.66</v>
      </c>
      <c r="M4512">
        <v>72.930000000000007</v>
      </c>
      <c r="N4512">
        <v>81.64</v>
      </c>
      <c r="O4512">
        <v>158</v>
      </c>
      <c r="P4512">
        <v>202</v>
      </c>
    </row>
    <row r="4513" spans="1:16" x14ac:dyDescent="0.25">
      <c r="A4513">
        <v>41800401</v>
      </c>
      <c r="B4513" t="s">
        <v>20</v>
      </c>
      <c r="C4513" t="s">
        <v>16</v>
      </c>
      <c r="D4513" t="s">
        <v>29</v>
      </c>
      <c r="E4513">
        <v>103</v>
      </c>
      <c r="F4513">
        <v>92</v>
      </c>
      <c r="G4513">
        <v>4</v>
      </c>
      <c r="H4513" s="1">
        <v>4.409722222222222E-3</v>
      </c>
      <c r="I4513" t="s">
        <v>21</v>
      </c>
      <c r="J4513" s="2" t="str">
        <f>HYPERLINK("https://www.nba.com/stats/events?CFID=&amp;CFPARAMS=&amp;GameEventID=599&amp;GameID=0041800401&amp;Season=2018-19&amp;flag=1&amp;title=Leonard%2026'%203PT%20Pullup%20Jump%20Shot%20(21%20PTS)", "Leonard 26' 3PT Pullup Jump Shot (21 PTS)")</f>
        <v>Leonard 26' 3PT Pullup Jump Shot (21 PTS)</v>
      </c>
      <c r="K4513" s="2" t="str">
        <f>HYPERLINK("https://www.nba.com/game/...-vs-...-0041800401/play-by-play?watchFullGame=true", "TOR vs GSW - Q4 06:21.00")</f>
        <v>TOR vs GSW - Q4 06:21.00</v>
      </c>
      <c r="L4513">
        <v>26</v>
      </c>
      <c r="M4513">
        <v>158</v>
      </c>
      <c r="N4513">
        <v>211</v>
      </c>
      <c r="O4513">
        <v>158</v>
      </c>
      <c r="P4513">
        <v>211</v>
      </c>
    </row>
    <row r="4514" spans="1:16" x14ac:dyDescent="0.25">
      <c r="A4514">
        <v>21600127</v>
      </c>
      <c r="B4514">
        <v>2016</v>
      </c>
      <c r="C4514" t="s">
        <v>16</v>
      </c>
      <c r="D4514" t="s">
        <v>19</v>
      </c>
      <c r="E4514">
        <v>57</v>
      </c>
      <c r="F4514">
        <v>57</v>
      </c>
      <c r="G4514">
        <v>3</v>
      </c>
      <c r="H4514" s="1">
        <v>5.9143518518518521E-3</v>
      </c>
      <c r="I4514" t="s">
        <v>18</v>
      </c>
      <c r="J4514" s="2" t="str">
        <f>HYPERLINK("https://www.nba.com/stats/events?CFID=&amp;CFPARAMS=&amp;GameEventID=255&amp;GameID=0021600127&amp;Season=2016-17&amp;flag=1&amp;title=Leonard%2027'%203PT%20Jump%20Shot%20(11%20PTS)%20(Gasol%205%20AST)", "Leonard 27' 3PT Jump Shot (11 PTS) (Gasol 5 AST)")</f>
        <v>Leonard 27' 3PT Jump Shot (11 PTS) (Gasol 5 AST)</v>
      </c>
      <c r="K4514" s="2" t="str">
        <f>HYPERLINK("https://www.nba.com/game/...-vs-...-0021600127/play-by-play?watchFullGame=true", "SAS vs DET - Q3 08:31.00")</f>
        <v>SAS vs DET - Q3 08:31.00</v>
      </c>
      <c r="L4514">
        <v>27</v>
      </c>
      <c r="M4514">
        <v>158</v>
      </c>
      <c r="N4514">
        <v>213</v>
      </c>
      <c r="O4514">
        <v>158</v>
      </c>
      <c r="P4514">
        <v>213</v>
      </c>
    </row>
    <row r="4515" spans="1:16" x14ac:dyDescent="0.25">
      <c r="A4515">
        <v>22300749</v>
      </c>
      <c r="B4515">
        <v>2023</v>
      </c>
      <c r="C4515" t="s">
        <v>16</v>
      </c>
      <c r="D4515" t="s">
        <v>19</v>
      </c>
      <c r="E4515">
        <v>70</v>
      </c>
      <c r="F4515">
        <v>77</v>
      </c>
      <c r="G4515">
        <v>3</v>
      </c>
      <c r="H4515" s="1">
        <v>1.9791666666666668E-3</v>
      </c>
      <c r="I4515" t="s">
        <v>23</v>
      </c>
      <c r="J4515" s="2" t="str">
        <f>HYPERLINK("https://www.nba.com/stats/events?CFID=&amp;CFPARAMS=&amp;GameEventID=419&amp;GameID=0022300749&amp;Season=2023-24&amp;flag=1&amp;title=Leonard%2026'%203PT%20pullup%20(18%20PTS)", "26' 3PT pullup (18 PTS)")</f>
        <v>26' 3PT pullup (18 PTS)</v>
      </c>
      <c r="K4515" s="2" t="str">
        <f>HYPERLINK("https://www.nba.com/game/...-vs-...-0022300749/play-by-play?watchFullGame=true", "LAC vs DET - Q3 02:51.00")</f>
        <v>LAC vs DET - Q3 02:51.00</v>
      </c>
      <c r="L4515">
        <v>26.7</v>
      </c>
      <c r="M4515">
        <v>28.47</v>
      </c>
      <c r="N4515">
        <v>18.38</v>
      </c>
      <c r="O4515">
        <v>158</v>
      </c>
      <c r="P4515">
        <v>215</v>
      </c>
    </row>
    <row r="4516" spans="1:16" x14ac:dyDescent="0.25">
      <c r="A4516">
        <v>22201129</v>
      </c>
      <c r="B4516">
        <v>2022</v>
      </c>
      <c r="C4516" t="s">
        <v>16</v>
      </c>
      <c r="D4516" t="s">
        <v>19</v>
      </c>
      <c r="E4516">
        <v>99</v>
      </c>
      <c r="F4516">
        <v>77</v>
      </c>
      <c r="G4516">
        <v>3</v>
      </c>
      <c r="H4516" s="1">
        <v>7.0601851851851847E-4</v>
      </c>
      <c r="I4516" t="s">
        <v>23</v>
      </c>
      <c r="J4516" s="2" t="str">
        <f>HYPERLINK("https://www.nba.com/stats/events?CFID=&amp;CFPARAMS=&amp;GameEventID=424&amp;GameID=0022201129&amp;Season=2022-23&amp;flag=1&amp;title=Leonard%2028'%203PT%20pullup%20(16%20PTS)%20(B.%20Hyland%206%20AST)", "28' 3PT pullup (16 PTS) (B. Hyland 6 AST)")</f>
        <v>28' 3PT pullup (16 PTS) (B. Hyland 6 AST)</v>
      </c>
      <c r="K4516" s="2" t="str">
        <f>HYPERLINK("https://www.nba.com/game/...-vs-...-0022201129/play-by-play?watchFullGame=true", "LAC vs CHI - Q3 01:01.00")</f>
        <v>LAC vs CHI - Q3 01:01.00</v>
      </c>
      <c r="L4516">
        <v>28</v>
      </c>
      <c r="M4516">
        <v>69.83</v>
      </c>
      <c r="N4516">
        <v>81.62</v>
      </c>
      <c r="O4516">
        <v>158</v>
      </c>
      <c r="P4516">
        <v>231</v>
      </c>
    </row>
    <row r="4517" spans="1:16" x14ac:dyDescent="0.25">
      <c r="A4517">
        <v>21601011</v>
      </c>
      <c r="B4517">
        <v>2016</v>
      </c>
      <c r="C4517" t="s">
        <v>32</v>
      </c>
      <c r="D4517" t="s">
        <v>24</v>
      </c>
      <c r="E4517">
        <v>57</v>
      </c>
      <c r="F4517">
        <v>56</v>
      </c>
      <c r="G4517">
        <v>3</v>
      </c>
      <c r="H4517" s="1">
        <v>7.8472222222222224E-3</v>
      </c>
      <c r="I4517" t="s">
        <v>18</v>
      </c>
      <c r="J4517" s="2" t="str">
        <f>HYPERLINK("https://www.nba.com/stats/events?CFID=&amp;CFPARAMS=&amp;GameEventID=228&amp;GameID=0021601011&amp;Season=2016-17&amp;flag=1&amp;title=Leonard%2016'%20Turnaround%20Jump%20Shot%20(19%20PTS)%20(Aldridge%202%20AST)", "Leonard 16' Turnaround Jump Shot (19 PTS) (Aldridge 2 AST)")</f>
        <v>Leonard 16' Turnaround Jump Shot (19 PTS) (Aldridge 2 AST)</v>
      </c>
      <c r="K4517" s="2" t="str">
        <f>HYPERLINK("https://www.nba.com/game/...-vs-...-0021601011/play-by-play?watchFullGame=true", "SAS vs POR - Q3 11:18.00")</f>
        <v>SAS vs POR - Q3 11:18.00</v>
      </c>
      <c r="L4517">
        <v>16</v>
      </c>
      <c r="M4517">
        <v>159</v>
      </c>
      <c r="N4517">
        <v>2</v>
      </c>
      <c r="O4517">
        <v>159</v>
      </c>
      <c r="P4517">
        <v>2</v>
      </c>
    </row>
    <row r="4518" spans="1:16" x14ac:dyDescent="0.25">
      <c r="A4518">
        <v>21600558</v>
      </c>
      <c r="B4518">
        <v>2016</v>
      </c>
      <c r="C4518" t="s">
        <v>32</v>
      </c>
      <c r="D4518" t="s">
        <v>19</v>
      </c>
      <c r="E4518">
        <v>42</v>
      </c>
      <c r="F4518">
        <v>42</v>
      </c>
      <c r="G4518">
        <v>2</v>
      </c>
      <c r="H4518" s="1">
        <v>2.662037037037037E-3</v>
      </c>
      <c r="I4518" t="s">
        <v>18</v>
      </c>
      <c r="J4518" s="2" t="str">
        <f>HYPERLINK("https://www.nba.com/stats/events?CFID=&amp;CFPARAMS=&amp;GameEventID=192&amp;GameID=0021600558&amp;Season=2016-17&amp;flag=1&amp;title=Leonard%2016'%20Jump%20Shot%20(13%20PTS)%20(Ginobili%201%20AST)", "Leonard 16' Jump Shot (13 PTS) (Ginobili 1 AST)")</f>
        <v>Leonard 16' Jump Shot (13 PTS) (Ginobili 1 AST)</v>
      </c>
      <c r="K4518" s="2" t="str">
        <f>HYPERLINK("https://www.nba.com/game/...-vs-...-0021600558/play-by-play?watchFullGame=true", "SAS vs CHA - Q2 03:50.00")</f>
        <v>SAS vs CHA - Q2 03:50.00</v>
      </c>
      <c r="L4518">
        <v>16</v>
      </c>
      <c r="M4518">
        <v>159</v>
      </c>
      <c r="N4518">
        <v>3</v>
      </c>
      <c r="O4518">
        <v>159</v>
      </c>
      <c r="P4518">
        <v>3</v>
      </c>
    </row>
    <row r="4519" spans="1:16" x14ac:dyDescent="0.25">
      <c r="A4519">
        <v>21400921</v>
      </c>
      <c r="B4519">
        <v>2014</v>
      </c>
      <c r="C4519" t="s">
        <v>32</v>
      </c>
      <c r="D4519" t="s">
        <v>19</v>
      </c>
      <c r="E4519">
        <v>21</v>
      </c>
      <c r="F4519">
        <v>13</v>
      </c>
      <c r="G4519">
        <v>1</v>
      </c>
      <c r="H4519" s="1">
        <v>4.409722222222222E-3</v>
      </c>
      <c r="I4519" t="s">
        <v>18</v>
      </c>
      <c r="J4519" s="2" t="str">
        <f>HYPERLINK("https://www.nba.com/stats/events?CFID=&amp;CFPARAMS=&amp;GameEventID=43&amp;GameID=0021400921&amp;Season=2014-15&amp;flag=1&amp;title=Leonard%2016'%20Jump%20Shot%20(5%20PTS)", "Leonard 16' Jump Shot (5 PTS)")</f>
        <v>Leonard 16' Jump Shot (5 PTS)</v>
      </c>
      <c r="K4519" s="2" t="str">
        <f>HYPERLINK("https://www.nba.com/game/...-vs-...-0021400921/play-by-play?watchFullGame=true", "SAS vs DEN - Q1 06:21.00")</f>
        <v>SAS vs DEN - Q1 06:21.00</v>
      </c>
      <c r="L4519">
        <v>16</v>
      </c>
      <c r="M4519">
        <v>159</v>
      </c>
      <c r="N4519">
        <v>4</v>
      </c>
      <c r="O4519">
        <v>159</v>
      </c>
      <c r="P4519">
        <v>4</v>
      </c>
    </row>
    <row r="4520" spans="1:16" x14ac:dyDescent="0.25">
      <c r="A4520">
        <v>21300965</v>
      </c>
      <c r="B4520">
        <v>2013</v>
      </c>
      <c r="C4520" t="s">
        <v>32</v>
      </c>
      <c r="D4520" t="s">
        <v>29</v>
      </c>
      <c r="E4520">
        <v>53</v>
      </c>
      <c r="F4520">
        <v>37</v>
      </c>
      <c r="G4520">
        <v>2</v>
      </c>
      <c r="H4520" s="1">
        <v>1.5277777777777779E-3</v>
      </c>
      <c r="I4520" t="s">
        <v>18</v>
      </c>
      <c r="J4520" s="2" t="str">
        <f>HYPERLINK("https://www.nba.com/stats/events?CFID=&amp;CFPARAMS=&amp;GameEventID=235&amp;GameID=0021300965&amp;Season=2013-14&amp;flag=1&amp;title=Leonard%2017'%20Pullup%20Jump%20Shot%20(8%20PTS)%20(Ginobili%202%20AST)", "Leonard 17' Pullup Jump Shot (8 PTS) (Ginobili 2 AST)")</f>
        <v>Leonard 17' Pullup Jump Shot (8 PTS) (Ginobili 2 AST)</v>
      </c>
      <c r="K4520" s="2" t="str">
        <f>HYPERLINK("https://www.nba.com/game/...-vs-...-0021300965/play-by-play?watchFullGame=true", "SAS vs POR - Q2 02:12.00")</f>
        <v>SAS vs POR - Q2 02:12.00</v>
      </c>
      <c r="L4520">
        <v>17</v>
      </c>
      <c r="M4520">
        <v>159</v>
      </c>
      <c r="N4520">
        <v>64</v>
      </c>
      <c r="O4520">
        <v>159</v>
      </c>
      <c r="P4520">
        <v>64</v>
      </c>
    </row>
    <row r="4521" spans="1:16" x14ac:dyDescent="0.25">
      <c r="A4521">
        <v>21300224</v>
      </c>
      <c r="B4521">
        <v>2013</v>
      </c>
      <c r="C4521" t="s">
        <v>32</v>
      </c>
      <c r="D4521" t="s">
        <v>19</v>
      </c>
      <c r="E4521">
        <v>34</v>
      </c>
      <c r="F4521">
        <v>38</v>
      </c>
      <c r="G4521">
        <v>2</v>
      </c>
      <c r="H4521" s="1">
        <v>2.9629629629629628E-3</v>
      </c>
      <c r="I4521" t="s">
        <v>18</v>
      </c>
      <c r="J4521" s="2" t="str">
        <f>HYPERLINK("https://www.nba.com/stats/events?CFID=&amp;CFPARAMS=&amp;GameEventID=183&amp;GameID=0021300224&amp;Season=2013-14&amp;flag=1&amp;title=Leonard%2017'%20Jump%20Shot%20(11%20PTS)%20(Parker%205%20AST)", "Leonard 17' Jump Shot (11 PTS) (Parker 5 AST)")</f>
        <v>Leonard 17' Jump Shot (11 PTS) (Parker 5 AST)</v>
      </c>
      <c r="K4521" s="2" t="str">
        <f>HYPERLINK("https://www.nba.com/game/...-vs-...-0021300224/play-by-play?watchFullGame=true", "SAS vs OKC - Q2 04:16.00")</f>
        <v>SAS vs OKC - Q2 04:16.00</v>
      </c>
      <c r="L4521">
        <v>17</v>
      </c>
      <c r="M4521">
        <v>159</v>
      </c>
      <c r="N4521">
        <v>66</v>
      </c>
      <c r="O4521">
        <v>159</v>
      </c>
      <c r="P4521">
        <v>66</v>
      </c>
    </row>
    <row r="4522" spans="1:16" x14ac:dyDescent="0.25">
      <c r="A4522">
        <v>21401181</v>
      </c>
      <c r="B4522">
        <v>2014</v>
      </c>
      <c r="C4522" t="s">
        <v>32</v>
      </c>
      <c r="D4522" t="s">
        <v>29</v>
      </c>
      <c r="E4522">
        <v>93</v>
      </c>
      <c r="F4522">
        <v>96</v>
      </c>
      <c r="G4522">
        <v>4</v>
      </c>
      <c r="H4522" s="1">
        <v>4.0740740740740737E-3</v>
      </c>
      <c r="I4522" t="s">
        <v>18</v>
      </c>
      <c r="J4522" s="2" t="str">
        <f>HYPERLINK("https://www.nba.com/stats/events?CFID=&amp;CFPARAMS=&amp;GameEventID=542&amp;GameID=0021401181&amp;Season=2014-15&amp;flag=1&amp;title=Leonard%2021'%20Pullup%20Jump%20Shot%20(14%20PTS)%20(Green%204%20AST)", "Leonard 21' Pullup Jump Shot (14 PTS) (Green 4 AST)")</f>
        <v>Leonard 21' Pullup Jump Shot (14 PTS) (Green 4 AST)</v>
      </c>
      <c r="K4522" s="2" t="str">
        <f>HYPERLINK("https://www.nba.com/game/...-vs-...-0021401181/play-by-play?watchFullGame=true", "SAS vs HOU - Q4 05:52.00")</f>
        <v>SAS vs HOU - Q4 05:52.00</v>
      </c>
      <c r="L4522">
        <v>21</v>
      </c>
      <c r="M4522">
        <v>159</v>
      </c>
      <c r="N4522">
        <v>140</v>
      </c>
      <c r="O4522">
        <v>159</v>
      </c>
      <c r="P4522">
        <v>140</v>
      </c>
    </row>
    <row r="4523" spans="1:16" x14ac:dyDescent="0.25">
      <c r="A4523">
        <v>21500675</v>
      </c>
      <c r="B4523">
        <v>2015</v>
      </c>
      <c r="C4523" t="s">
        <v>16</v>
      </c>
      <c r="D4523" t="s">
        <v>19</v>
      </c>
      <c r="E4523">
        <v>62</v>
      </c>
      <c r="F4523">
        <v>52</v>
      </c>
      <c r="G4523">
        <v>3</v>
      </c>
      <c r="H4523" s="1">
        <v>7.4189814814814813E-3</v>
      </c>
      <c r="I4523" t="s">
        <v>18</v>
      </c>
      <c r="J4523" s="2" t="str">
        <f>HYPERLINK("https://www.nba.com/stats/events?CFID=&amp;CFPARAMS=&amp;GameEventID=270&amp;GameID=0021500675&amp;Season=2015-16&amp;flag=1&amp;title=Leonard%2025'%203PT%20Jump%20Shot%20(10%20PTS)%20(Aldridge%201%20AST)", "Leonard 25' 3PT Jump Shot (10 PTS) (Aldridge 1 AST)")</f>
        <v>Leonard 25' 3PT Jump Shot (10 PTS) (Aldridge 1 AST)</v>
      </c>
      <c r="K4523" s="2" t="str">
        <f>HYPERLINK("https://www.nba.com/game/...-vs-...-0021500675/play-by-play?watchFullGame=true", "SAS vs GSW - Q3 10:41.00")</f>
        <v>SAS vs GSW - Q3 10:41.00</v>
      </c>
      <c r="L4523">
        <v>25</v>
      </c>
      <c r="M4523">
        <v>159</v>
      </c>
      <c r="N4523">
        <v>188</v>
      </c>
      <c r="O4523">
        <v>159</v>
      </c>
      <c r="P4523">
        <v>188</v>
      </c>
    </row>
    <row r="4524" spans="1:16" x14ac:dyDescent="0.25">
      <c r="A4524">
        <v>21500909</v>
      </c>
      <c r="B4524">
        <v>2015</v>
      </c>
      <c r="C4524" t="s">
        <v>16</v>
      </c>
      <c r="D4524" t="s">
        <v>19</v>
      </c>
      <c r="E4524">
        <v>68</v>
      </c>
      <c r="F4524">
        <v>64</v>
      </c>
      <c r="G4524">
        <v>3</v>
      </c>
      <c r="H4524" s="1">
        <v>1.3888888888888889E-3</v>
      </c>
      <c r="I4524" t="s">
        <v>18</v>
      </c>
      <c r="J4524" s="2" t="str">
        <f>HYPERLINK("https://www.nba.com/stats/events?CFID=&amp;CFPARAMS=&amp;GameEventID=323&amp;GameID=0021500909&amp;Season=2015-16&amp;flag=1&amp;title=Leonard%2025'%203PT%20Jump%20Shot%20(21%20PTS)%20(Butler%202%20AST)", "Leonard 25' 3PT Jump Shot (21 PTS) (Butler 2 AST)")</f>
        <v>Leonard 25' 3PT Jump Shot (21 PTS) (Butler 2 AST)</v>
      </c>
      <c r="K4524" s="2" t="str">
        <f>HYPERLINK("https://www.nba.com/game/...-vs-...-0021500909/play-by-play?watchFullGame=true", "SAS vs NOP - Q3 02:00.00")</f>
        <v>SAS vs NOP - Q3 02:00.00</v>
      </c>
      <c r="L4524">
        <v>25</v>
      </c>
      <c r="M4524">
        <v>159</v>
      </c>
      <c r="N4524">
        <v>193</v>
      </c>
      <c r="O4524">
        <v>159</v>
      </c>
      <c r="P4524">
        <v>193</v>
      </c>
    </row>
    <row r="4525" spans="1:16" x14ac:dyDescent="0.25">
      <c r="A4525">
        <v>21500280</v>
      </c>
      <c r="B4525">
        <v>2015</v>
      </c>
      <c r="C4525" t="s">
        <v>16</v>
      </c>
      <c r="D4525" t="s">
        <v>19</v>
      </c>
      <c r="E4525">
        <v>60</v>
      </c>
      <c r="F4525">
        <v>80</v>
      </c>
      <c r="G4525">
        <v>4</v>
      </c>
      <c r="H4525" s="1">
        <v>7.3263888888888892E-3</v>
      </c>
      <c r="I4525" t="s">
        <v>18</v>
      </c>
      <c r="J4525" s="2" t="str">
        <f>HYPERLINK("https://www.nba.com/stats/events?CFID=&amp;CFPARAMS=&amp;GameEventID=366&amp;GameID=0021500280&amp;Season=2015-16&amp;flag=1&amp;title=Leonard%2025'%203PT%20Jump%20Shot%20(24%20PTS)%20(Ginobili%203%20AST)", "Leonard 25' 3PT Jump Shot (24 PTS) (Ginobili 3 AST)")</f>
        <v>Leonard 25' 3PT Jump Shot (24 PTS) (Ginobili 3 AST)</v>
      </c>
      <c r="K4525" s="2" t="str">
        <f>HYPERLINK("https://www.nba.com/game/...-vs-...-0021500280/play-by-play?watchFullGame=true", "SAS vs MEM - Q4 10:33.00")</f>
        <v>SAS vs MEM - Q4 10:33.00</v>
      </c>
      <c r="L4525">
        <v>25</v>
      </c>
      <c r="M4525">
        <v>159</v>
      </c>
      <c r="N4525">
        <v>198</v>
      </c>
      <c r="O4525">
        <v>159</v>
      </c>
      <c r="P4525">
        <v>198</v>
      </c>
    </row>
    <row r="4526" spans="1:16" x14ac:dyDescent="0.25">
      <c r="A4526">
        <v>41800111</v>
      </c>
      <c r="B4526" t="s">
        <v>20</v>
      </c>
      <c r="C4526" t="s">
        <v>16</v>
      </c>
      <c r="D4526" t="s">
        <v>31</v>
      </c>
      <c r="E4526">
        <v>99</v>
      </c>
      <c r="F4526">
        <v>99</v>
      </c>
      <c r="G4526">
        <v>4</v>
      </c>
      <c r="H4526" s="1">
        <v>1.0995370370370371E-3</v>
      </c>
      <c r="I4526" t="s">
        <v>21</v>
      </c>
      <c r="J4526" s="2" t="str">
        <f>HYPERLINK("https://www.nba.com/stats/events?CFID=&amp;CFPARAMS=&amp;GameEventID=595&amp;GameID=0041800111&amp;Season=2018-19&amp;flag=1&amp;title=Leonard%2027'%203PT%20Step%20Back%20Jump%20Shot%20(23%20PTS)%20(Siakam%204%20AST)", "Leonard 27' 3PT Step Back Jump Shot (23 PTS) (Siakam 4 AST)")</f>
        <v>Leonard 27' 3PT Step Back Jump Shot (23 PTS) (Siakam 4 AST)</v>
      </c>
      <c r="K4526" s="2" t="str">
        <f>HYPERLINK("https://www.nba.com/game/...-vs-...-0041800111/play-by-play?watchFullGame=true", "TOR vs ORL - Q4 01:35.00")</f>
        <v>TOR vs ORL - Q4 01:35.00</v>
      </c>
      <c r="L4526">
        <v>27</v>
      </c>
      <c r="M4526">
        <v>159</v>
      </c>
      <c r="N4526">
        <v>220</v>
      </c>
      <c r="O4526">
        <v>159</v>
      </c>
      <c r="P4526">
        <v>220</v>
      </c>
    </row>
    <row r="4527" spans="1:16" x14ac:dyDescent="0.25">
      <c r="A4527">
        <v>21301154</v>
      </c>
      <c r="B4527">
        <v>2013</v>
      </c>
      <c r="C4527" t="s">
        <v>16</v>
      </c>
      <c r="D4527" t="s">
        <v>19</v>
      </c>
      <c r="E4527">
        <v>54</v>
      </c>
      <c r="F4527">
        <v>38</v>
      </c>
      <c r="G4527">
        <v>2</v>
      </c>
      <c r="H4527" s="1">
        <v>2.3148148148148148E-6</v>
      </c>
      <c r="I4527" t="s">
        <v>18</v>
      </c>
      <c r="J4527" s="2" t="str">
        <f>HYPERLINK("https://www.nba.com/stats/events?CFID=&amp;CFPARAMS=&amp;GameEventID=239&amp;GameID=0021301154&amp;Season=2013-14&amp;flag=1&amp;title=Leonard%2027'%203PT%20Jump%20Shot%20(15%20PTS)%20(Diaw%201%20AST)", "Leonard 27' 3PT Jump Shot (15 PTS) (Diaw 1 AST)")</f>
        <v>Leonard 27' 3PT Jump Shot (15 PTS) (Diaw 1 AST)</v>
      </c>
      <c r="K4527" s="2" t="str">
        <f>HYPERLINK("https://www.nba.com/game/...-vs-...-0021301154/play-by-play?watchFullGame=true", "SAS vs MEM - Q2 00:00.20")</f>
        <v>SAS vs MEM - Q2 00:00.20</v>
      </c>
      <c r="L4527">
        <v>27</v>
      </c>
      <c r="M4527">
        <v>159</v>
      </c>
      <c r="N4527">
        <v>222</v>
      </c>
      <c r="O4527">
        <v>159</v>
      </c>
      <c r="P4527">
        <v>222</v>
      </c>
    </row>
    <row r="4528" spans="1:16" x14ac:dyDescent="0.25">
      <c r="A4528">
        <v>21400089</v>
      </c>
      <c r="B4528">
        <v>2014</v>
      </c>
      <c r="C4528" t="s">
        <v>32</v>
      </c>
      <c r="D4528" t="s">
        <v>19</v>
      </c>
      <c r="E4528">
        <v>86</v>
      </c>
      <c r="F4528">
        <v>94</v>
      </c>
      <c r="G4528">
        <v>4</v>
      </c>
      <c r="H4528" s="1">
        <v>3.1597222222222222E-3</v>
      </c>
      <c r="I4528" t="s">
        <v>18</v>
      </c>
      <c r="J4528" s="2" t="str">
        <f>HYPERLINK("https://www.nba.com/stats/events?CFID=&amp;CFPARAMS=&amp;GameEventID=471&amp;GameID=0021400089&amp;Season=2014-15&amp;flag=1&amp;title=Leonard%2016'%20Jump%20Shot%20(10%20PTS)%20(Joseph%201%20AST)", "Leonard 16' Jump Shot (10 PTS) (Joseph 1 AST)")</f>
        <v>Leonard 16' Jump Shot (10 PTS) (Joseph 1 AST)</v>
      </c>
      <c r="K4528" s="2" t="str">
        <f>HYPERLINK("https://www.nba.com/game/...-vs-...-0021400089/play-by-play?watchFullGame=true", "SAS vs NOP - Q4 04:33.00")</f>
        <v>SAS vs NOP - Q4 04:33.00</v>
      </c>
      <c r="L4528">
        <v>16</v>
      </c>
      <c r="M4528">
        <v>160</v>
      </c>
      <c r="N4528">
        <v>4</v>
      </c>
      <c r="O4528">
        <v>160</v>
      </c>
      <c r="P4528">
        <v>4</v>
      </c>
    </row>
    <row r="4529" spans="1:16" x14ac:dyDescent="0.25">
      <c r="A4529">
        <v>21400220</v>
      </c>
      <c r="B4529">
        <v>2014</v>
      </c>
      <c r="C4529" t="s">
        <v>32</v>
      </c>
      <c r="D4529" t="s">
        <v>19</v>
      </c>
      <c r="E4529">
        <v>2</v>
      </c>
      <c r="F4529">
        <v>0</v>
      </c>
      <c r="G4529">
        <v>1</v>
      </c>
      <c r="H4529" s="1">
        <v>7.9166666666666673E-3</v>
      </c>
      <c r="I4529" t="s">
        <v>18</v>
      </c>
      <c r="J4529" s="2" t="str">
        <f>HYPERLINK("https://www.nba.com/stats/events?CFID=&amp;CFPARAMS=&amp;GameEventID=5&amp;GameID=0021400220&amp;Season=2014-15&amp;flag=1&amp;title=Leonard%2016'%20Jump%20Shot%20(2%20PTS)", "Leonard 16' Jump Shot (2 PTS)")</f>
        <v>Leonard 16' Jump Shot (2 PTS)</v>
      </c>
      <c r="K4529" s="2" t="str">
        <f>HYPERLINK("https://www.nba.com/game/...-vs-...-0021400220/play-by-play?watchFullGame=true", "SAS vs IND - Q1 11:24.00")</f>
        <v>SAS vs IND - Q1 11:24.00</v>
      </c>
      <c r="L4529">
        <v>16</v>
      </c>
      <c r="M4529">
        <v>160</v>
      </c>
      <c r="N4529">
        <v>12</v>
      </c>
      <c r="O4529">
        <v>160</v>
      </c>
      <c r="P4529">
        <v>12</v>
      </c>
    </row>
    <row r="4530" spans="1:16" x14ac:dyDescent="0.25">
      <c r="A4530">
        <v>21300554</v>
      </c>
      <c r="B4530">
        <v>2013</v>
      </c>
      <c r="C4530" t="s">
        <v>32</v>
      </c>
      <c r="D4530" t="s">
        <v>29</v>
      </c>
      <c r="E4530">
        <v>10</v>
      </c>
      <c r="F4530">
        <v>9</v>
      </c>
      <c r="G4530">
        <v>1</v>
      </c>
      <c r="H4530" s="1">
        <v>4.0856481481481481E-3</v>
      </c>
      <c r="I4530" t="s">
        <v>18</v>
      </c>
      <c r="J4530" s="2" t="str">
        <f>HYPERLINK("https://www.nba.com/stats/events?CFID=&amp;CFPARAMS=&amp;GameEventID=48&amp;GameID=0021300554&amp;Season=2013-14&amp;flag=1&amp;title=Leonard%2016'%20Pullup%20Jump%20Shot%20(2%20PTS)%20(Diaw%201%20AST)", "Leonard 16' Pullup Jump Shot (2 PTS) (Diaw 1 AST)")</f>
        <v>Leonard 16' Pullup Jump Shot (2 PTS) (Diaw 1 AST)</v>
      </c>
      <c r="K4530" s="2" t="str">
        <f>HYPERLINK("https://www.nba.com/game/...-vs-...-0021300554/play-by-play?watchFullGame=true", "SAS vs MIN - Q1 05:53.00")</f>
        <v>SAS vs MIN - Q1 05:53.00</v>
      </c>
      <c r="L4530">
        <v>16</v>
      </c>
      <c r="M4530">
        <v>160</v>
      </c>
      <c r="N4530">
        <v>14</v>
      </c>
      <c r="O4530">
        <v>160</v>
      </c>
      <c r="P4530">
        <v>14</v>
      </c>
    </row>
    <row r="4531" spans="1:16" x14ac:dyDescent="0.25">
      <c r="A4531">
        <v>21300494</v>
      </c>
      <c r="B4531">
        <v>2013</v>
      </c>
      <c r="C4531" t="s">
        <v>32</v>
      </c>
      <c r="D4531" t="s">
        <v>19</v>
      </c>
      <c r="E4531">
        <v>35</v>
      </c>
      <c r="F4531">
        <v>17</v>
      </c>
      <c r="G4531">
        <v>1</v>
      </c>
      <c r="H4531" s="1">
        <v>6.8981481481481487E-4</v>
      </c>
      <c r="I4531" t="s">
        <v>18</v>
      </c>
      <c r="J4531" s="2" t="str">
        <f>HYPERLINK("https://www.nba.com/stats/events?CFID=&amp;CFPARAMS=&amp;GameEventID=92&amp;GameID=0021300494&amp;Season=2013-14&amp;flag=1&amp;title=Leonard%2016'%20Jump%20Shot%20(2%20PTS)%20(Ayres%202%20AST)", "Leonard 16' Jump Shot (2 PTS) (Ayres 2 AST)")</f>
        <v>Leonard 16' Jump Shot (2 PTS) (Ayres 2 AST)</v>
      </c>
      <c r="K4531" s="2" t="str">
        <f>HYPERLINK("https://www.nba.com/game/...-vs-...-0021300494/play-by-play?watchFullGame=true", "SAS vs LAC - Q1 00:59.60")</f>
        <v>SAS vs LAC - Q1 00:59.60</v>
      </c>
      <c r="L4531">
        <v>16</v>
      </c>
      <c r="M4531">
        <v>160</v>
      </c>
      <c r="N4531">
        <v>33</v>
      </c>
      <c r="O4531">
        <v>160</v>
      </c>
      <c r="P4531">
        <v>33</v>
      </c>
    </row>
    <row r="4532" spans="1:16" x14ac:dyDescent="0.25">
      <c r="A4532">
        <v>21300421</v>
      </c>
      <c r="B4532">
        <v>2013</v>
      </c>
      <c r="C4532" t="s">
        <v>32</v>
      </c>
      <c r="D4532" t="s">
        <v>19</v>
      </c>
      <c r="E4532">
        <v>92</v>
      </c>
      <c r="F4532">
        <v>100</v>
      </c>
      <c r="G4532">
        <v>4</v>
      </c>
      <c r="H4532" s="1">
        <v>3.2638888888888891E-3</v>
      </c>
      <c r="I4532" t="s">
        <v>18</v>
      </c>
      <c r="J4532" s="2" t="str">
        <f>HYPERLINK("https://www.nba.com/stats/events?CFID=&amp;CFPARAMS=&amp;GameEventID=452&amp;GameID=0021300421&amp;Season=2013-14&amp;flag=1&amp;title=Leonard%2019'%20Jump%20Shot%20(13%20PTS)%20(Parker%204%20AST)", "Leonard 19' Jump Shot (13 PTS) (Parker 4 AST)")</f>
        <v>Leonard 19' Jump Shot (13 PTS) (Parker 4 AST)</v>
      </c>
      <c r="K4532" s="2" t="str">
        <f>HYPERLINK("https://www.nba.com/game/...-vs-...-0021300421/play-by-play?watchFullGame=true", "SAS vs HOU - Q4 04:42.00")</f>
        <v>SAS vs HOU - Q4 04:42.00</v>
      </c>
      <c r="L4532">
        <v>19</v>
      </c>
      <c r="M4532">
        <v>160</v>
      </c>
      <c r="N4532">
        <v>107</v>
      </c>
      <c r="O4532">
        <v>160</v>
      </c>
      <c r="P4532">
        <v>107</v>
      </c>
    </row>
    <row r="4533" spans="1:16" x14ac:dyDescent="0.25">
      <c r="A4533">
        <v>22000601</v>
      </c>
      <c r="B4533">
        <v>2020</v>
      </c>
      <c r="C4533" t="s">
        <v>16</v>
      </c>
      <c r="D4533" t="s">
        <v>19</v>
      </c>
      <c r="E4533">
        <v>34</v>
      </c>
      <c r="F4533">
        <v>22</v>
      </c>
      <c r="G4533">
        <v>1</v>
      </c>
      <c r="H4533" s="1">
        <v>9.3749999999999997E-4</v>
      </c>
      <c r="I4533" t="s">
        <v>23</v>
      </c>
      <c r="J4533" s="2" t="str">
        <f>HYPERLINK("https://www.nba.com/stats/events?CFID=&amp;CFPARAMS=&amp;GameEventID=147&amp;GameID=0022000601&amp;Season=2020-21&amp;flag=1&amp;title=Leonard%2025'%203PT%20pullup%20(7%20PTS)", "25' 3PT pullup (7 PTS)")</f>
        <v>25' 3PT pullup (7 PTS)</v>
      </c>
      <c r="K4533" s="2" t="str">
        <f>HYPERLINK("https://www.nba.com/game/...-vs-...-0022000601/play-by-play?watchFullGame=true", "LAC vs NOP - Q1 01:21.00")</f>
        <v>LAC vs NOP - Q1 01:21.00</v>
      </c>
      <c r="L4533">
        <v>25.74</v>
      </c>
      <c r="M4533">
        <v>27.02</v>
      </c>
      <c r="N4533">
        <v>17.96</v>
      </c>
      <c r="O4533">
        <v>160</v>
      </c>
      <c r="P4533">
        <v>201</v>
      </c>
    </row>
    <row r="4534" spans="1:16" x14ac:dyDescent="0.25">
      <c r="A4534">
        <v>22200795</v>
      </c>
      <c r="B4534">
        <v>2022</v>
      </c>
      <c r="C4534" t="s">
        <v>32</v>
      </c>
      <c r="D4534" t="s">
        <v>19</v>
      </c>
      <c r="E4534">
        <v>79</v>
      </c>
      <c r="F4534">
        <v>94</v>
      </c>
      <c r="G4534">
        <v>3</v>
      </c>
      <c r="H4534" s="1">
        <v>7.407407407407407E-4</v>
      </c>
      <c r="I4534" t="s">
        <v>23</v>
      </c>
      <c r="J4534" s="2" t="str">
        <f>HYPERLINK("https://www.nba.com/stats/events?CFID=&amp;CFPARAMS=&amp;GameEventID=437&amp;GameID=0022200795&amp;Season=2022-23&amp;flag=1&amp;title=Leonard%2016'%20step%20back%20Jump%20Shot%20(25%20PTS)", "16' step back Jump Shot (25 PTS)")</f>
        <v>16' step back Jump Shot (25 PTS)</v>
      </c>
      <c r="K4534" s="2" t="str">
        <f>HYPERLINK("https://www.nba.com/game/...-vs-...-0022200795/play-by-play?watchFullGame=true", "LAC vs NYK - Q3 01:04.00")</f>
        <v>LAC vs NYK - Q3 01:04.00</v>
      </c>
      <c r="L4534">
        <v>16.170000000000002</v>
      </c>
      <c r="M4534">
        <v>3.5</v>
      </c>
      <c r="N4534">
        <v>17.89</v>
      </c>
      <c r="O4534">
        <v>161</v>
      </c>
      <c r="P4534">
        <v>-20</v>
      </c>
    </row>
    <row r="4535" spans="1:16" x14ac:dyDescent="0.25">
      <c r="A4535">
        <v>21600727</v>
      </c>
      <c r="B4535">
        <v>2016</v>
      </c>
      <c r="C4535" t="s">
        <v>32</v>
      </c>
      <c r="D4535" t="s">
        <v>29</v>
      </c>
      <c r="E4535">
        <v>48</v>
      </c>
      <c r="F4535">
        <v>37</v>
      </c>
      <c r="G4535">
        <v>2</v>
      </c>
      <c r="H4535" s="1">
        <v>1.3541666666666667E-3</v>
      </c>
      <c r="I4535" t="s">
        <v>18</v>
      </c>
      <c r="J4535" s="2" t="str">
        <f>HYPERLINK("https://www.nba.com/stats/events?CFID=&amp;CFPARAMS=&amp;GameEventID=325&amp;GameID=0021600727&amp;Season=2016-17&amp;flag=1&amp;title=Leonard%2016'%20Pullup%20Jump%20Shot%20(13%20PTS)", "Leonard 16' Pullup Jump Shot (13 PTS)")</f>
        <v>Leonard 16' Pullup Jump Shot (13 PTS)</v>
      </c>
      <c r="K4535" s="2" t="str">
        <f>HYPERLINK("https://www.nba.com/game/...-vs-...-0021600727/play-by-play?watchFullGame=true", "SAS vs OKC - Q2 01:57.00")</f>
        <v>SAS vs OKC - Q2 01:57.00</v>
      </c>
      <c r="L4535">
        <v>16</v>
      </c>
      <c r="M4535">
        <v>161</v>
      </c>
      <c r="N4535">
        <v>36</v>
      </c>
      <c r="O4535">
        <v>161</v>
      </c>
      <c r="P4535">
        <v>36</v>
      </c>
    </row>
    <row r="4536" spans="1:16" x14ac:dyDescent="0.25">
      <c r="A4536">
        <v>22000400</v>
      </c>
      <c r="B4536">
        <v>2020</v>
      </c>
      <c r="C4536" t="s">
        <v>32</v>
      </c>
      <c r="D4536" t="s">
        <v>19</v>
      </c>
      <c r="E4536">
        <v>54</v>
      </c>
      <c r="F4536">
        <v>60</v>
      </c>
      <c r="G4536">
        <v>3</v>
      </c>
      <c r="H4536" s="1">
        <v>8.0787037037037043E-3</v>
      </c>
      <c r="I4536" t="s">
        <v>23</v>
      </c>
      <c r="J4536" s="2" t="str">
        <f>HYPERLINK("https://www.nba.com/stats/events?CFID=&amp;CFPARAMS=&amp;GameEventID=302&amp;GameID=0022000400&amp;Season=2020-21&amp;flag=1&amp;title=Leonard%2016'%20Jump%20Shot%20(14%20PTS)%20(Ibaka%201%20AST)", "16' Jump Shot (14 PTS) (S. Ibaka 1 AST)")</f>
        <v>16' Jump Shot (14 PTS) (S. Ibaka 1 AST)</v>
      </c>
      <c r="K4536" s="2" t="str">
        <f>HYPERLINK("https://www.nba.com/game/...-vs-...-0022000400/play-by-play?watchFullGame=true", "LAC vs CHI - Q3 11:38.00")</f>
        <v>LAC vs CHI - Q3 11:38.00</v>
      </c>
      <c r="L4536">
        <v>16.59</v>
      </c>
      <c r="M4536">
        <v>9.67</v>
      </c>
      <c r="N4536">
        <v>17.72</v>
      </c>
      <c r="O4536">
        <v>161</v>
      </c>
      <c r="P4536">
        <v>38</v>
      </c>
    </row>
    <row r="4537" spans="1:16" x14ac:dyDescent="0.25">
      <c r="A4537">
        <v>21600801</v>
      </c>
      <c r="B4537">
        <v>2016</v>
      </c>
      <c r="C4537" t="s">
        <v>32</v>
      </c>
      <c r="D4537" t="s">
        <v>19</v>
      </c>
      <c r="E4537">
        <v>35</v>
      </c>
      <c r="F4537">
        <v>43</v>
      </c>
      <c r="G4537">
        <v>2</v>
      </c>
      <c r="H4537" s="1">
        <v>3.2638888888888891E-3</v>
      </c>
      <c r="I4537" t="s">
        <v>18</v>
      </c>
      <c r="J4537" s="2" t="str">
        <f>HYPERLINK("https://www.nba.com/stats/events?CFID=&amp;CFPARAMS=&amp;GameEventID=168&amp;GameID=0021600801&amp;Season=2016-17&amp;flag=1&amp;title=Leonard%2017'%20Jump%20Shot%20(9%20PTS)", "Leonard 17' Jump Shot (9 PTS)")</f>
        <v>Leonard 17' Jump Shot (9 PTS)</v>
      </c>
      <c r="K4537" s="2" t="str">
        <f>HYPERLINK("https://www.nba.com/game/...-vs-...-0021600801/play-by-play?watchFullGame=true", "SAS vs DET - Q2 04:42.00")</f>
        <v>SAS vs DET - Q2 04:42.00</v>
      </c>
      <c r="L4537">
        <v>17</v>
      </c>
      <c r="M4537">
        <v>161</v>
      </c>
      <c r="N4537">
        <v>52</v>
      </c>
      <c r="O4537">
        <v>161</v>
      </c>
      <c r="P4537">
        <v>52</v>
      </c>
    </row>
    <row r="4538" spans="1:16" x14ac:dyDescent="0.25">
      <c r="A4538">
        <v>21600319</v>
      </c>
      <c r="B4538">
        <v>2016</v>
      </c>
      <c r="C4538" t="s">
        <v>32</v>
      </c>
      <c r="D4538" t="s">
        <v>19</v>
      </c>
      <c r="E4538">
        <v>42</v>
      </c>
      <c r="F4538">
        <v>36</v>
      </c>
      <c r="G4538">
        <v>2</v>
      </c>
      <c r="H4538" s="1">
        <v>2.0486111111111113E-3</v>
      </c>
      <c r="I4538" t="s">
        <v>18</v>
      </c>
      <c r="J4538" s="2" t="str">
        <f>HYPERLINK("https://www.nba.com/stats/events?CFID=&amp;CFPARAMS=&amp;GameEventID=190&amp;GameID=0021600319&amp;Season=2016-17&amp;flag=1&amp;title=Leonard%2018'%20Jump%20Shot%20(10%20PTS)", "Leonard 18' Jump Shot (10 PTS)")</f>
        <v>Leonard 18' Jump Shot (10 PTS)</v>
      </c>
      <c r="K4538" s="2" t="str">
        <f>HYPERLINK("https://www.nba.com/game/...-vs-...-0021600319/play-by-play?watchFullGame=true", "SAS vs MIN - Q2 02:57.00")</f>
        <v>SAS vs MIN - Q2 02:57.00</v>
      </c>
      <c r="L4538">
        <v>18</v>
      </c>
      <c r="M4538">
        <v>161</v>
      </c>
      <c r="N4538">
        <v>70</v>
      </c>
      <c r="O4538">
        <v>161</v>
      </c>
      <c r="P4538">
        <v>70</v>
      </c>
    </row>
    <row r="4539" spans="1:16" x14ac:dyDescent="0.25">
      <c r="A4539">
        <v>21900090</v>
      </c>
      <c r="B4539">
        <v>2019</v>
      </c>
      <c r="C4539" t="s">
        <v>32</v>
      </c>
      <c r="D4539" t="s">
        <v>22</v>
      </c>
      <c r="E4539">
        <v>84</v>
      </c>
      <c r="F4539">
        <v>78</v>
      </c>
      <c r="G4539">
        <v>4</v>
      </c>
      <c r="H4539" s="1">
        <v>4.6064814814814814E-3</v>
      </c>
      <c r="I4539" t="s">
        <v>23</v>
      </c>
      <c r="J4539" s="2" t="str">
        <f>HYPERLINK("https://www.nba.com/stats/events?CFID=&amp;CFPARAMS=&amp;GameEventID=584&amp;GameID=0021900090&amp;Season=2019-20&amp;flag=1&amp;title=[LAC]%20Leonard%20jumpshot:%20Made%20(22%20PTS)%20assist:%20Beverley%20(3%20AST)", "[LAC] Leonard jumpshot: Made (22 PTS) assist: Beverley (3 AST)")</f>
        <v>[LAC] Leonard jumpshot: Made (22 PTS) assist: Beverley (3 AST)</v>
      </c>
      <c r="K4539" s="2" t="str">
        <f>HYPERLINK("https://www.nba.com/game/...-vs-...-0021900090/play-by-play?watchFullGame=true", "LAC vs UTA - Q4 06:38.00")</f>
        <v>LAC vs UTA - Q4 06:38.00</v>
      </c>
      <c r="L4539">
        <v>18.059999999999999</v>
      </c>
      <c r="M4539">
        <v>86.38</v>
      </c>
      <c r="N4539">
        <v>82.28</v>
      </c>
      <c r="O4539">
        <v>161</v>
      </c>
      <c r="P4539">
        <v>75</v>
      </c>
    </row>
    <row r="4540" spans="1:16" x14ac:dyDescent="0.25">
      <c r="A4540">
        <v>21600994</v>
      </c>
      <c r="B4540">
        <v>2016</v>
      </c>
      <c r="C4540" t="s">
        <v>16</v>
      </c>
      <c r="D4540" t="s">
        <v>19</v>
      </c>
      <c r="E4540">
        <v>14</v>
      </c>
      <c r="F4540">
        <v>13</v>
      </c>
      <c r="G4540">
        <v>1</v>
      </c>
      <c r="H4540" s="1">
        <v>4.0046296296296297E-3</v>
      </c>
      <c r="I4540" t="s">
        <v>18</v>
      </c>
      <c r="J4540" s="2" t="str">
        <f>HYPERLINK("https://www.nba.com/stats/events?CFID=&amp;CFPARAMS=&amp;GameEventID=56&amp;GameID=0021600994&amp;Season=2016-17&amp;flag=1&amp;title=Leonard%2025'%203PT%20Jump%20Shot%20(5%20PTS)%20(Mills%203%20AST)", "Leonard 25' 3PT Jump Shot (5 PTS) (Mills 3 AST)")</f>
        <v>Leonard 25' 3PT Jump Shot (5 PTS) (Mills 3 AST)</v>
      </c>
      <c r="K4540" s="2" t="str">
        <f>HYPERLINK("https://www.nba.com/game/...-vs-...-0021600994/play-by-play?watchFullGame=true", "SAS vs ATL - Q1 05:46.00")</f>
        <v>SAS vs ATL - Q1 05:46.00</v>
      </c>
      <c r="L4540">
        <v>25</v>
      </c>
      <c r="M4540">
        <v>161</v>
      </c>
      <c r="N4540">
        <v>185</v>
      </c>
      <c r="O4540">
        <v>161</v>
      </c>
      <c r="P4540">
        <v>185</v>
      </c>
    </row>
    <row r="4541" spans="1:16" x14ac:dyDescent="0.25">
      <c r="A4541">
        <v>21601193</v>
      </c>
      <c r="B4541">
        <v>2016</v>
      </c>
      <c r="C4541" t="s">
        <v>16</v>
      </c>
      <c r="D4541" t="s">
        <v>19</v>
      </c>
      <c r="E4541">
        <v>48</v>
      </c>
      <c r="F4541">
        <v>59</v>
      </c>
      <c r="G4541">
        <v>3</v>
      </c>
      <c r="H4541" s="1">
        <v>7.1064814814814819E-3</v>
      </c>
      <c r="I4541" t="s">
        <v>18</v>
      </c>
      <c r="J4541" s="2" t="str">
        <f>HYPERLINK("https://www.nba.com/stats/events?CFID=&amp;CFPARAMS=&amp;GameEventID=245&amp;GameID=0021601193&amp;Season=2016-17&amp;flag=1&amp;title=Leonard%2025'%203PT%20Jump%20Shot%20(13%20PTS)%20(Simmons%202%20AST)", "Leonard 25' 3PT Jump Shot (13 PTS) (Simmons 2 AST)")</f>
        <v>Leonard 25' 3PT Jump Shot (13 PTS) (Simmons 2 AST)</v>
      </c>
      <c r="K4541" s="2" t="str">
        <f>HYPERLINK("https://www.nba.com/game/...-vs-...-0021601193/play-by-play?watchFullGame=true", "SAS vs LAC - Q3 10:14.00")</f>
        <v>SAS vs LAC - Q3 10:14.00</v>
      </c>
      <c r="L4541">
        <v>25</v>
      </c>
      <c r="M4541">
        <v>161</v>
      </c>
      <c r="N4541">
        <v>188</v>
      </c>
      <c r="O4541">
        <v>161</v>
      </c>
      <c r="P4541">
        <v>188</v>
      </c>
    </row>
    <row r="4542" spans="1:16" x14ac:dyDescent="0.25">
      <c r="A4542">
        <v>21501140</v>
      </c>
      <c r="B4542">
        <v>2015</v>
      </c>
      <c r="C4542" t="s">
        <v>16</v>
      </c>
      <c r="D4542" t="s">
        <v>19</v>
      </c>
      <c r="E4542">
        <v>7</v>
      </c>
      <c r="F4542">
        <v>4</v>
      </c>
      <c r="G4542">
        <v>1</v>
      </c>
      <c r="H4542" s="1">
        <v>5.4745370370370373E-3</v>
      </c>
      <c r="I4542" t="s">
        <v>18</v>
      </c>
      <c r="J4542" s="2" t="str">
        <f>HYPERLINK("https://www.nba.com/stats/events?CFID=&amp;CFPARAMS=&amp;GameEventID=34&amp;GameID=0021501140&amp;Season=2015-16&amp;flag=1&amp;title=Leonard%2025'%203PT%20Jump%20Shot%20(3%20PTS)", "Leonard 25' 3PT Jump Shot (3 PTS)")</f>
        <v>Leonard 25' 3PT Jump Shot (3 PTS)</v>
      </c>
      <c r="K4542" s="2" t="str">
        <f>HYPERLINK("https://www.nba.com/game/...-vs-...-0021501140/play-by-play?watchFullGame=true", "SAS vs TOR - Q1 07:53.00")</f>
        <v>SAS vs TOR - Q1 07:53.00</v>
      </c>
      <c r="L4542">
        <v>25</v>
      </c>
      <c r="M4542">
        <v>161</v>
      </c>
      <c r="N4542">
        <v>190</v>
      </c>
      <c r="O4542">
        <v>161</v>
      </c>
      <c r="P4542">
        <v>190</v>
      </c>
    </row>
    <row r="4543" spans="1:16" x14ac:dyDescent="0.25">
      <c r="A4543">
        <v>22400733</v>
      </c>
      <c r="B4543">
        <v>2024</v>
      </c>
      <c r="C4543" t="s">
        <v>16</v>
      </c>
      <c r="D4543" t="s">
        <v>19</v>
      </c>
      <c r="E4543">
        <v>103</v>
      </c>
      <c r="F4543">
        <v>98</v>
      </c>
      <c r="G4543">
        <v>4</v>
      </c>
      <c r="H4543" s="1">
        <v>3.1018518518518517E-3</v>
      </c>
      <c r="I4543" t="s">
        <v>23</v>
      </c>
      <c r="J4543" s="2" t="str">
        <f>HYPERLINK("https://www.nba.com/stats/events?CFID=&amp;CFPARAMS=&amp;GameEventID=579&amp;GameID=0022400733&amp;Season=2024-25&amp;flag=1&amp;title=Leonard%2025'%203PT%20%20(19%20PTS)%20(J.%20Harden%209%20AST)", "25' 3PT  (19 PTS) (J. Harden 9 AST)")</f>
        <v>25' 3PT  (19 PTS) (J. Harden 9 AST)</v>
      </c>
      <c r="K4543" s="2" t="str">
        <f>HYPERLINK("https://www.nba.com/game/...-vs-...-0022400733/play-by-play?watchFullGame=true", "LAC vs IND - Q4 04:28.00")</f>
        <v>LAC vs IND - Q4 04:28.00</v>
      </c>
      <c r="L4543">
        <v>25.19</v>
      </c>
      <c r="M4543">
        <v>26.23</v>
      </c>
      <c r="N4543">
        <v>17.89</v>
      </c>
      <c r="O4543">
        <v>161</v>
      </c>
      <c r="P4543">
        <v>194</v>
      </c>
    </row>
    <row r="4544" spans="1:16" x14ac:dyDescent="0.25">
      <c r="A4544">
        <v>22200871</v>
      </c>
      <c r="B4544">
        <v>2022</v>
      </c>
      <c r="C4544" t="s">
        <v>16</v>
      </c>
      <c r="D4544" t="s">
        <v>19</v>
      </c>
      <c r="E4544">
        <v>128</v>
      </c>
      <c r="F4544">
        <v>114</v>
      </c>
      <c r="G4544">
        <v>4</v>
      </c>
      <c r="H4544" s="1">
        <v>2.2337962962962962E-3</v>
      </c>
      <c r="I4544" t="s">
        <v>23</v>
      </c>
      <c r="J4544" s="2" t="str">
        <f>HYPERLINK("https://www.nba.com/stats/events?CFID=&amp;CFPARAMS=&amp;GameEventID=620&amp;GameID=0022200871&amp;Season=2022-23&amp;flag=1&amp;title=Leonard%2025'%203PT%20pullup%20(33%20PTS)", "25' 3PT pullup (33 PTS)")</f>
        <v>25' 3PT pullup (33 PTS)</v>
      </c>
      <c r="K4544" s="2" t="str">
        <f>HYPERLINK("https://www.nba.com/game/...-vs-...-0022200871/play-by-play?watchFullGame=true", "LAC vs GSW - Q4 03:13.00")</f>
        <v>LAC vs GSW - Q4 03:13.00</v>
      </c>
      <c r="L4544">
        <v>25.54</v>
      </c>
      <c r="M4544">
        <v>26.72</v>
      </c>
      <c r="N4544">
        <v>17.89</v>
      </c>
      <c r="O4544">
        <v>161</v>
      </c>
      <c r="P4544">
        <v>199</v>
      </c>
    </row>
    <row r="4545" spans="1:16" x14ac:dyDescent="0.25">
      <c r="A4545">
        <v>21901271</v>
      </c>
      <c r="B4545">
        <v>2019</v>
      </c>
      <c r="C4545" t="s">
        <v>16</v>
      </c>
      <c r="D4545" t="s">
        <v>22</v>
      </c>
      <c r="E4545">
        <v>55</v>
      </c>
      <c r="F4545">
        <v>53</v>
      </c>
      <c r="G4545">
        <v>2</v>
      </c>
      <c r="H4545" s="1">
        <v>9.7222222222222219E-4</v>
      </c>
      <c r="I4545" t="s">
        <v>23</v>
      </c>
      <c r="J4545" s="2" t="str">
        <f>HYPERLINK("https://www.nba.com/stats/events?CFID=&amp;CFPARAMS=&amp;GameEventID=315&amp;GameID=0021901271&amp;Season=2019-20&amp;flag=1&amp;title=Leonard%2026'%203PT%20%20(11%20PTS)", "26' 3PT  (11 PTS)")</f>
        <v>26' 3PT  (11 PTS)</v>
      </c>
      <c r="K4545" s="2" t="str">
        <f>HYPERLINK("https://www.nba.com/game/...-vs-...-0021901271/play-by-play?watchFullGame=true", "LAC vs DAL - Q2 01:24.00")</f>
        <v>LAC vs DAL - Q2 01:24.00</v>
      </c>
      <c r="L4545">
        <v>26.15</v>
      </c>
      <c r="M4545">
        <v>26.89</v>
      </c>
      <c r="N4545">
        <v>17.72</v>
      </c>
      <c r="O4545">
        <v>161</v>
      </c>
      <c r="P4545">
        <v>200</v>
      </c>
    </row>
    <row r="4546" spans="1:16" x14ac:dyDescent="0.25">
      <c r="A4546">
        <v>22000576</v>
      </c>
      <c r="B4546">
        <v>2020</v>
      </c>
      <c r="C4546" t="s">
        <v>16</v>
      </c>
      <c r="D4546" t="s">
        <v>19</v>
      </c>
      <c r="E4546">
        <v>96</v>
      </c>
      <c r="F4546">
        <v>63</v>
      </c>
      <c r="G4546">
        <v>3</v>
      </c>
      <c r="H4546" s="1">
        <v>1.4004629629629629E-3</v>
      </c>
      <c r="I4546" t="s">
        <v>23</v>
      </c>
      <c r="J4546" s="2" t="str">
        <f>HYPERLINK("https://www.nba.com/stats/events?CFID=&amp;CFPARAMS=&amp;GameEventID=496&amp;GameID=0022000576&amp;Season=2020-21&amp;flag=1&amp;title=Leonard%2027'%203PT%20pullup%20(28%20PTS)", "27' 3PT pullup (28 PTS)")</f>
        <v>27' 3PT pullup (28 PTS)</v>
      </c>
      <c r="K4546" s="2" t="str">
        <f>HYPERLINK("https://www.nba.com/game/...-vs-...-0022000576/play-by-play?watchFullGame=true", "LAC vs GSW - Q3 02:01.00")</f>
        <v>LAC vs GSW - Q3 02:01.00</v>
      </c>
      <c r="L4546">
        <v>27.29</v>
      </c>
      <c r="M4546">
        <v>28.99</v>
      </c>
      <c r="N4546">
        <v>17.72</v>
      </c>
      <c r="O4546">
        <v>161</v>
      </c>
      <c r="P4546">
        <v>220</v>
      </c>
    </row>
    <row r="4547" spans="1:16" x14ac:dyDescent="0.25">
      <c r="A4547">
        <v>41800403</v>
      </c>
      <c r="B4547" t="s">
        <v>20</v>
      </c>
      <c r="C4547" t="s">
        <v>16</v>
      </c>
      <c r="D4547" t="s">
        <v>19</v>
      </c>
      <c r="E4547">
        <v>59</v>
      </c>
      <c r="F4547">
        <v>69</v>
      </c>
      <c r="G4547">
        <v>3</v>
      </c>
      <c r="H4547" s="1">
        <v>6.076388888888889E-3</v>
      </c>
      <c r="I4547" t="s">
        <v>21</v>
      </c>
      <c r="J4547" s="2" t="str">
        <f>HYPERLINK("https://www.nba.com/stats/events?CFID=&amp;CFPARAMS=&amp;GameEventID=383&amp;GameID=0041800403&amp;Season=2018-19&amp;flag=1&amp;title=Leonard%2028'%203PT%20Jump%20Shot%20(14%20PTS)%20(Siakam%204%20AST)", "Leonard 28' 3PT Jump Shot (14 PTS) (Siakam 4 AST)")</f>
        <v>Leonard 28' 3PT Jump Shot (14 PTS) (Siakam 4 AST)</v>
      </c>
      <c r="K4547" s="2" t="str">
        <f>HYPERLINK("https://www.nba.com/game/...-vs-...-0041800403/play-by-play?watchFullGame=true", "TOR vs GSW - Q3 08:45.00")</f>
        <v>TOR vs GSW - Q3 08:45.00</v>
      </c>
      <c r="L4547">
        <v>28</v>
      </c>
      <c r="M4547">
        <v>161</v>
      </c>
      <c r="N4547">
        <v>225</v>
      </c>
      <c r="O4547">
        <v>161</v>
      </c>
      <c r="P4547">
        <v>225</v>
      </c>
    </row>
    <row r="4548" spans="1:16" x14ac:dyDescent="0.25">
      <c r="A4548">
        <v>21400610</v>
      </c>
      <c r="B4548">
        <v>2014</v>
      </c>
      <c r="C4548" t="s">
        <v>32</v>
      </c>
      <c r="D4548" t="s">
        <v>19</v>
      </c>
      <c r="E4548">
        <v>43</v>
      </c>
      <c r="F4548">
        <v>27</v>
      </c>
      <c r="G4548">
        <v>2</v>
      </c>
      <c r="H4548" s="1">
        <v>3.472222222222222E-6</v>
      </c>
      <c r="I4548" t="s">
        <v>18</v>
      </c>
      <c r="J4548" s="2" t="str">
        <f>HYPERLINK("https://www.nba.com/stats/events?CFID=&amp;CFPARAMS=&amp;GameEventID=264&amp;GameID=0021400610&amp;Season=2014-15&amp;flag=1&amp;title=Leonard%2017'%20Jump%20Shot%20(10%20PTS)", "Leonard 17' Jump Shot (10 PTS)")</f>
        <v>Leonard 17' Jump Shot (10 PTS)</v>
      </c>
      <c r="K4548" s="2" t="str">
        <f>HYPERLINK("https://www.nba.com/game/...-vs-...-0021400610/play-by-play?watchFullGame=true", "SAS vs UTA - Q2 00:00.30")</f>
        <v>SAS vs UTA - Q2 00:00.30</v>
      </c>
      <c r="L4548">
        <v>17</v>
      </c>
      <c r="M4548">
        <v>162</v>
      </c>
      <c r="N4548">
        <v>-32</v>
      </c>
      <c r="O4548">
        <v>162</v>
      </c>
      <c r="P4548">
        <v>-32</v>
      </c>
    </row>
    <row r="4549" spans="1:16" x14ac:dyDescent="0.25">
      <c r="A4549">
        <v>21400177</v>
      </c>
      <c r="B4549">
        <v>2014</v>
      </c>
      <c r="C4549" t="s">
        <v>32</v>
      </c>
      <c r="D4549" t="s">
        <v>19</v>
      </c>
      <c r="E4549">
        <v>48</v>
      </c>
      <c r="F4549">
        <v>63</v>
      </c>
      <c r="G4549">
        <v>3</v>
      </c>
      <c r="H4549" s="1">
        <v>7.3726851851851852E-3</v>
      </c>
      <c r="I4549" t="s">
        <v>18</v>
      </c>
      <c r="J4549" s="2" t="str">
        <f>HYPERLINK("https://www.nba.com/stats/events?CFID=&amp;CFPARAMS=&amp;GameEventID=278&amp;GameID=0021400177&amp;Season=2014-15&amp;flag=1&amp;title=Leonard%2016'%20Jump%20Shot%20(8%20PTS)", "Leonard 16' Jump Shot (8 PTS)")</f>
        <v>Leonard 16' Jump Shot (8 PTS)</v>
      </c>
      <c r="K4549" s="2" t="str">
        <f>HYPERLINK("https://www.nba.com/game/...-vs-...-0021400177/play-by-play?watchFullGame=true", "SAS vs MIN - Q3 10:37.00")</f>
        <v>SAS vs MIN - Q3 10:37.00</v>
      </c>
      <c r="L4549">
        <v>16</v>
      </c>
      <c r="M4549">
        <v>162</v>
      </c>
      <c r="N4549">
        <v>31</v>
      </c>
      <c r="O4549">
        <v>162</v>
      </c>
      <c r="P4549">
        <v>31</v>
      </c>
    </row>
    <row r="4550" spans="1:16" x14ac:dyDescent="0.25">
      <c r="A4550">
        <v>41300146</v>
      </c>
      <c r="B4550" t="s">
        <v>26</v>
      </c>
      <c r="C4550" t="s">
        <v>32</v>
      </c>
      <c r="D4550" t="s">
        <v>19</v>
      </c>
      <c r="E4550">
        <v>6</v>
      </c>
      <c r="F4550">
        <v>6</v>
      </c>
      <c r="G4550">
        <v>1</v>
      </c>
      <c r="H4550" s="1">
        <v>6.7939814814814816E-3</v>
      </c>
      <c r="I4550" t="s">
        <v>18</v>
      </c>
      <c r="J4550" s="2" t="str">
        <f>HYPERLINK("https://www.nba.com/stats/events?CFID=&amp;CFPARAMS=&amp;GameEventID=12&amp;GameID=0041300146&amp;Season=2013-14&amp;flag=1&amp;title=Leonard%2017'%20Jump%20Shot%20(2%20PTS)%20(Parker%202%20AST)", "Leonard 17' Jump Shot (2 PTS) (Parker 2 AST)")</f>
        <v>Leonard 17' Jump Shot (2 PTS) (Parker 2 AST)</v>
      </c>
      <c r="K4550" s="2" t="str">
        <f>HYPERLINK("https://www.nba.com/game/...-vs-...-0041300146/play-by-play?watchFullGame=true", "SAS vs DAL - Q1 09:47.00")</f>
        <v>SAS vs DAL - Q1 09:47.00</v>
      </c>
      <c r="L4550">
        <v>17</v>
      </c>
      <c r="M4550">
        <v>162</v>
      </c>
      <c r="N4550">
        <v>52</v>
      </c>
      <c r="O4550">
        <v>162</v>
      </c>
      <c r="P4550">
        <v>52</v>
      </c>
    </row>
    <row r="4551" spans="1:16" x14ac:dyDescent="0.25">
      <c r="A4551">
        <v>21301154</v>
      </c>
      <c r="B4551">
        <v>2013</v>
      </c>
      <c r="C4551" t="s">
        <v>32</v>
      </c>
      <c r="D4551" t="s">
        <v>19</v>
      </c>
      <c r="E4551">
        <v>33</v>
      </c>
      <c r="F4551">
        <v>20</v>
      </c>
      <c r="G4551">
        <v>2</v>
      </c>
      <c r="H4551" s="1">
        <v>6.3310185185185188E-3</v>
      </c>
      <c r="I4551" t="s">
        <v>18</v>
      </c>
      <c r="J4551" s="2" t="str">
        <f>HYPERLINK("https://www.nba.com/stats/events?CFID=&amp;CFPARAMS=&amp;GameEventID=151&amp;GameID=0021301154&amp;Season=2013-14&amp;flag=1&amp;title=Leonard%2019'%20Jump%20Shot%20(6%20PTS)", "Leonard 19' Jump Shot (6 PTS)")</f>
        <v>Leonard 19' Jump Shot (6 PTS)</v>
      </c>
      <c r="K4551" s="2" t="str">
        <f>HYPERLINK("https://www.nba.com/game/...-vs-...-0021301154/play-by-play?watchFullGame=true", "SAS vs MEM - Q2 09:07.00")</f>
        <v>SAS vs MEM - Q2 09:07.00</v>
      </c>
      <c r="L4551">
        <v>19</v>
      </c>
      <c r="M4551">
        <v>162</v>
      </c>
      <c r="N4551">
        <v>108</v>
      </c>
      <c r="O4551">
        <v>162</v>
      </c>
      <c r="P4551">
        <v>108</v>
      </c>
    </row>
    <row r="4552" spans="1:16" x14ac:dyDescent="0.25">
      <c r="A4552">
        <v>21401200</v>
      </c>
      <c r="B4552">
        <v>2014</v>
      </c>
      <c r="C4552" t="s">
        <v>32</v>
      </c>
      <c r="D4552" t="s">
        <v>29</v>
      </c>
      <c r="E4552">
        <v>103</v>
      </c>
      <c r="F4552">
        <v>79</v>
      </c>
      <c r="G4552">
        <v>4</v>
      </c>
      <c r="H4552" s="1">
        <v>3.1712962962962962E-3</v>
      </c>
      <c r="I4552" t="s">
        <v>18</v>
      </c>
      <c r="J4552" s="2" t="str">
        <f>HYPERLINK("https://www.nba.com/stats/events?CFID=&amp;CFPARAMS=&amp;GameEventID=492&amp;GameID=0021401200&amp;Season=2014-15&amp;flag=1&amp;title=Leonard%2020'%20Pullup%20Jump%20Shot%20(18%20PTS)", "Leonard 20' Pullup Jump Shot (18 PTS)")</f>
        <v>Leonard 20' Pullup Jump Shot (18 PTS)</v>
      </c>
      <c r="K4552" s="2" t="str">
        <f>HYPERLINK("https://www.nba.com/game/...-vs-...-0021401200/play-by-play?watchFullGame=true", "SAS vs PHX - Q4 04:34.00")</f>
        <v>SAS vs PHX - Q4 04:34.00</v>
      </c>
      <c r="L4552">
        <v>20</v>
      </c>
      <c r="M4552">
        <v>162</v>
      </c>
      <c r="N4552">
        <v>110</v>
      </c>
      <c r="O4552">
        <v>162</v>
      </c>
      <c r="P4552">
        <v>110</v>
      </c>
    </row>
    <row r="4553" spans="1:16" x14ac:dyDescent="0.25">
      <c r="A4553">
        <v>21501018</v>
      </c>
      <c r="B4553">
        <v>2015</v>
      </c>
      <c r="C4553" t="s">
        <v>32</v>
      </c>
      <c r="D4553" t="s">
        <v>29</v>
      </c>
      <c r="E4553">
        <v>70</v>
      </c>
      <c r="F4553">
        <v>58</v>
      </c>
      <c r="G4553">
        <v>3</v>
      </c>
      <c r="H4553" s="1">
        <v>5.8912037037037041E-3</v>
      </c>
      <c r="I4553" t="s">
        <v>18</v>
      </c>
      <c r="J4553" s="2" t="str">
        <f>HYPERLINK("https://www.nba.com/stats/events?CFID=&amp;CFPARAMS=&amp;GameEventID=318&amp;GameID=0021501018&amp;Season=2015-16&amp;flag=1&amp;title=Leonard%2016'%20Pullup%20Jump%20Shot%20(11%20PTS)%20(Parker%2013%20AST)", "Leonard 16' Pullup Jump Shot (11 PTS) (Parker 13 AST)")</f>
        <v>Leonard 16' Pullup Jump Shot (11 PTS) (Parker 13 AST)</v>
      </c>
      <c r="K4553" s="2" t="str">
        <f>HYPERLINK("https://www.nba.com/game/...-vs-...-0021501018/play-by-play?watchFullGame=true", "SAS vs POR - Q3 08:29.00")</f>
        <v>SAS vs POR - Q3 08:29.00</v>
      </c>
      <c r="L4553">
        <v>16</v>
      </c>
      <c r="M4553">
        <v>163</v>
      </c>
      <c r="N4553">
        <v>-1</v>
      </c>
      <c r="O4553">
        <v>163</v>
      </c>
      <c r="P4553">
        <v>-1</v>
      </c>
    </row>
    <row r="4554" spans="1:16" x14ac:dyDescent="0.25">
      <c r="A4554">
        <v>21600264</v>
      </c>
      <c r="B4554">
        <v>2016</v>
      </c>
      <c r="C4554" t="s">
        <v>32</v>
      </c>
      <c r="D4554" t="s">
        <v>19</v>
      </c>
      <c r="E4554">
        <v>58</v>
      </c>
      <c r="F4554">
        <v>59</v>
      </c>
      <c r="G4554">
        <v>3</v>
      </c>
      <c r="H4554" s="1">
        <v>4.5370370370370373E-3</v>
      </c>
      <c r="I4554" t="s">
        <v>18</v>
      </c>
      <c r="J4554" s="2" t="str">
        <f>HYPERLINK("https://www.nba.com/stats/events?CFID=&amp;CFPARAMS=&amp;GameEventID=287&amp;GameID=0021600264&amp;Season=2016-17&amp;flag=1&amp;title=Leonard%2016'%20Jump%20Shot%20(16%20PTS)%20(Green%202%20AST)", "Leonard 16' Jump Shot (16 PTS) (Green 2 AST)")</f>
        <v>Leonard 16' Jump Shot (16 PTS) (Green 2 AST)</v>
      </c>
      <c r="K4554" s="2" t="str">
        <f>HYPERLINK("https://www.nba.com/game/...-vs-...-0021600264/play-by-play?watchFullGame=true", "SAS vs ORL - Q3 06:32.00")</f>
        <v>SAS vs ORL - Q3 06:32.00</v>
      </c>
      <c r="L4554">
        <v>16</v>
      </c>
      <c r="M4554">
        <v>163</v>
      </c>
      <c r="N4554">
        <v>-1</v>
      </c>
      <c r="O4554">
        <v>163</v>
      </c>
      <c r="P4554">
        <v>-1</v>
      </c>
    </row>
    <row r="4555" spans="1:16" x14ac:dyDescent="0.25">
      <c r="A4555">
        <v>21300181</v>
      </c>
      <c r="B4555">
        <v>2013</v>
      </c>
      <c r="C4555" t="s">
        <v>32</v>
      </c>
      <c r="D4555" t="s">
        <v>19</v>
      </c>
      <c r="E4555">
        <v>37</v>
      </c>
      <c r="F4555">
        <v>51</v>
      </c>
      <c r="G4555">
        <v>2</v>
      </c>
      <c r="H4555" s="1">
        <v>9.1435185185185188E-5</v>
      </c>
      <c r="I4555" t="s">
        <v>18</v>
      </c>
      <c r="J4555" s="2" t="str">
        <f>HYPERLINK("https://www.nba.com/stats/events?CFID=&amp;CFPARAMS=&amp;GameEventID=197&amp;GameID=0021300181&amp;Season=2013-14&amp;flag=1&amp;title=Leonard%2016'%20Jump%20Shot%20(8%20PTS)%20(Parker%203%20AST)", "Leonard 16' Jump Shot (8 PTS) (Parker 3 AST)")</f>
        <v>Leonard 16' Jump Shot (8 PTS) (Parker 3 AST)</v>
      </c>
      <c r="K4555" s="2" t="str">
        <f>HYPERLINK("https://www.nba.com/game/...-vs-...-0021300181/play-by-play?watchFullGame=true", "SAS vs MEM - Q2 00:07.90")</f>
        <v>SAS vs MEM - Q2 00:07.90</v>
      </c>
      <c r="L4555">
        <v>16</v>
      </c>
      <c r="M4555">
        <v>163</v>
      </c>
      <c r="N4555">
        <v>4</v>
      </c>
      <c r="O4555">
        <v>163</v>
      </c>
      <c r="P4555">
        <v>4</v>
      </c>
    </row>
    <row r="4556" spans="1:16" x14ac:dyDescent="0.25">
      <c r="A4556">
        <v>21600441</v>
      </c>
      <c r="B4556">
        <v>2016</v>
      </c>
      <c r="C4556" t="s">
        <v>32</v>
      </c>
      <c r="D4556" t="s">
        <v>31</v>
      </c>
      <c r="E4556">
        <v>47</v>
      </c>
      <c r="F4556">
        <v>36</v>
      </c>
      <c r="G4556">
        <v>2</v>
      </c>
      <c r="H4556" s="1">
        <v>2.8009259259259259E-3</v>
      </c>
      <c r="I4556" t="s">
        <v>18</v>
      </c>
      <c r="J4556" s="2" t="str">
        <f>HYPERLINK("https://www.nba.com/stats/events?CFID=&amp;CFPARAMS=&amp;GameEventID=239&amp;GameID=0021600441&amp;Season=2016-17&amp;flag=1&amp;title=Leonard%2016'%20Step%20Back%20Jump%20Shot%20(13%20PTS)%20(Mills%201%20AST)", "Leonard 16' Step Back Jump Shot (13 PTS) (Mills 1 AST)")</f>
        <v>Leonard 16' Step Back Jump Shot (13 PTS) (Mills 1 AST)</v>
      </c>
      <c r="K4556" s="2" t="str">
        <f>HYPERLINK("https://www.nba.com/game/...-vs-...-0021600441/play-by-play?watchFullGame=true", "SAS vs LAC - Q2 04:02.00")</f>
        <v>SAS vs LAC - Q2 04:02.00</v>
      </c>
      <c r="L4556">
        <v>16</v>
      </c>
      <c r="M4556">
        <v>163</v>
      </c>
      <c r="N4556">
        <v>18</v>
      </c>
      <c r="O4556">
        <v>163</v>
      </c>
      <c r="P4556">
        <v>18</v>
      </c>
    </row>
    <row r="4557" spans="1:16" x14ac:dyDescent="0.25">
      <c r="A4557">
        <v>21400102</v>
      </c>
      <c r="B4557">
        <v>2014</v>
      </c>
      <c r="C4557" t="s">
        <v>32</v>
      </c>
      <c r="D4557" t="s">
        <v>19</v>
      </c>
      <c r="E4557">
        <v>46</v>
      </c>
      <c r="F4557">
        <v>43</v>
      </c>
      <c r="G4557">
        <v>3</v>
      </c>
      <c r="H4557" s="1">
        <v>7.3263888888888892E-3</v>
      </c>
      <c r="I4557" t="s">
        <v>18</v>
      </c>
      <c r="J4557" s="2" t="str">
        <f>HYPERLINK("https://www.nba.com/stats/events?CFID=&amp;CFPARAMS=&amp;GameEventID=259&amp;GameID=0021400102&amp;Season=2014-15&amp;flag=1&amp;title=Leonard%2016'%20Jump%20Shot%20(16%20PTS)", "Leonard 16' Jump Shot (16 PTS)")</f>
        <v>Leonard 16' Jump Shot (16 PTS)</v>
      </c>
      <c r="K4557" s="2" t="str">
        <f>HYPERLINK("https://www.nba.com/game/...-vs-...-0021400102/play-by-play?watchFullGame=true", "SAS vs LAC - Q3 10:33.00")</f>
        <v>SAS vs LAC - Q3 10:33.00</v>
      </c>
      <c r="L4557">
        <v>16</v>
      </c>
      <c r="M4557">
        <v>163</v>
      </c>
      <c r="N4557">
        <v>22</v>
      </c>
      <c r="O4557">
        <v>163</v>
      </c>
      <c r="P4557">
        <v>22</v>
      </c>
    </row>
    <row r="4558" spans="1:16" x14ac:dyDescent="0.25">
      <c r="A4558">
        <v>21500061</v>
      </c>
      <c r="B4558">
        <v>2015</v>
      </c>
      <c r="C4558" t="s">
        <v>32</v>
      </c>
      <c r="D4558" t="s">
        <v>19</v>
      </c>
      <c r="E4558">
        <v>39</v>
      </c>
      <c r="F4558">
        <v>47</v>
      </c>
      <c r="G4558">
        <v>2</v>
      </c>
      <c r="H4558" s="1">
        <v>2.4305555555555556E-3</v>
      </c>
      <c r="I4558" t="s">
        <v>18</v>
      </c>
      <c r="J4558" s="2" t="str">
        <f>HYPERLINK("https://www.nba.com/stats/events?CFID=&amp;CFPARAMS=&amp;GameEventID=199&amp;GameID=0021500061&amp;Season=2015-16&amp;flag=1&amp;title=Leonard%2018'%20Jump%20Shot%20(16%20PTS)%20(West%201%20AST)", "Leonard 18' Jump Shot (16 PTS) (West 1 AST)")</f>
        <v>Leonard 18' Jump Shot (16 PTS) (West 1 AST)</v>
      </c>
      <c r="K4558" s="2" t="str">
        <f>HYPERLINK("https://www.nba.com/game/...-vs-...-0021500061/play-by-play?watchFullGame=true", "SAS vs WAS - Q2 03:30.00")</f>
        <v>SAS vs WAS - Q2 03:30.00</v>
      </c>
      <c r="L4558">
        <v>18</v>
      </c>
      <c r="M4558">
        <v>163</v>
      </c>
      <c r="N4558">
        <v>70</v>
      </c>
      <c r="O4558">
        <v>163</v>
      </c>
      <c r="P4558">
        <v>70</v>
      </c>
    </row>
    <row r="4559" spans="1:16" x14ac:dyDescent="0.25">
      <c r="A4559">
        <v>21600213</v>
      </c>
      <c r="B4559">
        <v>2016</v>
      </c>
      <c r="C4559" t="s">
        <v>32</v>
      </c>
      <c r="D4559" t="s">
        <v>19</v>
      </c>
      <c r="E4559">
        <v>92</v>
      </c>
      <c r="F4559">
        <v>97</v>
      </c>
      <c r="G4559">
        <v>4</v>
      </c>
      <c r="H4559" s="1">
        <v>4.2476851851851851E-3</v>
      </c>
      <c r="I4559" t="s">
        <v>18</v>
      </c>
      <c r="J4559" s="2" t="str">
        <f>HYPERLINK("https://www.nba.com/stats/events?CFID=&amp;CFPARAMS=&amp;GameEventID=427&amp;GameID=0021600213&amp;Season=2016-17&amp;flag=1&amp;title=Leonard%2018'%20Jump%20Shot%20(28%20PTS)%20(Gasol%204%20AST)", "Leonard 18' Jump Shot (28 PTS) (Gasol 4 AST)")</f>
        <v>Leonard 18' Jump Shot (28 PTS) (Gasol 4 AST)</v>
      </c>
      <c r="K4559" s="2" t="str">
        <f>HYPERLINK("https://www.nba.com/game/...-vs-...-0021600213/play-by-play?watchFullGame=true", "SAS vs CHA - Q4 06:07.00")</f>
        <v>SAS vs CHA - Q4 06:07.00</v>
      </c>
      <c r="L4559">
        <v>18</v>
      </c>
      <c r="M4559">
        <v>163</v>
      </c>
      <c r="N4559">
        <v>75</v>
      </c>
      <c r="O4559">
        <v>163</v>
      </c>
      <c r="P4559">
        <v>75</v>
      </c>
    </row>
    <row r="4560" spans="1:16" x14ac:dyDescent="0.25">
      <c r="A4560">
        <v>22201215</v>
      </c>
      <c r="B4560">
        <v>2022</v>
      </c>
      <c r="C4560" t="s">
        <v>32</v>
      </c>
      <c r="D4560" t="s">
        <v>19</v>
      </c>
      <c r="E4560">
        <v>12</v>
      </c>
      <c r="F4560">
        <v>9</v>
      </c>
      <c r="G4560">
        <v>1</v>
      </c>
      <c r="H4560" s="1">
        <v>4.7222222222222223E-3</v>
      </c>
      <c r="I4560" t="s">
        <v>23</v>
      </c>
      <c r="J4560" s="2" t="str">
        <f>HYPERLINK("https://www.nba.com/stats/events?CFID=&amp;CFPARAMS=&amp;GameEventID=60&amp;GameID=0022201215&amp;Season=2022-23&amp;flag=1&amp;title=Leonard%2018'%20turnaround%20Jump%20Shot%20(2%20PTS)%20(N.%20Batum%202%20AST)", "18' turnaround Jump Shot (2 PTS) (N. Batum 2 AST)")</f>
        <v>18' turnaround Jump Shot (2 PTS) (N. Batum 2 AST)</v>
      </c>
      <c r="K4560" s="2" t="str">
        <f>HYPERLINK("https://www.nba.com/game/...-vs-...-0022201215/play-by-play?watchFullGame=true", "LAC vs POR - Q1 06:48.00")</f>
        <v>LAC vs POR - Q1 06:48.00</v>
      </c>
      <c r="L4560">
        <v>18.29</v>
      </c>
      <c r="M4560">
        <v>85.59</v>
      </c>
      <c r="N4560">
        <v>82.6</v>
      </c>
      <c r="O4560">
        <v>163</v>
      </c>
      <c r="P4560">
        <v>83</v>
      </c>
    </row>
    <row r="4561" spans="1:16" x14ac:dyDescent="0.25">
      <c r="A4561">
        <v>21301154</v>
      </c>
      <c r="B4561">
        <v>2013</v>
      </c>
      <c r="C4561" t="s">
        <v>32</v>
      </c>
      <c r="D4561" t="s">
        <v>29</v>
      </c>
      <c r="E4561">
        <v>37</v>
      </c>
      <c r="F4561">
        <v>22</v>
      </c>
      <c r="G4561">
        <v>2</v>
      </c>
      <c r="H4561" s="1">
        <v>5.3125000000000004E-3</v>
      </c>
      <c r="I4561" t="s">
        <v>18</v>
      </c>
      <c r="J4561" s="2" t="str">
        <f>HYPERLINK("https://www.nba.com/stats/events?CFID=&amp;CFPARAMS=&amp;GameEventID=164&amp;GameID=0021301154&amp;Season=2013-14&amp;flag=1&amp;title=Leonard%2019'%20Pullup%20Jump%20Shot%20(10%20PTS)%20(Splitter%201%20AST)", "Leonard 19' Pullup Jump Shot (10 PTS) (Splitter 1 AST)")</f>
        <v>Leonard 19' Pullup Jump Shot (10 PTS) (Splitter 1 AST)</v>
      </c>
      <c r="K4561" s="2" t="str">
        <f>HYPERLINK("https://www.nba.com/game/...-vs-...-0021301154/play-by-play?watchFullGame=true", "SAS vs MEM - Q2 07:39.00")</f>
        <v>SAS vs MEM - Q2 07:39.00</v>
      </c>
      <c r="L4561">
        <v>19</v>
      </c>
      <c r="M4561">
        <v>163</v>
      </c>
      <c r="N4561">
        <v>102</v>
      </c>
      <c r="O4561">
        <v>163</v>
      </c>
      <c r="P4561">
        <v>102</v>
      </c>
    </row>
    <row r="4562" spans="1:16" x14ac:dyDescent="0.25">
      <c r="A4562">
        <v>21501018</v>
      </c>
      <c r="B4562">
        <v>2015</v>
      </c>
      <c r="C4562" t="s">
        <v>16</v>
      </c>
      <c r="D4562" t="s">
        <v>19</v>
      </c>
      <c r="E4562">
        <v>114</v>
      </c>
      <c r="F4562">
        <v>99</v>
      </c>
      <c r="G4562">
        <v>4</v>
      </c>
      <c r="H4562" s="1">
        <v>2.1990740740740742E-3</v>
      </c>
      <c r="I4562" t="s">
        <v>18</v>
      </c>
      <c r="J4562" s="2" t="str">
        <f>HYPERLINK("https://www.nba.com/stats/events?CFID=&amp;CFPARAMS=&amp;GameEventID=509&amp;GameID=0021501018&amp;Season=2015-16&amp;flag=1&amp;title=Leonard%2025'%203PT%20Jump%20Shot%20(22%20PTS)%20(Anderson%203%20AST)", "Leonard 25' 3PT Jump Shot (22 PTS) (Anderson 3 AST)")</f>
        <v>Leonard 25' 3PT Jump Shot (22 PTS) (Anderson 3 AST)</v>
      </c>
      <c r="K4562" s="2" t="str">
        <f>HYPERLINK("https://www.nba.com/game/...-vs-...-0021501018/play-by-play?watchFullGame=true", "SAS vs POR - Q4 03:10.00")</f>
        <v>SAS vs POR - Q4 03:10.00</v>
      </c>
      <c r="L4562">
        <v>25</v>
      </c>
      <c r="M4562">
        <v>163</v>
      </c>
      <c r="N4562">
        <v>188</v>
      </c>
      <c r="O4562">
        <v>163</v>
      </c>
      <c r="P4562">
        <v>188</v>
      </c>
    </row>
    <row r="4563" spans="1:16" x14ac:dyDescent="0.25">
      <c r="A4563">
        <v>21500013</v>
      </c>
      <c r="B4563">
        <v>2015</v>
      </c>
      <c r="C4563" t="s">
        <v>16</v>
      </c>
      <c r="D4563" t="s">
        <v>19</v>
      </c>
      <c r="E4563">
        <v>2</v>
      </c>
      <c r="F4563">
        <v>3</v>
      </c>
      <c r="G4563">
        <v>1</v>
      </c>
      <c r="H4563" s="1">
        <v>7.9976851851851858E-3</v>
      </c>
      <c r="I4563" t="s">
        <v>18</v>
      </c>
      <c r="J4563" s="2" t="str">
        <f>HYPERLINK("https://www.nba.com/stats/events?CFID=&amp;CFPARAMS=&amp;GameEventID=7&amp;GameID=0021500013&amp;Season=2015-16&amp;flag=1&amp;title=Leonard%2025'%203PT%20Jump%20Shot%20(3%20PTS)%20(Green%201%20AST)", "Leonard 25' 3PT Jump Shot (3 PTS) (Green 1 AST)")</f>
        <v>Leonard 25' 3PT Jump Shot (3 PTS) (Green 1 AST)</v>
      </c>
      <c r="K4563" s="2" t="str">
        <f>HYPERLINK("https://www.nba.com/game/...-vs-...-0021500013/play-by-play?watchFullGame=true", "SAS vs OKC - Q1 11:31.00")</f>
        <v>SAS vs OKC - Q1 11:31.00</v>
      </c>
      <c r="L4563">
        <v>25</v>
      </c>
      <c r="M4563">
        <v>163</v>
      </c>
      <c r="N4563">
        <v>193</v>
      </c>
      <c r="O4563">
        <v>163</v>
      </c>
      <c r="P4563">
        <v>193</v>
      </c>
    </row>
    <row r="4564" spans="1:16" x14ac:dyDescent="0.25">
      <c r="A4564">
        <v>22301017</v>
      </c>
      <c r="B4564">
        <v>2023</v>
      </c>
      <c r="C4564" t="s">
        <v>16</v>
      </c>
      <c r="D4564" t="s">
        <v>19</v>
      </c>
      <c r="E4564">
        <v>10</v>
      </c>
      <c r="F4564">
        <v>18</v>
      </c>
      <c r="G4564">
        <v>1</v>
      </c>
      <c r="H4564" s="1">
        <v>4.8495370370370368E-3</v>
      </c>
      <c r="I4564" t="s">
        <v>23</v>
      </c>
      <c r="J4564" s="2" t="str">
        <f>HYPERLINK("https://www.nba.com/stats/events?CFID=&amp;CFPARAMS=&amp;GameEventID=60&amp;GameID=0022301017&amp;Season=2023-24&amp;flag=1&amp;title=Leonard%2026'%203PT%20running%20pullup%20(6%20PTS)", "26' 3PT running pullup (6 PTS)")</f>
        <v>26' 3PT running pullup (6 PTS)</v>
      </c>
      <c r="K4564" s="2" t="str">
        <f>HYPERLINK("https://www.nba.com/game/...-vs-...-0022301017/play-by-play?watchFullGame=true", "LAC vs POR - Q1 06:59.00")</f>
        <v>LAC vs POR - Q1 06:59.00</v>
      </c>
      <c r="L4564">
        <v>26.09</v>
      </c>
      <c r="M4564">
        <v>72.75</v>
      </c>
      <c r="N4564">
        <v>82.6</v>
      </c>
      <c r="O4564">
        <v>163</v>
      </c>
      <c r="P4564">
        <v>204</v>
      </c>
    </row>
    <row r="4565" spans="1:16" x14ac:dyDescent="0.25">
      <c r="A4565">
        <v>22000130</v>
      </c>
      <c r="B4565">
        <v>2020</v>
      </c>
      <c r="C4565" t="s">
        <v>16</v>
      </c>
      <c r="D4565" t="s">
        <v>19</v>
      </c>
      <c r="E4565">
        <v>42</v>
      </c>
      <c r="F4565">
        <v>51</v>
      </c>
      <c r="G4565">
        <v>2</v>
      </c>
      <c r="H4565" s="1">
        <v>2.1875000000000002E-3</v>
      </c>
      <c r="I4565" t="s">
        <v>23</v>
      </c>
      <c r="J4565" s="2" t="str">
        <f>HYPERLINK("https://www.nba.com/stats/events?CFID=&amp;CFPARAMS=&amp;GameEventID=268&amp;GameID=0022000130&amp;Season=2020-21&amp;flag=1&amp;title=Leonard%2028'%203PT%20%20(7%20PTS)%20(P.%20George%204%20AST)", "28' 3PT  (7 PTS) (P. George 4 AST)")</f>
        <v>28' 3PT  (7 PTS) (P. George 4 AST)</v>
      </c>
      <c r="K4565" s="2" t="str">
        <f>HYPERLINK("https://www.nba.com/game/...-vs-...-0022000130/play-by-play?watchFullGame=true", "LAC vs GSW - Q2 03:09.00")</f>
        <v>LAC vs GSW - Q2 03:09.00</v>
      </c>
      <c r="L4565">
        <v>28.56</v>
      </c>
      <c r="M4565">
        <v>30.57</v>
      </c>
      <c r="N4565">
        <v>17.47</v>
      </c>
      <c r="O4565">
        <v>163</v>
      </c>
      <c r="P4565">
        <v>235</v>
      </c>
    </row>
    <row r="4566" spans="1:16" x14ac:dyDescent="0.25">
      <c r="A4566">
        <v>22000400</v>
      </c>
      <c r="B4566">
        <v>2020</v>
      </c>
      <c r="C4566" t="s">
        <v>32</v>
      </c>
      <c r="D4566" t="s">
        <v>19</v>
      </c>
      <c r="E4566">
        <v>69</v>
      </c>
      <c r="F4566">
        <v>74</v>
      </c>
      <c r="G4566">
        <v>3</v>
      </c>
      <c r="H4566" s="1">
        <v>4.0277777777777777E-3</v>
      </c>
      <c r="I4566" t="s">
        <v>23</v>
      </c>
      <c r="J4566" s="2" t="str">
        <f>HYPERLINK("https://www.nba.com/stats/events?CFID=&amp;CFPARAMS=&amp;GameEventID=366&amp;GameID=0022000400&amp;Season=2020-21&amp;flag=1&amp;title=Leonard%2016'%20Jump%20Shot%20(20%20PTS)", "16' Jump Shot (20 PTS)")</f>
        <v>16' Jump Shot (20 PTS)</v>
      </c>
      <c r="K4566" s="2" t="str">
        <f>HYPERLINK("https://www.nba.com/game/...-vs-...-0022000400/play-by-play?watchFullGame=true", "LAC vs CHI - Q3 05:48.00")</f>
        <v>LAC vs CHI - Q3 05:48.00</v>
      </c>
      <c r="L4566">
        <v>16.600000000000001</v>
      </c>
      <c r="M4566">
        <v>8.36</v>
      </c>
      <c r="N4566">
        <v>17.23</v>
      </c>
      <c r="O4566">
        <v>164</v>
      </c>
      <c r="P4566">
        <v>26</v>
      </c>
    </row>
    <row r="4567" spans="1:16" x14ac:dyDescent="0.25">
      <c r="A4567">
        <v>21900051</v>
      </c>
      <c r="B4567">
        <v>2019</v>
      </c>
      <c r="C4567" t="s">
        <v>32</v>
      </c>
      <c r="D4567" t="s">
        <v>22</v>
      </c>
      <c r="E4567">
        <v>14</v>
      </c>
      <c r="F4567">
        <v>3</v>
      </c>
      <c r="G4567">
        <v>1</v>
      </c>
      <c r="H4567" s="1">
        <v>6.076388888888889E-3</v>
      </c>
      <c r="I4567" t="s">
        <v>23</v>
      </c>
      <c r="J4567" s="2" t="str">
        <f>HYPERLINK("https://www.nba.com/stats/events?CFID=&amp;CFPARAMS=&amp;GameEventID=46&amp;GameID=0021900051&amp;Season=2019-20&amp;flag=1&amp;title=[LAC]%20Leonard%20jumpshot:%20Made%20(8%20PTS)", "[LAC] Leonard jumpshot: Made (8 PTS)")</f>
        <v>[LAC] Leonard jumpshot: Made (8 PTS)</v>
      </c>
      <c r="K4567" s="2" t="str">
        <f>HYPERLINK("https://www.nba.com/game/...-vs-...-0021900051/play-by-play?watchFullGame=true", "LAC vs CHA - Q1 08:45.00")</f>
        <v>LAC vs CHA - Q1 08:45.00</v>
      </c>
      <c r="L4567">
        <v>16.850000000000001</v>
      </c>
      <c r="M4567">
        <v>90.85</v>
      </c>
      <c r="N4567">
        <v>82.77</v>
      </c>
      <c r="O4567">
        <v>164</v>
      </c>
      <c r="P4567">
        <v>34</v>
      </c>
    </row>
    <row r="4568" spans="1:16" x14ac:dyDescent="0.25">
      <c r="A4568">
        <v>21500364</v>
      </c>
      <c r="B4568">
        <v>2015</v>
      </c>
      <c r="C4568" t="s">
        <v>16</v>
      </c>
      <c r="D4568" t="s">
        <v>19</v>
      </c>
      <c r="E4568">
        <v>86</v>
      </c>
      <c r="F4568">
        <v>45</v>
      </c>
      <c r="G4568">
        <v>3</v>
      </c>
      <c r="H4568" s="1">
        <v>3.2986111111111111E-3</v>
      </c>
      <c r="I4568" t="s">
        <v>18</v>
      </c>
      <c r="J4568" s="2" t="str">
        <f>HYPERLINK("https://www.nba.com/stats/events?CFID=&amp;CFPARAMS=&amp;GameEventID=330&amp;GameID=0021500364&amp;Season=2015-16&amp;flag=1&amp;title=Leonard%2024'%203PT%20Jump%20Shot%20(22%20PTS)%20(Mills%201%20AST)", "Leonard 24' 3PT Jump Shot (22 PTS) (Mills 1 AST)")</f>
        <v>Leonard 24' 3PT Jump Shot (22 PTS) (Mills 1 AST)</v>
      </c>
      <c r="K4568" s="2" t="str">
        <f>HYPERLINK("https://www.nba.com/game/...-vs-...-0021500364/play-by-play?watchFullGame=true", "SAS vs UTA - Q3 04:45.00")</f>
        <v>SAS vs UTA - Q3 04:45.00</v>
      </c>
      <c r="L4568">
        <v>24</v>
      </c>
      <c r="M4568">
        <v>164</v>
      </c>
      <c r="N4568">
        <v>174</v>
      </c>
      <c r="O4568">
        <v>164</v>
      </c>
      <c r="P4568">
        <v>174</v>
      </c>
    </row>
    <row r="4569" spans="1:16" x14ac:dyDescent="0.25">
      <c r="A4569">
        <v>21500689</v>
      </c>
      <c r="B4569">
        <v>2015</v>
      </c>
      <c r="C4569" t="s">
        <v>16</v>
      </c>
      <c r="D4569" t="s">
        <v>19</v>
      </c>
      <c r="E4569">
        <v>3</v>
      </c>
      <c r="F4569">
        <v>2</v>
      </c>
      <c r="G4569">
        <v>1</v>
      </c>
      <c r="H4569" s="1">
        <v>7.8703703703703696E-3</v>
      </c>
      <c r="I4569" t="s">
        <v>18</v>
      </c>
      <c r="J4569" s="2" t="str">
        <f>HYPERLINK("https://www.nba.com/stats/events?CFID=&amp;CFPARAMS=&amp;GameEventID=3&amp;GameID=0021500689&amp;Season=2015-16&amp;flag=1&amp;title=Leonard%2025'%203PT%20Jump%20Shot%20(3%20PTS)%20(Aldridge%201%20AST)", "Leonard 25' 3PT Jump Shot (3 PTS) (Aldridge 1 AST)")</f>
        <v>Leonard 25' 3PT Jump Shot (3 PTS) (Aldridge 1 AST)</v>
      </c>
      <c r="K4569" s="2" t="str">
        <f>HYPERLINK("https://www.nba.com/game/...-vs-...-0021500689/play-by-play?watchFullGame=true", "SAS vs HOU - Q1 11:20.00")</f>
        <v>SAS vs HOU - Q1 11:20.00</v>
      </c>
      <c r="L4569">
        <v>25</v>
      </c>
      <c r="M4569">
        <v>164</v>
      </c>
      <c r="N4569">
        <v>188</v>
      </c>
      <c r="O4569">
        <v>164</v>
      </c>
      <c r="P4569">
        <v>188</v>
      </c>
    </row>
    <row r="4570" spans="1:16" x14ac:dyDescent="0.25">
      <c r="A4570">
        <v>21301054</v>
      </c>
      <c r="B4570">
        <v>2013</v>
      </c>
      <c r="C4570" t="s">
        <v>32</v>
      </c>
      <c r="D4570" t="s">
        <v>19</v>
      </c>
      <c r="E4570">
        <v>2</v>
      </c>
      <c r="F4570">
        <v>2</v>
      </c>
      <c r="G4570">
        <v>1</v>
      </c>
      <c r="H4570" s="1">
        <v>7.8472222222222224E-3</v>
      </c>
      <c r="I4570" t="s">
        <v>18</v>
      </c>
      <c r="J4570" s="2" t="str">
        <f>HYPERLINK("https://www.nba.com/stats/events?CFID=&amp;CFPARAMS=&amp;GameEventID=3&amp;GameID=0021301054&amp;Season=2013-14&amp;flag=1&amp;title=Leonard%2018'%20Jump%20Shot%20(2%20PTS)%20(Diaw%201%20AST)", "Leonard 18' Jump Shot (2 PTS) (Diaw 1 AST)")</f>
        <v>Leonard 18' Jump Shot (2 PTS) (Diaw 1 AST)</v>
      </c>
      <c r="K4570" s="2" t="str">
        <f>HYPERLINK("https://www.nba.com/game/...-vs-...-0021301054/play-by-play?watchFullGame=true", "SAS vs PHI - Q1 11:18.00")</f>
        <v>SAS vs PHI - Q1 11:18.00</v>
      </c>
      <c r="L4570">
        <v>18</v>
      </c>
      <c r="M4570">
        <v>165</v>
      </c>
      <c r="N4570">
        <v>75</v>
      </c>
      <c r="O4570">
        <v>165</v>
      </c>
      <c r="P4570">
        <v>75</v>
      </c>
    </row>
    <row r="4571" spans="1:16" x14ac:dyDescent="0.25">
      <c r="A4571">
        <v>21400714</v>
      </c>
      <c r="B4571">
        <v>2014</v>
      </c>
      <c r="C4571" t="s">
        <v>32</v>
      </c>
      <c r="D4571" t="s">
        <v>19</v>
      </c>
      <c r="E4571">
        <v>6</v>
      </c>
      <c r="F4571">
        <v>11</v>
      </c>
      <c r="G4571">
        <v>1</v>
      </c>
      <c r="H4571" s="1">
        <v>5.5208333333333333E-3</v>
      </c>
      <c r="I4571" t="s">
        <v>18</v>
      </c>
      <c r="J4571" s="2" t="str">
        <f>HYPERLINK("https://www.nba.com/stats/events?CFID=&amp;CFPARAMS=&amp;GameEventID=37&amp;GameID=0021400714&amp;Season=2014-15&amp;flag=1&amp;title=Leonard%2018'%20Jump%20Shot%20(2%20PTS)", "Leonard 18' Jump Shot (2 PTS)")</f>
        <v>Leonard 18' Jump Shot (2 PTS)</v>
      </c>
      <c r="K4571" s="2" t="str">
        <f>HYPERLINK("https://www.nba.com/game/...-vs-...-0021400714/play-by-play?watchFullGame=true", "SAS vs LAC - Q1 07:57.00")</f>
        <v>SAS vs LAC - Q1 07:57.00</v>
      </c>
      <c r="L4571">
        <v>18</v>
      </c>
      <c r="M4571">
        <v>165</v>
      </c>
      <c r="N4571">
        <v>77</v>
      </c>
      <c r="O4571">
        <v>165</v>
      </c>
      <c r="P4571">
        <v>77</v>
      </c>
    </row>
    <row r="4572" spans="1:16" x14ac:dyDescent="0.25">
      <c r="A4572">
        <v>22201196</v>
      </c>
      <c r="B4572">
        <v>2022</v>
      </c>
      <c r="C4572" t="s">
        <v>16</v>
      </c>
      <c r="D4572" t="s">
        <v>19</v>
      </c>
      <c r="E4572">
        <v>66</v>
      </c>
      <c r="F4572">
        <v>52</v>
      </c>
      <c r="G4572">
        <v>2</v>
      </c>
      <c r="H4572" s="1">
        <v>7.9861111111111116E-4</v>
      </c>
      <c r="I4572" t="s">
        <v>23</v>
      </c>
      <c r="J4572" s="2" t="str">
        <f>HYPERLINK("https://www.nba.com/stats/events?CFID=&amp;CFPARAMS=&amp;GameEventID=288&amp;GameID=0022201196&amp;Season=2022-23&amp;flag=1&amp;title=Leonard%2025'%203PT%20%20(14%20PTS)%20(R.%20Westbrook%204%20AST)", "25' 3PT  (14 PTS) (R. Westbrook 4 AST)")</f>
        <v>25' 3PT  (14 PTS) (R. Westbrook 4 AST)</v>
      </c>
      <c r="K4572" s="2" t="str">
        <f>HYPERLINK("https://www.nba.com/game/...-vs-...-0022201196/play-by-play?watchFullGame=true", "LAC vs LAL - Q2 01:09.00")</f>
        <v>LAC vs LAL - Q2 01:09.00</v>
      </c>
      <c r="L4572">
        <v>25.03</v>
      </c>
      <c r="M4572">
        <v>74.430000000000007</v>
      </c>
      <c r="N4572">
        <v>83.09</v>
      </c>
      <c r="O4572">
        <v>165</v>
      </c>
      <c r="P4572">
        <v>188</v>
      </c>
    </row>
    <row r="4573" spans="1:16" x14ac:dyDescent="0.25">
      <c r="A4573">
        <v>21900603</v>
      </c>
      <c r="B4573">
        <v>2019</v>
      </c>
      <c r="C4573" t="s">
        <v>16</v>
      </c>
      <c r="D4573" t="s">
        <v>22</v>
      </c>
      <c r="E4573">
        <v>44</v>
      </c>
      <c r="F4573">
        <v>38</v>
      </c>
      <c r="G4573">
        <v>2</v>
      </c>
      <c r="H4573" s="1">
        <v>4.7569444444444447E-3</v>
      </c>
      <c r="I4573" t="s">
        <v>23</v>
      </c>
      <c r="J4573" s="2" t="str">
        <f>HYPERLINK("https://www.nba.com/stats/events?CFID=&amp;CFPARAMS=&amp;GameEventID=217&amp;GameID=0021900603&amp;Season=2019-20&amp;flag=1&amp;title=Leonard%2026'%203PT%20%20(17%20PTS)%20(P.%20Beverley%206%20AST)", "26' 3PT  (17 PTS) (P. Beverley 6 AST)")</f>
        <v>26' 3PT  (17 PTS) (P. Beverley 6 AST)</v>
      </c>
      <c r="K4573" s="2" t="str">
        <f>HYPERLINK("https://www.nba.com/game/...-vs-...-0021900603/play-by-play?watchFullGame=true", "LAC vs CLE - Q2 06:51.00")</f>
        <v>LAC vs CLE - Q2 06:51.00</v>
      </c>
      <c r="L4573">
        <v>25.56</v>
      </c>
      <c r="M4573">
        <v>25.8</v>
      </c>
      <c r="N4573">
        <v>17.09</v>
      </c>
      <c r="O4573">
        <v>165</v>
      </c>
      <c r="P4573">
        <v>190</v>
      </c>
    </row>
    <row r="4574" spans="1:16" x14ac:dyDescent="0.25">
      <c r="A4574">
        <v>22300235</v>
      </c>
      <c r="B4574">
        <v>2023</v>
      </c>
      <c r="C4574" t="s">
        <v>16</v>
      </c>
      <c r="D4574" t="s">
        <v>19</v>
      </c>
      <c r="E4574">
        <v>8</v>
      </c>
      <c r="F4574">
        <v>13</v>
      </c>
      <c r="G4574">
        <v>1</v>
      </c>
      <c r="H4574" s="1">
        <v>4.5138888888888885E-3</v>
      </c>
      <c r="I4574" t="s">
        <v>23</v>
      </c>
      <c r="J4574" s="2" t="str">
        <f>HYPERLINK("https://www.nba.com/stats/events?CFID=&amp;CFPARAMS=&amp;GameEventID=57&amp;GameID=0022300235&amp;Season=2023-24&amp;flag=1&amp;title=Leonard%2025'%203PT%20running%20pullup%20(5%20PTS)%20(J.%20Harden%201%20AST)", "25' 3PT running pullup (5 PTS) (J. Harden 1 AST)")</f>
        <v>25' 3PT running pullup (5 PTS) (J. Harden 1 AST)</v>
      </c>
      <c r="K4574" s="2" t="str">
        <f>HYPERLINK("https://www.nba.com/game/...-vs-...-0022300235/play-by-play?watchFullGame=true", "LAC vs SAS - Q1 06:30.00")</f>
        <v>LAC vs SAS - Q1 06:30.00</v>
      </c>
      <c r="L4574">
        <v>25.2</v>
      </c>
      <c r="M4574">
        <v>74.2</v>
      </c>
      <c r="N4574">
        <v>83.09</v>
      </c>
      <c r="O4574">
        <v>165</v>
      </c>
      <c r="P4574">
        <v>190</v>
      </c>
    </row>
    <row r="4575" spans="1:16" x14ac:dyDescent="0.25">
      <c r="A4575">
        <v>41600231</v>
      </c>
      <c r="B4575" t="s">
        <v>30</v>
      </c>
      <c r="C4575" t="s">
        <v>32</v>
      </c>
      <c r="D4575" t="s">
        <v>29</v>
      </c>
      <c r="E4575">
        <v>13</v>
      </c>
      <c r="F4575">
        <v>23</v>
      </c>
      <c r="G4575">
        <v>1</v>
      </c>
      <c r="H4575" s="1">
        <v>2.8009259259259259E-3</v>
      </c>
      <c r="I4575" t="s">
        <v>18</v>
      </c>
      <c r="J4575" s="2" t="str">
        <f>HYPERLINK("https://www.nba.com/stats/events?CFID=&amp;CFPARAMS=&amp;GameEventID=73&amp;GameID=0041600231&amp;Season=2016-17&amp;flag=1&amp;title=Leonard%2017'%20Pullup%20Jump%20Shot%20(7%20PTS)%20(Ginobili%201%20AST)", "Leonard 17' Pullup Jump Shot (7 PTS) (Ginobili 1 AST)")</f>
        <v>Leonard 17' Pullup Jump Shot (7 PTS) (Ginobili 1 AST)</v>
      </c>
      <c r="K4575" s="2" t="str">
        <f>HYPERLINK("https://www.nba.com/game/...-vs-...-0041600231/play-by-play?watchFullGame=true", "SAS vs HOU - Q1 04:02.00")</f>
        <v>SAS vs HOU - Q1 04:02.00</v>
      </c>
      <c r="L4575">
        <v>17</v>
      </c>
      <c r="M4575">
        <v>166</v>
      </c>
      <c r="N4575">
        <v>-10</v>
      </c>
      <c r="O4575">
        <v>166</v>
      </c>
      <c r="P4575">
        <v>-10</v>
      </c>
    </row>
    <row r="4576" spans="1:16" x14ac:dyDescent="0.25">
      <c r="A4576">
        <v>21500207</v>
      </c>
      <c r="B4576">
        <v>2015</v>
      </c>
      <c r="C4576" t="s">
        <v>32</v>
      </c>
      <c r="D4576" t="s">
        <v>19</v>
      </c>
      <c r="E4576">
        <v>7</v>
      </c>
      <c r="F4576">
        <v>7</v>
      </c>
      <c r="G4576">
        <v>1</v>
      </c>
      <c r="H4576" s="1">
        <v>6.4120370370370373E-3</v>
      </c>
      <c r="I4576" t="s">
        <v>18</v>
      </c>
      <c r="J4576" s="2" t="str">
        <f>HYPERLINK("https://www.nba.com/stats/events?CFID=&amp;CFPARAMS=&amp;GameEventID=25&amp;GameID=0021500207&amp;Season=2015-16&amp;flag=1&amp;title=Leonard%2017'%20Jump%20Shot%20(7%20PTS)", "Leonard 17' Jump Shot (7 PTS)")</f>
        <v>Leonard 17' Jump Shot (7 PTS)</v>
      </c>
      <c r="K4576" s="2" t="str">
        <f>HYPERLINK("https://www.nba.com/game/...-vs-...-0021500207/play-by-play?watchFullGame=true", "SAS vs PHX - Q1 09:14.00")</f>
        <v>SAS vs PHX - Q1 09:14.00</v>
      </c>
      <c r="L4576">
        <v>17</v>
      </c>
      <c r="M4576">
        <v>166</v>
      </c>
      <c r="N4576">
        <v>-1</v>
      </c>
      <c r="O4576">
        <v>166</v>
      </c>
      <c r="P4576">
        <v>-1</v>
      </c>
    </row>
    <row r="4577" spans="1:16" x14ac:dyDescent="0.25">
      <c r="A4577">
        <v>21501043</v>
      </c>
      <c r="B4577">
        <v>2015</v>
      </c>
      <c r="C4577" t="s">
        <v>32</v>
      </c>
      <c r="D4577" t="s">
        <v>19</v>
      </c>
      <c r="E4577">
        <v>50</v>
      </c>
      <c r="F4577">
        <v>62</v>
      </c>
      <c r="G4577">
        <v>3</v>
      </c>
      <c r="H4577" s="1">
        <v>4.7453703703703703E-3</v>
      </c>
      <c r="I4577" t="s">
        <v>18</v>
      </c>
      <c r="J4577" s="2" t="str">
        <f>HYPERLINK("https://www.nba.com/stats/events?CFID=&amp;CFPARAMS=&amp;GameEventID=321&amp;GameID=0021501043&amp;Season=2015-16&amp;flag=1&amp;title=Leonard%2017'%20Jump%20Shot%20(9%20PTS)%20(Duncan%202%20AST)", "Leonard 17' Jump Shot (9 PTS) (Duncan 2 AST)")</f>
        <v>Leonard 17' Jump Shot (9 PTS) (Duncan 2 AST)</v>
      </c>
      <c r="K4577" s="2" t="str">
        <f>HYPERLINK("https://www.nba.com/game/...-vs-...-0021501043/play-by-play?watchFullGame=true", "SAS vs CHA - Q3 06:50.00")</f>
        <v>SAS vs CHA - Q3 06:50.00</v>
      </c>
      <c r="L4577">
        <v>17</v>
      </c>
      <c r="M4577">
        <v>166</v>
      </c>
      <c r="N4577">
        <v>31</v>
      </c>
      <c r="O4577">
        <v>166</v>
      </c>
      <c r="P4577">
        <v>31</v>
      </c>
    </row>
    <row r="4578" spans="1:16" x14ac:dyDescent="0.25">
      <c r="A4578">
        <v>41200236</v>
      </c>
      <c r="B4578" t="s">
        <v>27</v>
      </c>
      <c r="C4578" t="s">
        <v>32</v>
      </c>
      <c r="D4578" t="s">
        <v>29</v>
      </c>
      <c r="E4578">
        <v>67</v>
      </c>
      <c r="F4578">
        <v>74</v>
      </c>
      <c r="G4578">
        <v>4</v>
      </c>
      <c r="H4578" s="1">
        <v>5.8912037037037041E-3</v>
      </c>
      <c r="I4578" t="s">
        <v>18</v>
      </c>
      <c r="J4578" s="2" t="str">
        <f>HYPERLINK("https://www.nba.com/stats/events?CFID=&amp;CFPARAMS=&amp;GameEventID=421&amp;GameID=0041200236&amp;Season=2012-13&amp;flag=1&amp;title=Leonard%2017'%20Pullup%20Jump%20Shot%20(11%20PTS)%20(Parker%207%20AST)", "Leonard 17' Pullup Jump Shot (11 PTS) (Parker 7 AST)")</f>
        <v>Leonard 17' Pullup Jump Shot (11 PTS) (Parker 7 AST)</v>
      </c>
      <c r="K4578" s="2" t="str">
        <f>HYPERLINK("https://www.nba.com/game/...-vs-...-0041200236/play-by-play?watchFullGame=true", "SAS vs GSW - Q4 08:29.00")</f>
        <v>SAS vs GSW - Q4 08:29.00</v>
      </c>
      <c r="L4578">
        <v>17</v>
      </c>
      <c r="M4578">
        <v>166</v>
      </c>
      <c r="N4578">
        <v>47</v>
      </c>
      <c r="O4578">
        <v>166</v>
      </c>
      <c r="P4578">
        <v>47</v>
      </c>
    </row>
    <row r="4579" spans="1:16" x14ac:dyDescent="0.25">
      <c r="A4579">
        <v>21600994</v>
      </c>
      <c r="B4579">
        <v>2016</v>
      </c>
      <c r="C4579" t="s">
        <v>32</v>
      </c>
      <c r="D4579" t="s">
        <v>29</v>
      </c>
      <c r="E4579">
        <v>28</v>
      </c>
      <c r="F4579">
        <v>18</v>
      </c>
      <c r="G4579">
        <v>1</v>
      </c>
      <c r="H4579" s="1">
        <v>2.3148148148148148E-6</v>
      </c>
      <c r="I4579" t="s">
        <v>18</v>
      </c>
      <c r="J4579" s="2" t="str">
        <f>HYPERLINK("https://www.nba.com/stats/events?CFID=&amp;CFPARAMS=&amp;GameEventID=110&amp;GameID=0021600994&amp;Season=2016-17&amp;flag=1&amp;title=Leonard%2020'%20Pullup%20Jump%20Shot%20(11%20PTS)", "Leonard 20' Pullup Jump Shot (11 PTS)")</f>
        <v>Leonard 20' Pullup Jump Shot (11 PTS)</v>
      </c>
      <c r="K4579" s="2" t="str">
        <f>HYPERLINK("https://www.nba.com/game/...-vs-...-0021600994/play-by-play?watchFullGame=true", "SAS vs ATL - Q1 00:00.20")</f>
        <v>SAS vs ATL - Q1 00:00.20</v>
      </c>
      <c r="L4579">
        <v>20</v>
      </c>
      <c r="M4579">
        <v>166</v>
      </c>
      <c r="N4579">
        <v>115</v>
      </c>
      <c r="O4579">
        <v>166</v>
      </c>
      <c r="P4579">
        <v>115</v>
      </c>
    </row>
    <row r="4580" spans="1:16" x14ac:dyDescent="0.25">
      <c r="A4580">
        <v>21300465</v>
      </c>
      <c r="B4580">
        <v>2013</v>
      </c>
      <c r="C4580" t="s">
        <v>32</v>
      </c>
      <c r="D4580" t="s">
        <v>19</v>
      </c>
      <c r="E4580">
        <v>86</v>
      </c>
      <c r="F4580">
        <v>60</v>
      </c>
      <c r="G4580">
        <v>3</v>
      </c>
      <c r="H4580" s="1">
        <v>1.4814814814814814E-3</v>
      </c>
      <c r="I4580" t="s">
        <v>18</v>
      </c>
      <c r="J4580" s="2" t="str">
        <f>HYPERLINK("https://www.nba.com/stats/events?CFID=&amp;CFPARAMS=&amp;GameEventID=365&amp;GameID=0021300465&amp;Season=2013-14&amp;flag=1&amp;title=Leonard%2022'%20Jump%20Shot%20(6%20PTS)%20(Ayres%201%20AST)", "Leonard 22' Jump Shot (6 PTS) (Ayres 1 AST)")</f>
        <v>Leonard 22' Jump Shot (6 PTS) (Ayres 1 AST)</v>
      </c>
      <c r="K4580" s="2" t="str">
        <f>HYPERLINK("https://www.nba.com/game/...-vs-...-0021300465/play-by-play?watchFullGame=true", "SAS vs BKN - Q3 02:08.00")</f>
        <v>SAS vs BKN - Q3 02:08.00</v>
      </c>
      <c r="L4580">
        <v>22</v>
      </c>
      <c r="M4580">
        <v>166</v>
      </c>
      <c r="N4580">
        <v>151</v>
      </c>
      <c r="O4580">
        <v>166</v>
      </c>
      <c r="P4580">
        <v>151</v>
      </c>
    </row>
    <row r="4581" spans="1:16" x14ac:dyDescent="0.25">
      <c r="A4581">
        <v>41300222</v>
      </c>
      <c r="B4581" t="s">
        <v>26</v>
      </c>
      <c r="C4581" t="s">
        <v>16</v>
      </c>
      <c r="D4581" t="s">
        <v>19</v>
      </c>
      <c r="E4581">
        <v>77</v>
      </c>
      <c r="F4581">
        <v>59</v>
      </c>
      <c r="G4581">
        <v>3</v>
      </c>
      <c r="H4581" s="1">
        <v>5.4976851851851853E-3</v>
      </c>
      <c r="I4581" t="s">
        <v>18</v>
      </c>
      <c r="J4581" s="2" t="str">
        <f>HYPERLINK("https://www.nba.com/stats/events?CFID=&amp;CFPARAMS=&amp;GameEventID=292&amp;GameID=0041300222&amp;Season=2013-14&amp;flag=1&amp;title=Leonard%2025'%203PT%20Jump%20Shot%20(17%20PTS)", "Leonard 25' 3PT Jump Shot (17 PTS)")</f>
        <v>Leonard 25' 3PT Jump Shot (17 PTS)</v>
      </c>
      <c r="K4581" s="2" t="str">
        <f>HYPERLINK("https://www.nba.com/game/...-vs-...-0041300222/play-by-play?watchFullGame=true", "SAS vs POR - Q3 07:55.00")</f>
        <v>SAS vs POR - Q3 07:55.00</v>
      </c>
      <c r="L4581">
        <v>25</v>
      </c>
      <c r="M4581">
        <v>166</v>
      </c>
      <c r="N4581">
        <v>183</v>
      </c>
      <c r="O4581">
        <v>166</v>
      </c>
      <c r="P4581">
        <v>183</v>
      </c>
    </row>
    <row r="4582" spans="1:16" x14ac:dyDescent="0.25">
      <c r="A4582">
        <v>21601042</v>
      </c>
      <c r="B4582">
        <v>2016</v>
      </c>
      <c r="C4582" t="s">
        <v>16</v>
      </c>
      <c r="D4582" t="s">
        <v>19</v>
      </c>
      <c r="E4582">
        <v>38</v>
      </c>
      <c r="F4582">
        <v>34</v>
      </c>
      <c r="G4582">
        <v>2</v>
      </c>
      <c r="H4582" s="1">
        <v>4.8148148148148152E-3</v>
      </c>
      <c r="I4582" t="s">
        <v>18</v>
      </c>
      <c r="J4582" s="2" t="str">
        <f>HYPERLINK("https://www.nba.com/stats/events?CFID=&amp;CFPARAMS=&amp;GameEventID=193&amp;GameID=0021601042&amp;Season=2016-17&amp;flag=1&amp;title=Leonard%2025'%203PT%20Jump%20Shot%20(8%20PTS)%20(Parker%201%20AST)", "Leonard 25' 3PT Jump Shot (8 PTS) (Parker 1 AST)")</f>
        <v>Leonard 25' 3PT Jump Shot (8 PTS) (Parker 1 AST)</v>
      </c>
      <c r="K4582" s="2" t="str">
        <f>HYPERLINK("https://www.nba.com/game/...-vs-...-0021601042/play-by-play?watchFullGame=true", "SAS vs SAC - Q2 06:56.00")</f>
        <v>SAS vs SAC - Q2 06:56.00</v>
      </c>
      <c r="L4582">
        <v>25</v>
      </c>
      <c r="M4582">
        <v>166</v>
      </c>
      <c r="N4582">
        <v>185</v>
      </c>
      <c r="O4582">
        <v>166</v>
      </c>
      <c r="P4582">
        <v>185</v>
      </c>
    </row>
    <row r="4583" spans="1:16" x14ac:dyDescent="0.25">
      <c r="A4583">
        <v>21500516</v>
      </c>
      <c r="B4583">
        <v>2015</v>
      </c>
      <c r="C4583" t="s">
        <v>16</v>
      </c>
      <c r="D4583" t="s">
        <v>19</v>
      </c>
      <c r="E4583">
        <v>86</v>
      </c>
      <c r="F4583">
        <v>109</v>
      </c>
      <c r="G4583">
        <v>4</v>
      </c>
      <c r="H4583" s="1">
        <v>4.3055555555555555E-3</v>
      </c>
      <c r="I4583" t="s">
        <v>18</v>
      </c>
      <c r="J4583" s="2" t="str">
        <f>HYPERLINK("https://www.nba.com/stats/events?CFID=&amp;CFPARAMS=&amp;GameEventID=486&amp;GameID=0021500516&amp;Season=2015-16&amp;flag=1&amp;title=Leonard%2025'%203PT%20Jump%20Shot%20(24%20PTS)", "Leonard 25' 3PT Jump Shot (24 PTS)")</f>
        <v>Leonard 25' 3PT Jump Shot (24 PTS)</v>
      </c>
      <c r="K4583" s="2" t="str">
        <f>HYPERLINK("https://www.nba.com/game/...-vs-...-0021500516/play-by-play?watchFullGame=true", "SAS vs MIL - Q4 06:12.00")</f>
        <v>SAS vs MIL - Q4 06:12.00</v>
      </c>
      <c r="L4583">
        <v>25</v>
      </c>
      <c r="M4583">
        <v>166</v>
      </c>
      <c r="N4583">
        <v>193</v>
      </c>
      <c r="O4583">
        <v>166</v>
      </c>
      <c r="P4583">
        <v>193</v>
      </c>
    </row>
    <row r="4584" spans="1:16" x14ac:dyDescent="0.25">
      <c r="A4584">
        <v>21300039</v>
      </c>
      <c r="B4584">
        <v>2013</v>
      </c>
      <c r="C4584" t="s">
        <v>32</v>
      </c>
      <c r="D4584" t="s">
        <v>29</v>
      </c>
      <c r="E4584">
        <v>4</v>
      </c>
      <c r="F4584">
        <v>6</v>
      </c>
      <c r="G4584">
        <v>1</v>
      </c>
      <c r="H4584" s="1">
        <v>6.6087962962962966E-3</v>
      </c>
      <c r="I4584" t="s">
        <v>18</v>
      </c>
      <c r="J4584" s="2" t="str">
        <f>HYPERLINK("https://www.nba.com/stats/events?CFID=&amp;CFPARAMS=&amp;GameEventID=19&amp;GameID=0021300039&amp;Season=2013-14&amp;flag=1&amp;title=Leonard%2017'%20Pullup%20Jump%20Shot%20(2%20PTS)", "Leonard 17' Pullup Jump Shot (2 PTS)")</f>
        <v>Leonard 17' Pullup Jump Shot (2 PTS)</v>
      </c>
      <c r="K4584" s="2" t="str">
        <f>HYPERLINK("https://www.nba.com/game/...-vs-...-0021300039/play-by-play?watchFullGame=true", "SAS vs POR - Q1 09:31.00")</f>
        <v>SAS vs POR - Q1 09:31.00</v>
      </c>
      <c r="L4584">
        <v>17</v>
      </c>
      <c r="M4584">
        <v>168</v>
      </c>
      <c r="N4584">
        <v>0</v>
      </c>
      <c r="O4584">
        <v>168</v>
      </c>
      <c r="P4584">
        <v>0</v>
      </c>
    </row>
    <row r="4585" spans="1:16" x14ac:dyDescent="0.25">
      <c r="A4585">
        <v>21600053</v>
      </c>
      <c r="B4585">
        <v>2016</v>
      </c>
      <c r="C4585" t="s">
        <v>32</v>
      </c>
      <c r="D4585" t="s">
        <v>29</v>
      </c>
      <c r="E4585">
        <v>4</v>
      </c>
      <c r="F4585">
        <v>0</v>
      </c>
      <c r="G4585">
        <v>1</v>
      </c>
      <c r="H4585" s="1">
        <v>7.5810185185185182E-3</v>
      </c>
      <c r="I4585" t="s">
        <v>18</v>
      </c>
      <c r="J4585" s="2" t="str">
        <f>HYPERLINK("https://www.nba.com/stats/events?CFID=&amp;CFPARAMS=&amp;GameEventID=6&amp;GameID=0021600053&amp;Season=2016-17&amp;flag=1&amp;title=Leonard%2017'%20Pullup%20Jump%20Shot%20(2%20PTS)", "Leonard 17' Pullup Jump Shot (2 PTS)")</f>
        <v>Leonard 17' Pullup Jump Shot (2 PTS)</v>
      </c>
      <c r="K4585" s="2" t="str">
        <f>HYPERLINK("https://www.nba.com/game/...-vs-...-0021600053/play-by-play?watchFullGame=true", "SAS vs UTA - Q1 10:55.00")</f>
        <v>SAS vs UTA - Q1 10:55.00</v>
      </c>
      <c r="L4585">
        <v>17</v>
      </c>
      <c r="M4585">
        <v>168</v>
      </c>
      <c r="N4585">
        <v>7</v>
      </c>
      <c r="O4585">
        <v>168</v>
      </c>
      <c r="P4585">
        <v>7</v>
      </c>
    </row>
    <row r="4586" spans="1:16" x14ac:dyDescent="0.25">
      <c r="A4586">
        <v>21400875</v>
      </c>
      <c r="B4586">
        <v>2014</v>
      </c>
      <c r="C4586" t="s">
        <v>32</v>
      </c>
      <c r="D4586" t="s">
        <v>19</v>
      </c>
      <c r="E4586">
        <v>29</v>
      </c>
      <c r="F4586">
        <v>57</v>
      </c>
      <c r="G4586">
        <v>3</v>
      </c>
      <c r="H4586" s="1">
        <v>6.2037037037037035E-3</v>
      </c>
      <c r="I4586" t="s">
        <v>18</v>
      </c>
      <c r="J4586" s="2" t="str">
        <f>HYPERLINK("https://www.nba.com/stats/events?CFID=&amp;CFPARAMS=&amp;GameEventID=319&amp;GameID=0021400875&amp;Season=2014-15&amp;flag=1&amp;title=Leonard%2017'%20Jump%20Shot%20(15%20PTS)", "Leonard 17' Jump Shot (15 PTS)")</f>
        <v>Leonard 17' Jump Shot (15 PTS)</v>
      </c>
      <c r="K4586" s="2" t="str">
        <f>HYPERLINK("https://www.nba.com/game/...-vs-...-0021400875/play-by-play?watchFullGame=true", "SAS vs PHX - Q3 08:56.00")</f>
        <v>SAS vs PHX - Q3 08:56.00</v>
      </c>
      <c r="L4586">
        <v>17</v>
      </c>
      <c r="M4586">
        <v>168</v>
      </c>
      <c r="N4586">
        <v>15</v>
      </c>
      <c r="O4586">
        <v>168</v>
      </c>
      <c r="P4586">
        <v>15</v>
      </c>
    </row>
    <row r="4587" spans="1:16" x14ac:dyDescent="0.25">
      <c r="A4587">
        <v>21301127</v>
      </c>
      <c r="B4587">
        <v>2013</v>
      </c>
      <c r="C4587" t="s">
        <v>32</v>
      </c>
      <c r="D4587" t="s">
        <v>19</v>
      </c>
      <c r="E4587">
        <v>6</v>
      </c>
      <c r="F4587">
        <v>10</v>
      </c>
      <c r="G4587">
        <v>1</v>
      </c>
      <c r="H4587" s="1">
        <v>5.3935185185185188E-3</v>
      </c>
      <c r="I4587" t="s">
        <v>18</v>
      </c>
      <c r="J4587" s="2" t="str">
        <f>HYPERLINK("https://www.nba.com/stats/events?CFID=&amp;CFPARAMS=&amp;GameEventID=48&amp;GameID=0021301127&amp;Season=2013-14&amp;flag=1&amp;title=Leonard%2018'%20Jump%20Shot%20(4%20PTS)", "Leonard 18' Jump Shot (4 PTS)")</f>
        <v>Leonard 18' Jump Shot (4 PTS)</v>
      </c>
      <c r="K4587" s="2" t="str">
        <f>HYPERLINK("https://www.nba.com/game/...-vs-...-0021301127/play-by-play?watchFullGame=true", "SAS vs OKC - Q1 07:46.00")</f>
        <v>SAS vs OKC - Q1 07:46.00</v>
      </c>
      <c r="L4587">
        <v>18</v>
      </c>
      <c r="M4587">
        <v>168</v>
      </c>
      <c r="N4587">
        <v>50</v>
      </c>
      <c r="O4587">
        <v>168</v>
      </c>
      <c r="P4587">
        <v>50</v>
      </c>
    </row>
    <row r="4588" spans="1:16" x14ac:dyDescent="0.25">
      <c r="A4588">
        <v>21600412</v>
      </c>
      <c r="B4588">
        <v>2016</v>
      </c>
      <c r="C4588" t="s">
        <v>32</v>
      </c>
      <c r="D4588" t="s">
        <v>19</v>
      </c>
      <c r="E4588">
        <v>9</v>
      </c>
      <c r="F4588">
        <v>8</v>
      </c>
      <c r="G4588">
        <v>1</v>
      </c>
      <c r="H4588" s="1">
        <v>6.6782407407407407E-3</v>
      </c>
      <c r="I4588" t="s">
        <v>18</v>
      </c>
      <c r="J4588" s="2" t="str">
        <f>HYPERLINK("https://www.nba.com/stats/events?CFID=&amp;CFPARAMS=&amp;GameEventID=16&amp;GameID=0021600412&amp;Season=2016-17&amp;flag=1&amp;title=Leonard%2018'%20Jump%20Shot%20(5%20PTS)%20(Aldridge%201%20AST)", "Leonard 18' Jump Shot (5 PTS) (Aldridge 1 AST)")</f>
        <v>Leonard 18' Jump Shot (5 PTS) (Aldridge 1 AST)</v>
      </c>
      <c r="K4588" s="2" t="str">
        <f>HYPERLINK("https://www.nba.com/game/...-vs-...-0021600412/play-by-play?watchFullGame=true", "SAS vs NOP - Q1 09:37.00")</f>
        <v>SAS vs NOP - Q1 09:37.00</v>
      </c>
      <c r="L4588">
        <v>18</v>
      </c>
      <c r="M4588">
        <v>168</v>
      </c>
      <c r="N4588">
        <v>75</v>
      </c>
      <c r="O4588">
        <v>168</v>
      </c>
      <c r="P4588">
        <v>75</v>
      </c>
    </row>
    <row r="4589" spans="1:16" x14ac:dyDescent="0.25">
      <c r="A4589">
        <v>21601209</v>
      </c>
      <c r="B4589">
        <v>2016</v>
      </c>
      <c r="C4589" t="s">
        <v>16</v>
      </c>
      <c r="D4589" t="s">
        <v>29</v>
      </c>
      <c r="E4589">
        <v>50</v>
      </c>
      <c r="F4589">
        <v>46</v>
      </c>
      <c r="G4589">
        <v>3</v>
      </c>
      <c r="H4589" s="1">
        <v>7.743055555555556E-3</v>
      </c>
      <c r="I4589" t="s">
        <v>18</v>
      </c>
      <c r="J4589" s="2" t="str">
        <f>HYPERLINK("https://www.nba.com/stats/events?CFID=&amp;CFPARAMS=&amp;GameEventID=266&amp;GameID=0021601209&amp;Season=2016-17&amp;flag=1&amp;title=Leonard%2026'%203PT%20Pullup%20Jump%20Shot%20(12%20PTS)", "Leonard 26' 3PT Pullup Jump Shot (12 PTS)")</f>
        <v>Leonard 26' 3PT Pullup Jump Shot (12 PTS)</v>
      </c>
      <c r="K4589" s="2" t="str">
        <f>HYPERLINK("https://www.nba.com/game/...-vs-...-0021601209/play-by-play?watchFullGame=true", "SAS vs POR - Q3 11:09.00")</f>
        <v>SAS vs POR - Q3 11:09.00</v>
      </c>
      <c r="L4589">
        <v>26</v>
      </c>
      <c r="M4589">
        <v>168</v>
      </c>
      <c r="N4589">
        <v>193</v>
      </c>
      <c r="O4589">
        <v>168</v>
      </c>
      <c r="P4589">
        <v>193</v>
      </c>
    </row>
    <row r="4590" spans="1:16" x14ac:dyDescent="0.25">
      <c r="A4590">
        <v>22300568</v>
      </c>
      <c r="B4590">
        <v>2023</v>
      </c>
      <c r="C4590" t="s">
        <v>16</v>
      </c>
      <c r="D4590" t="s">
        <v>19</v>
      </c>
      <c r="E4590">
        <v>25</v>
      </c>
      <c r="F4590">
        <v>21</v>
      </c>
      <c r="G4590">
        <v>1</v>
      </c>
      <c r="H4590" s="1">
        <v>3.2523148148148147E-3</v>
      </c>
      <c r="I4590" t="s">
        <v>23</v>
      </c>
      <c r="J4590" s="2" t="str">
        <f>HYPERLINK("https://www.nba.com/stats/events?CFID=&amp;CFPARAMS=&amp;GameEventID=79&amp;GameID=0022300568&amp;Season=2023-24&amp;flag=1&amp;title=Leonard%2026'%203PT%20%20(8%20PTS)%20(P.%20George%202%20AST)", "26' 3PT  (8 PTS) (P. George 2 AST)")</f>
        <v>26' 3PT  (8 PTS) (P. George 2 AST)</v>
      </c>
      <c r="K4590" s="2" t="str">
        <f>HYPERLINK("https://www.nba.com/game/...-vs-...-0022300568/play-by-play?watchFullGame=true", "LAC vs OKC - Q1 04:41.00")</f>
        <v>LAC vs OKC - Q1 04:41.00</v>
      </c>
      <c r="L4590">
        <v>26.14</v>
      </c>
      <c r="M4590">
        <v>73.11</v>
      </c>
      <c r="N4590">
        <v>83.58</v>
      </c>
      <c r="O4590">
        <v>168</v>
      </c>
      <c r="P4590">
        <v>200</v>
      </c>
    </row>
    <row r="4591" spans="1:16" x14ac:dyDescent="0.25">
      <c r="A4591">
        <v>21600994</v>
      </c>
      <c r="B4591">
        <v>2016</v>
      </c>
      <c r="C4591" t="s">
        <v>32</v>
      </c>
      <c r="D4591" t="s">
        <v>19</v>
      </c>
      <c r="E4591">
        <v>6</v>
      </c>
      <c r="F4591">
        <v>8</v>
      </c>
      <c r="G4591">
        <v>1</v>
      </c>
      <c r="H4591" s="1">
        <v>5.138888888888889E-3</v>
      </c>
      <c r="I4591" t="s">
        <v>18</v>
      </c>
      <c r="J4591" s="2" t="str">
        <f>HYPERLINK("https://www.nba.com/stats/events?CFID=&amp;CFPARAMS=&amp;GameEventID=41&amp;GameID=0021600994&amp;Season=2016-17&amp;flag=1&amp;title=Leonard%2017'%20Jump%20Shot%20(2%20PTS)%20(Mills%202%20AST)", "Leonard 17' Jump Shot (2 PTS) (Mills 2 AST)")</f>
        <v>Leonard 17' Jump Shot (2 PTS) (Mills 2 AST)</v>
      </c>
      <c r="K4591" s="2" t="str">
        <f>HYPERLINK("https://www.nba.com/game/...-vs-...-0021600994/play-by-play?watchFullGame=true", "SAS vs ATL - Q1 07:24.00")</f>
        <v>SAS vs ATL - Q1 07:24.00</v>
      </c>
      <c r="L4591">
        <v>17</v>
      </c>
      <c r="M4591">
        <v>169</v>
      </c>
      <c r="N4591">
        <v>21</v>
      </c>
      <c r="O4591">
        <v>169</v>
      </c>
      <c r="P4591">
        <v>21</v>
      </c>
    </row>
    <row r="4592" spans="1:16" x14ac:dyDescent="0.25">
      <c r="A4592">
        <v>41800306</v>
      </c>
      <c r="B4592" t="s">
        <v>20</v>
      </c>
      <c r="C4592" t="s">
        <v>32</v>
      </c>
      <c r="D4592" t="s">
        <v>29</v>
      </c>
      <c r="E4592">
        <v>34</v>
      </c>
      <c r="F4592">
        <v>41</v>
      </c>
      <c r="G4592">
        <v>2</v>
      </c>
      <c r="H4592" s="1">
        <v>2.2569444444444442E-3</v>
      </c>
      <c r="I4592" t="s">
        <v>21</v>
      </c>
      <c r="J4592" s="2" t="str">
        <f>HYPERLINK("https://www.nba.com/stats/events?CFID=&amp;CFPARAMS=&amp;GameEventID=270&amp;GameID=0041800306&amp;Season=2018-19&amp;flag=1&amp;title=Leonard%2023'%20Pullup%20Jump%20Shot%20(8%20PTS)", "Leonard 23' Pullup Jump Shot (8 PTS)")</f>
        <v>Leonard 23' Pullup Jump Shot (8 PTS)</v>
      </c>
      <c r="K4592" s="2" t="str">
        <f>HYPERLINK("https://www.nba.com/game/...-vs-...-0041800306/play-by-play?watchFullGame=true", "TOR vs MIL - Q2 03:15.00")</f>
        <v>TOR vs MIL - Q2 03:15.00</v>
      </c>
      <c r="L4592">
        <v>23</v>
      </c>
      <c r="M4592">
        <v>169</v>
      </c>
      <c r="N4592">
        <v>153</v>
      </c>
      <c r="O4592">
        <v>169</v>
      </c>
      <c r="P4592">
        <v>153</v>
      </c>
    </row>
    <row r="4593" spans="1:16" x14ac:dyDescent="0.25">
      <c r="A4593">
        <v>21300514</v>
      </c>
      <c r="B4593">
        <v>2013</v>
      </c>
      <c r="C4593" t="s">
        <v>32</v>
      </c>
      <c r="D4593" t="s">
        <v>29</v>
      </c>
      <c r="E4593">
        <v>33</v>
      </c>
      <c r="F4593">
        <v>43</v>
      </c>
      <c r="G4593">
        <v>2</v>
      </c>
      <c r="H4593" s="1">
        <v>2.2685185185185187E-3</v>
      </c>
      <c r="I4593" t="s">
        <v>18</v>
      </c>
      <c r="J4593" s="2" t="str">
        <f>HYPERLINK("https://www.nba.com/stats/events?CFID=&amp;CFPARAMS=&amp;GameEventID=191&amp;GameID=0021300514&amp;Season=2013-14&amp;flag=1&amp;title=Leonard%2017'%20Pullup%20Jump%20Shot%20(9%20PTS)", "Leonard 17' Pullup Jump Shot (9 PTS)")</f>
        <v>Leonard 17' Pullup Jump Shot (9 PTS)</v>
      </c>
      <c r="K4593" s="2" t="str">
        <f>HYPERLINK("https://www.nba.com/game/...-vs-...-0021300514/play-by-play?watchFullGame=true", "SAS vs MEM - Q2 03:16.00")</f>
        <v>SAS vs MEM - Q2 03:16.00</v>
      </c>
      <c r="L4593">
        <v>17</v>
      </c>
      <c r="M4593">
        <v>170</v>
      </c>
      <c r="N4593">
        <v>0</v>
      </c>
      <c r="O4593">
        <v>170</v>
      </c>
      <c r="P4593">
        <v>0</v>
      </c>
    </row>
    <row r="4594" spans="1:16" x14ac:dyDescent="0.25">
      <c r="A4594">
        <v>21400139</v>
      </c>
      <c r="B4594">
        <v>2014</v>
      </c>
      <c r="C4594" t="s">
        <v>32</v>
      </c>
      <c r="D4594" t="s">
        <v>19</v>
      </c>
      <c r="E4594">
        <v>2</v>
      </c>
      <c r="F4594">
        <v>2</v>
      </c>
      <c r="G4594">
        <v>1</v>
      </c>
      <c r="H4594" s="1">
        <v>6.9212962962962961E-3</v>
      </c>
      <c r="I4594" t="s">
        <v>18</v>
      </c>
      <c r="J4594" s="2" t="str">
        <f>HYPERLINK("https://www.nba.com/stats/events?CFID=&amp;CFPARAMS=&amp;GameEventID=18&amp;GameID=0021400139&amp;Season=2014-15&amp;flag=1&amp;title=Leonard%2019'%20Jump%20Shot%20(2%20PTS)%20(Baynes%201%20AST)", "Leonard 19' Jump Shot (2 PTS) (Baynes 1 AST)")</f>
        <v>Leonard 19' Jump Shot (2 PTS) (Baynes 1 AST)</v>
      </c>
      <c r="K4594" s="2" t="str">
        <f>HYPERLINK("https://www.nba.com/game/...-vs-...-0021400139/play-by-play?watchFullGame=true", "SAS vs SAC - Q1 09:58.00")</f>
        <v>SAS vs SAC - Q1 09:58.00</v>
      </c>
      <c r="L4594">
        <v>19</v>
      </c>
      <c r="M4594">
        <v>170</v>
      </c>
      <c r="N4594">
        <v>83</v>
      </c>
      <c r="O4594">
        <v>170</v>
      </c>
      <c r="P4594">
        <v>83</v>
      </c>
    </row>
    <row r="4595" spans="1:16" x14ac:dyDescent="0.25">
      <c r="A4595">
        <v>21400663</v>
      </c>
      <c r="B4595">
        <v>2014</v>
      </c>
      <c r="C4595" t="s">
        <v>16</v>
      </c>
      <c r="D4595" t="s">
        <v>19</v>
      </c>
      <c r="E4595">
        <v>5</v>
      </c>
      <c r="F4595">
        <v>4</v>
      </c>
      <c r="G4595">
        <v>1</v>
      </c>
      <c r="H4595" s="1">
        <v>6.8171296296296296E-3</v>
      </c>
      <c r="I4595" t="s">
        <v>18</v>
      </c>
      <c r="J4595" s="2" t="str">
        <f>HYPERLINK("https://www.nba.com/stats/events?CFID=&amp;CFPARAMS=&amp;GameEventID=14&amp;GameID=0021400663&amp;Season=2014-15&amp;flag=1&amp;title=Leonard%2025'%203PT%20Jump%20Shot%20(3%20PTS)%20(Bonner%201%20AST)", "Leonard 25' 3PT Jump Shot (3 PTS) (Bonner 1 AST)")</f>
        <v>Leonard 25' 3PT Jump Shot (3 PTS) (Bonner 1 AST)</v>
      </c>
      <c r="K4595" s="2" t="str">
        <f>HYPERLINK("https://www.nba.com/game/...-vs-...-0021400663/play-by-play?watchFullGame=true", "SAS vs MIL - Q1 09:49.00")</f>
        <v>SAS vs MIL - Q1 09:49.00</v>
      </c>
      <c r="L4595">
        <v>25</v>
      </c>
      <c r="M4595">
        <v>170</v>
      </c>
      <c r="N4595">
        <v>183</v>
      </c>
      <c r="O4595">
        <v>170</v>
      </c>
      <c r="P4595">
        <v>183</v>
      </c>
    </row>
    <row r="4596" spans="1:16" x14ac:dyDescent="0.25">
      <c r="A4596">
        <v>22400874</v>
      </c>
      <c r="B4596">
        <v>2024</v>
      </c>
      <c r="C4596" t="s">
        <v>16</v>
      </c>
      <c r="D4596" t="s">
        <v>19</v>
      </c>
      <c r="E4596">
        <v>107</v>
      </c>
      <c r="F4596">
        <v>102</v>
      </c>
      <c r="G4596">
        <v>4</v>
      </c>
      <c r="H4596" s="1">
        <v>1.1574074074074073E-3</v>
      </c>
      <c r="I4596" t="s">
        <v>23</v>
      </c>
      <c r="J4596" s="2" t="str">
        <f>HYPERLINK("https://www.nba.com/stats/events?CFID=&amp;CFPARAMS=&amp;GameEventID=587&amp;GameID=0022400874&amp;Season=2024-25&amp;flag=1&amp;title=Leonard%2026'%203PT%20running%20(33%20PTS)%20(J.%20Harden%208%20AST)", "26' 3PT running (33 PTS) (J. Harden 8 AST)")</f>
        <v>26' 3PT running (33 PTS) (J. Harden 8 AST)</v>
      </c>
      <c r="K4596" s="2" t="str">
        <f>HYPERLINK("https://www.nba.com/game/...-vs-...-0022400874/play-by-play?watchFullGame=true", "LAC vs LAL - Q4 01:40.00")</f>
        <v>LAC vs LAL - Q4 01:40.00</v>
      </c>
      <c r="L4596">
        <v>26.08</v>
      </c>
      <c r="M4596">
        <v>26.59</v>
      </c>
      <c r="N4596">
        <v>15.93</v>
      </c>
      <c r="O4596">
        <v>170</v>
      </c>
      <c r="P4596">
        <v>197</v>
      </c>
    </row>
    <row r="4597" spans="1:16" x14ac:dyDescent="0.25">
      <c r="A4597">
        <v>21601099</v>
      </c>
      <c r="B4597">
        <v>2016</v>
      </c>
      <c r="C4597" t="s">
        <v>32</v>
      </c>
      <c r="D4597" t="s">
        <v>31</v>
      </c>
      <c r="E4597">
        <v>6</v>
      </c>
      <c r="F4597">
        <v>7</v>
      </c>
      <c r="G4597">
        <v>1</v>
      </c>
      <c r="H4597" s="1">
        <v>5.9953703703703705E-3</v>
      </c>
      <c r="I4597" t="s">
        <v>18</v>
      </c>
      <c r="J4597" s="2" t="str">
        <f>HYPERLINK("https://www.nba.com/stats/events?CFID=&amp;CFPARAMS=&amp;GameEventID=26&amp;GameID=0021601099&amp;Season=2016-17&amp;flag=1&amp;title=Leonard%2017'%20Step%20Back%20Jump%20Shot%20(2%20PTS)%20(Aldridge%202%20AST)", "Leonard 17' Step Back Jump Shot (2 PTS) (Aldridge 2 AST)")</f>
        <v>Leonard 17' Step Back Jump Shot (2 PTS) (Aldridge 2 AST)</v>
      </c>
      <c r="K4597" s="2" t="str">
        <f>HYPERLINK("https://www.nba.com/game/...-vs-...-0021601099/play-by-play?watchFullGame=true", "SAS vs CLE - Q1 08:38.00")</f>
        <v>SAS vs CLE - Q1 08:38.00</v>
      </c>
      <c r="L4597">
        <v>17</v>
      </c>
      <c r="M4597">
        <v>171</v>
      </c>
      <c r="N4597">
        <v>-6</v>
      </c>
      <c r="O4597">
        <v>171</v>
      </c>
      <c r="P4597">
        <v>-6</v>
      </c>
    </row>
    <row r="4598" spans="1:16" x14ac:dyDescent="0.25">
      <c r="A4598">
        <v>21900157</v>
      </c>
      <c r="B4598">
        <v>2019</v>
      </c>
      <c r="C4598" t="s">
        <v>32</v>
      </c>
      <c r="D4598" t="s">
        <v>22</v>
      </c>
      <c r="E4598">
        <v>31</v>
      </c>
      <c r="F4598">
        <v>17</v>
      </c>
      <c r="G4598">
        <v>2</v>
      </c>
      <c r="H4598" s="1">
        <v>8.1481481481481474E-3</v>
      </c>
      <c r="I4598" t="s">
        <v>23</v>
      </c>
      <c r="J4598" s="2" t="str">
        <f>HYPERLINK("https://www.nba.com/stats/events?CFID=&amp;CFPARAMS=&amp;GameEventID=189&amp;GameID=0021900157&amp;Season=2019-20&amp;flag=1&amp;title=Leonard%2022'%20jumpshot%20(7%20PTS)%20(L.%20Williams%201%20AST)", "22' jumpshot (7 PTS) (L. Williams 1 AST)")</f>
        <v>22' jumpshot (7 PTS) (L. Williams 1 AST)</v>
      </c>
      <c r="K4598" s="2" t="str">
        <f>HYPERLINK("https://www.nba.com/game/...-vs-...-0021900157/play-by-play?watchFullGame=true", "LAC vs HOU - Q2 11:44.00")</f>
        <v>LAC vs HOU - Q2 11:44.00</v>
      </c>
      <c r="L4598">
        <v>21.75</v>
      </c>
      <c r="M4598">
        <v>80.73</v>
      </c>
      <c r="N4598">
        <v>84.24</v>
      </c>
      <c r="O4598">
        <v>171</v>
      </c>
      <c r="P4598">
        <v>129</v>
      </c>
    </row>
    <row r="4599" spans="1:16" x14ac:dyDescent="0.25">
      <c r="A4599">
        <v>21501063</v>
      </c>
      <c r="B4599">
        <v>2015</v>
      </c>
      <c r="C4599" t="s">
        <v>16</v>
      </c>
      <c r="D4599" t="s">
        <v>29</v>
      </c>
      <c r="E4599">
        <v>43</v>
      </c>
      <c r="F4599">
        <v>34</v>
      </c>
      <c r="G4599">
        <v>2</v>
      </c>
      <c r="H4599" s="1">
        <v>4.4907407407407405E-3</v>
      </c>
      <c r="I4599" t="s">
        <v>18</v>
      </c>
      <c r="J4599" s="2" t="str">
        <f>HYPERLINK("https://www.nba.com/stats/events?CFID=&amp;CFPARAMS=&amp;GameEventID=178&amp;GameID=0021501063&amp;Season=2015-16&amp;flag=1&amp;title=Leonard%2024'%203PT%20Pullup%20Jump%20Shot%20(13%20PTS)", "Leonard 24' 3PT Pullup Jump Shot (13 PTS)")</f>
        <v>Leonard 24' 3PT Pullup Jump Shot (13 PTS)</v>
      </c>
      <c r="K4599" s="2" t="str">
        <f>HYPERLINK("https://www.nba.com/game/...-vs-...-0021501063/play-by-play?watchFullGame=true", "SAS vs MIA - Q2 06:28.00")</f>
        <v>SAS vs MIA - Q2 06:28.00</v>
      </c>
      <c r="L4599">
        <v>24</v>
      </c>
      <c r="M4599">
        <v>171</v>
      </c>
      <c r="N4599">
        <v>175</v>
      </c>
      <c r="O4599">
        <v>171</v>
      </c>
      <c r="P4599">
        <v>175</v>
      </c>
    </row>
    <row r="4600" spans="1:16" x14ac:dyDescent="0.25">
      <c r="A4600">
        <v>21400354</v>
      </c>
      <c r="B4600">
        <v>2014</v>
      </c>
      <c r="C4600" t="s">
        <v>32</v>
      </c>
      <c r="D4600" t="s">
        <v>19</v>
      </c>
      <c r="E4600">
        <v>38</v>
      </c>
      <c r="F4600">
        <v>55</v>
      </c>
      <c r="G4600">
        <v>3</v>
      </c>
      <c r="H4600" s="1">
        <v>5.3125000000000004E-3</v>
      </c>
      <c r="I4600" t="s">
        <v>18</v>
      </c>
      <c r="J4600" s="2" t="str">
        <f>HYPERLINK("https://www.nba.com/stats/events?CFID=&amp;CFPARAMS=&amp;GameEventID=306&amp;GameID=0021400354&amp;Season=2014-15&amp;flag=1&amp;title=Leonard%2017'%20Jump%20Shot%20(10%20PTS)", "Leonard 17' Jump Shot (10 PTS)")</f>
        <v>Leonard 17' Jump Shot (10 PTS)</v>
      </c>
      <c r="K4600" s="2" t="str">
        <f>HYPERLINK("https://www.nba.com/game/...-vs-...-0021400354/play-by-play?watchFullGame=true", "SAS vs DEN - Q3 07:39.00")</f>
        <v>SAS vs DEN - Q3 07:39.00</v>
      </c>
      <c r="L4600">
        <v>17</v>
      </c>
      <c r="M4600">
        <v>173</v>
      </c>
      <c r="N4600">
        <v>17</v>
      </c>
      <c r="O4600">
        <v>173</v>
      </c>
      <c r="P4600">
        <v>17</v>
      </c>
    </row>
    <row r="4601" spans="1:16" x14ac:dyDescent="0.25">
      <c r="A4601">
        <v>21600289</v>
      </c>
      <c r="B4601">
        <v>2016</v>
      </c>
      <c r="C4601" t="s">
        <v>32</v>
      </c>
      <c r="D4601" t="s">
        <v>19</v>
      </c>
      <c r="E4601">
        <v>40</v>
      </c>
      <c r="F4601">
        <v>47</v>
      </c>
      <c r="G4601">
        <v>2</v>
      </c>
      <c r="H4601" s="1">
        <v>3.5300925925925925E-3</v>
      </c>
      <c r="I4601" t="s">
        <v>18</v>
      </c>
      <c r="J4601" s="2" t="str">
        <f>HYPERLINK("https://www.nba.com/stats/events?CFID=&amp;CFPARAMS=&amp;GameEventID=204&amp;GameID=0021600289&amp;Season=2016-17&amp;flag=1&amp;title=Leonard%2017'%20Jump%20Shot%20(10%20PTS)", "Leonard 17' Jump Shot (10 PTS)")</f>
        <v>Leonard 17' Jump Shot (10 PTS)</v>
      </c>
      <c r="K4601" s="2" t="str">
        <f>HYPERLINK("https://www.nba.com/game/...-vs-...-0021600289/play-by-play?watchFullGame=true", "SAS vs WAS - Q2 05:05.00")</f>
        <v>SAS vs WAS - Q2 05:05.00</v>
      </c>
      <c r="L4601">
        <v>17</v>
      </c>
      <c r="M4601">
        <v>173</v>
      </c>
      <c r="N4601">
        <v>21</v>
      </c>
      <c r="O4601">
        <v>173</v>
      </c>
      <c r="P4601">
        <v>21</v>
      </c>
    </row>
    <row r="4602" spans="1:16" x14ac:dyDescent="0.25">
      <c r="A4602">
        <v>21500235</v>
      </c>
      <c r="B4602">
        <v>2015</v>
      </c>
      <c r="C4602" t="s">
        <v>32</v>
      </c>
      <c r="D4602" t="s">
        <v>29</v>
      </c>
      <c r="E4602">
        <v>56</v>
      </c>
      <c r="F4602">
        <v>65</v>
      </c>
      <c r="G4602">
        <v>3</v>
      </c>
      <c r="H4602" s="1">
        <v>1.9560185185185184E-3</v>
      </c>
      <c r="I4602" t="s">
        <v>18</v>
      </c>
      <c r="J4602" s="2" t="str">
        <f>HYPERLINK("https://www.nba.com/stats/events?CFID=&amp;CFPARAMS=&amp;GameEventID=331&amp;GameID=0021500235&amp;Season=2015-16&amp;flag=1&amp;title=Leonard%2017'%20Pullup%20Jump%20Shot%20(25%20PTS)", "Leonard 17' Pullup Jump Shot (25 PTS)")</f>
        <v>Leonard 17' Pullup Jump Shot (25 PTS)</v>
      </c>
      <c r="K4602" s="2" t="str">
        <f>HYPERLINK("https://www.nba.com/game/...-vs-...-0021500235/play-by-play?watchFullGame=true", "SAS vs DEN - Q3 02:49.00")</f>
        <v>SAS vs DEN - Q3 02:49.00</v>
      </c>
      <c r="L4602">
        <v>17</v>
      </c>
      <c r="M4602">
        <v>173</v>
      </c>
      <c r="N4602">
        <v>23</v>
      </c>
      <c r="O4602">
        <v>173</v>
      </c>
      <c r="P4602">
        <v>23</v>
      </c>
    </row>
    <row r="4603" spans="1:16" x14ac:dyDescent="0.25">
      <c r="A4603">
        <v>21600902</v>
      </c>
      <c r="B4603">
        <v>2016</v>
      </c>
      <c r="C4603" t="s">
        <v>16</v>
      </c>
      <c r="D4603" t="s">
        <v>19</v>
      </c>
      <c r="E4603">
        <v>58</v>
      </c>
      <c r="F4603">
        <v>58</v>
      </c>
      <c r="G4603">
        <v>3</v>
      </c>
      <c r="H4603" s="1">
        <v>4.8032407407407407E-3</v>
      </c>
      <c r="I4603" t="s">
        <v>18</v>
      </c>
      <c r="J4603" s="2" t="str">
        <f>HYPERLINK("https://www.nba.com/stats/events?CFID=&amp;CFPARAMS=&amp;GameEventID=320&amp;GameID=0021600902&amp;Season=2016-17&amp;flag=1&amp;title=Leonard%2025'%203PT%20Jump%20Shot%20(20%20PTS)%20(Mills%204%20AST)", "Leonard 25' 3PT Jump Shot (20 PTS) (Mills 4 AST)")</f>
        <v>Leonard 25' 3PT Jump Shot (20 PTS) (Mills 4 AST)</v>
      </c>
      <c r="K4603" s="2" t="str">
        <f>HYPERLINK("https://www.nba.com/game/...-vs-...-0021600902/play-by-play?watchFullGame=true", "SAS vs IND - Q3 06:55.00")</f>
        <v>SAS vs IND - Q3 06:55.00</v>
      </c>
      <c r="L4603">
        <v>25</v>
      </c>
      <c r="M4603">
        <v>173</v>
      </c>
      <c r="N4603">
        <v>178</v>
      </c>
      <c r="O4603">
        <v>173</v>
      </c>
      <c r="P4603">
        <v>178</v>
      </c>
    </row>
    <row r="4604" spans="1:16" x14ac:dyDescent="0.25">
      <c r="A4604">
        <v>22300074</v>
      </c>
      <c r="B4604">
        <v>2023</v>
      </c>
      <c r="C4604" t="s">
        <v>16</v>
      </c>
      <c r="D4604" t="s">
        <v>19</v>
      </c>
      <c r="E4604">
        <v>60</v>
      </c>
      <c r="F4604">
        <v>40</v>
      </c>
      <c r="G4604">
        <v>2</v>
      </c>
      <c r="H4604" s="1">
        <v>1.9097222222222222E-3</v>
      </c>
      <c r="I4604" t="s">
        <v>23</v>
      </c>
      <c r="J4604" s="2" t="str">
        <f>HYPERLINK("https://www.nba.com/stats/events?CFID=&amp;CFPARAMS=&amp;GameEventID=302&amp;GameID=0022300074&amp;Season=2023-24&amp;flag=1&amp;title=Leonard%2025'%203PT%20pullup%20(8%20PTS)", "25' 3PT pullup (8 PTS)")</f>
        <v>25' 3PT pullup (8 PTS)</v>
      </c>
      <c r="K4604" s="2" t="str">
        <f>HYPERLINK("https://www.nba.com/game/...-vs-...-0022300074/play-by-play?watchFullGame=true", "LAC vs POR - Q2 02:45.00")</f>
        <v>LAC vs POR - Q2 02:45.00</v>
      </c>
      <c r="L4604">
        <v>25.26</v>
      </c>
      <c r="M4604">
        <v>74.819999999999993</v>
      </c>
      <c r="N4604">
        <v>84.56</v>
      </c>
      <c r="O4604">
        <v>173</v>
      </c>
      <c r="P4604">
        <v>184</v>
      </c>
    </row>
    <row r="4605" spans="1:16" x14ac:dyDescent="0.25">
      <c r="A4605">
        <v>22200745</v>
      </c>
      <c r="B4605">
        <v>2022</v>
      </c>
      <c r="C4605" t="s">
        <v>16</v>
      </c>
      <c r="D4605" t="s">
        <v>19</v>
      </c>
      <c r="E4605">
        <v>70</v>
      </c>
      <c r="F4605">
        <v>79</v>
      </c>
      <c r="G4605">
        <v>3</v>
      </c>
      <c r="H4605" s="1">
        <v>2.7546296296296294E-3</v>
      </c>
      <c r="I4605" t="s">
        <v>23</v>
      </c>
      <c r="J4605" s="2" t="str">
        <f>HYPERLINK("https://www.nba.com/stats/events?CFID=&amp;CFPARAMS=&amp;GameEventID=374&amp;GameID=0022200745&amp;Season=2022-23&amp;flag=1&amp;title=Leonard%2025'%203PT%20pullup%20(22%20PTS)", "25' 3PT pullup (22 PTS)")</f>
        <v>25' 3PT pullup (22 PTS)</v>
      </c>
      <c r="K4605" s="2" t="str">
        <f>HYPERLINK("https://www.nba.com/game/...-vs-...-0022200745/play-by-play?watchFullGame=true", "LAC vs ATL - Q3 03:58.00")</f>
        <v>LAC vs ATL - Q3 03:58.00</v>
      </c>
      <c r="L4605">
        <v>25.26</v>
      </c>
      <c r="M4605">
        <v>25.18</v>
      </c>
      <c r="N4605">
        <v>15.44</v>
      </c>
      <c r="O4605">
        <v>173</v>
      </c>
      <c r="P4605">
        <v>184</v>
      </c>
    </row>
    <row r="4606" spans="1:16" x14ac:dyDescent="0.25">
      <c r="A4606">
        <v>41300405</v>
      </c>
      <c r="B4606" t="s">
        <v>26</v>
      </c>
      <c r="C4606" t="s">
        <v>16</v>
      </c>
      <c r="D4606" t="s">
        <v>19</v>
      </c>
      <c r="E4606">
        <v>15</v>
      </c>
      <c r="F4606">
        <v>22</v>
      </c>
      <c r="G4606">
        <v>1</v>
      </c>
      <c r="H4606" s="1">
        <v>2.8240740740740739E-3</v>
      </c>
      <c r="I4606" t="s">
        <v>18</v>
      </c>
      <c r="J4606" s="2" t="str">
        <f>HYPERLINK("https://www.nba.com/stats/events?CFID=&amp;CFPARAMS=&amp;GameEventID=88&amp;GameID=0041300405&amp;Season=2013-14&amp;flag=1&amp;title=Leonard%2026'%203PT%20Jump%20Shot%20(6%20PTS)%20(Ginobili%201%20AST)", "Leonard 26' 3PT Jump Shot (6 PTS) (Ginobili 1 AST)")</f>
        <v>Leonard 26' 3PT Jump Shot (6 PTS) (Ginobili 1 AST)</v>
      </c>
      <c r="K4606" s="2" t="str">
        <f>HYPERLINK("https://www.nba.com/game/...-vs-...-0041300405/play-by-play?watchFullGame=true", "SAS vs MIA - Q1 04:04.00")</f>
        <v>SAS vs MIA - Q1 04:04.00</v>
      </c>
      <c r="L4606">
        <v>26</v>
      </c>
      <c r="M4606">
        <v>173</v>
      </c>
      <c r="N4606">
        <v>190</v>
      </c>
      <c r="O4606">
        <v>173</v>
      </c>
      <c r="P4606">
        <v>190</v>
      </c>
    </row>
    <row r="4607" spans="1:16" x14ac:dyDescent="0.25">
      <c r="A4607">
        <v>21600605</v>
      </c>
      <c r="B4607">
        <v>2016</v>
      </c>
      <c r="C4607" t="s">
        <v>16</v>
      </c>
      <c r="D4607" t="s">
        <v>19</v>
      </c>
      <c r="E4607">
        <v>32</v>
      </c>
      <c r="F4607">
        <v>37</v>
      </c>
      <c r="G4607">
        <v>2</v>
      </c>
      <c r="H4607" s="1">
        <v>6.5972222222222222E-3</v>
      </c>
      <c r="I4607" t="s">
        <v>18</v>
      </c>
      <c r="J4607" s="2" t="str">
        <f>HYPERLINK("https://www.nba.com/stats/events?CFID=&amp;CFPARAMS=&amp;GameEventID=159&amp;GameID=0021600605&amp;Season=2016-17&amp;flag=1&amp;title=Leonard%2026'%203PT%20Jump%20Shot%20(7%20PTS)%20(Aldridge%201%20AST)", "Leonard 26' 3PT Jump Shot (7 PTS) (Aldridge 1 AST)")</f>
        <v>Leonard 26' 3PT Jump Shot (7 PTS) (Aldridge 1 AST)</v>
      </c>
      <c r="K4607" s="2" t="str">
        <f>HYPERLINK("https://www.nba.com/game/...-vs-...-0021600605/play-by-play?watchFullGame=true", "SAS vs PHX - Q2 09:30.00")</f>
        <v>SAS vs PHX - Q2 09:30.00</v>
      </c>
      <c r="L4607">
        <v>26</v>
      </c>
      <c r="M4607">
        <v>173</v>
      </c>
      <c r="N4607">
        <v>198</v>
      </c>
      <c r="O4607">
        <v>173</v>
      </c>
      <c r="P4607">
        <v>198</v>
      </c>
    </row>
    <row r="4608" spans="1:16" x14ac:dyDescent="0.25">
      <c r="A4608">
        <v>41400164</v>
      </c>
      <c r="B4608" t="s">
        <v>28</v>
      </c>
      <c r="C4608" t="s">
        <v>32</v>
      </c>
      <c r="D4608" t="s">
        <v>19</v>
      </c>
      <c r="E4608">
        <v>10</v>
      </c>
      <c r="F4608">
        <v>11</v>
      </c>
      <c r="G4608">
        <v>1</v>
      </c>
      <c r="H4608" s="1">
        <v>4.7800925925925927E-3</v>
      </c>
      <c r="I4608" t="s">
        <v>18</v>
      </c>
      <c r="J4608" s="2" t="str">
        <f>HYPERLINK("https://www.nba.com/stats/events?CFID=&amp;CFPARAMS=&amp;GameEventID=42&amp;GameID=0041400164&amp;Season=2014-15&amp;flag=1&amp;title=Leonard%2019'%20Jump%20Shot%20(8%20PTS)", "Leonard 19' Jump Shot (8 PTS)")</f>
        <v>Leonard 19' Jump Shot (8 PTS)</v>
      </c>
      <c r="K4608" s="2" t="str">
        <f>HYPERLINK("https://www.nba.com/game/...-vs-...-0041400164/play-by-play?watchFullGame=true", "SAS vs LAC - Q1 06:53.00")</f>
        <v>SAS vs LAC - Q1 06:53.00</v>
      </c>
      <c r="L4608">
        <v>19</v>
      </c>
      <c r="M4608">
        <v>174</v>
      </c>
      <c r="N4608">
        <v>82</v>
      </c>
      <c r="O4608">
        <v>174</v>
      </c>
      <c r="P4608">
        <v>82</v>
      </c>
    </row>
    <row r="4609" spans="1:16" x14ac:dyDescent="0.25">
      <c r="A4609">
        <v>21900224</v>
      </c>
      <c r="B4609">
        <v>2019</v>
      </c>
      <c r="C4609" t="s">
        <v>32</v>
      </c>
      <c r="D4609" t="s">
        <v>22</v>
      </c>
      <c r="E4609">
        <v>2</v>
      </c>
      <c r="F4609">
        <v>0</v>
      </c>
      <c r="G4609">
        <v>1</v>
      </c>
      <c r="H4609" s="1">
        <v>8.1365740740740738E-3</v>
      </c>
      <c r="I4609" t="s">
        <v>23</v>
      </c>
      <c r="J4609" s="2" t="str">
        <f>HYPERLINK("https://www.nba.com/stats/events?CFID=&amp;CFPARAMS=&amp;GameEventID=7&amp;GameID=0021900224&amp;Season=2019-20&amp;flag=1&amp;title=Leonard%2017'%20jumpshot%20(2%20PTS)%20(P.%20George%201%20AST)", "17' jumpshot (2 PTS) (P. George 1 AST)")</f>
        <v>17' jumpshot (2 PTS) (P. George 1 AST)</v>
      </c>
      <c r="K4609" s="2" t="str">
        <f>HYPERLINK("https://www.nba.com/game/...-vs-...-0021900224/play-by-play?watchFullGame=true", "LAC vs HOU - Q1 11:43.00")</f>
        <v>LAC vs HOU - Q1 11:43.00</v>
      </c>
      <c r="L4609">
        <v>17.38</v>
      </c>
      <c r="M4609">
        <v>94.4</v>
      </c>
      <c r="N4609">
        <v>84.73</v>
      </c>
      <c r="O4609">
        <v>174</v>
      </c>
      <c r="P4609">
        <v>84</v>
      </c>
    </row>
    <row r="4610" spans="1:16" x14ac:dyDescent="0.25">
      <c r="A4610">
        <v>22200918</v>
      </c>
      <c r="B4610">
        <v>2022</v>
      </c>
      <c r="C4610" t="s">
        <v>32</v>
      </c>
      <c r="D4610" t="s">
        <v>19</v>
      </c>
      <c r="E4610">
        <v>70</v>
      </c>
      <c r="F4610">
        <v>66</v>
      </c>
      <c r="G4610">
        <v>3</v>
      </c>
      <c r="H4610" s="1">
        <v>6.5509259259259262E-3</v>
      </c>
      <c r="I4610" t="s">
        <v>23</v>
      </c>
      <c r="J4610" s="2" t="str">
        <f>HYPERLINK("https://www.nba.com/stats/events?CFID=&amp;CFPARAMS=&amp;GameEventID=349&amp;GameID=0022200918&amp;Season=2022-23&amp;flag=1&amp;title=Leonard%2020'%20pullup%20Jump%20Shot%20(16%20PTS)", "20' pullup Jump Shot (16 PTS)")</f>
        <v>20' pullup Jump Shot (16 PTS)</v>
      </c>
      <c r="K4610" s="2" t="str">
        <f>HYPERLINK("https://www.nba.com/game/...-vs-...-0022200918/play-by-play?watchFullGame=true", "LAC vs DEN - Q3 09:26.00")</f>
        <v>LAC vs DEN - Q3 09:26.00</v>
      </c>
      <c r="L4610">
        <v>20.02</v>
      </c>
      <c r="M4610">
        <v>16.11</v>
      </c>
      <c r="N4610">
        <v>15.2</v>
      </c>
      <c r="O4610">
        <v>174</v>
      </c>
      <c r="P4610">
        <v>99</v>
      </c>
    </row>
    <row r="4611" spans="1:16" x14ac:dyDescent="0.25">
      <c r="A4611">
        <v>21601161</v>
      </c>
      <c r="B4611">
        <v>2016</v>
      </c>
      <c r="C4611" t="s">
        <v>16</v>
      </c>
      <c r="D4611" t="s">
        <v>19</v>
      </c>
      <c r="E4611">
        <v>39</v>
      </c>
      <c r="F4611">
        <v>35</v>
      </c>
      <c r="G4611">
        <v>3</v>
      </c>
      <c r="H4611" s="1">
        <v>7.5347222222222222E-3</v>
      </c>
      <c r="I4611" t="s">
        <v>18</v>
      </c>
      <c r="J4611" s="2" t="str">
        <f>HYPERLINK("https://www.nba.com/stats/events?CFID=&amp;CFPARAMS=&amp;GameEventID=247&amp;GameID=0021601161&amp;Season=2016-17&amp;flag=1&amp;title=Leonard%2025'%203PT%20Jump%20Shot%20(15%20PTS)%20(Parker%204%20AST)", "Leonard 25' 3PT Jump Shot (15 PTS) (Parker 4 AST)")</f>
        <v>Leonard 25' 3PT Jump Shot (15 PTS) (Parker 4 AST)</v>
      </c>
      <c r="K4611" s="2" t="str">
        <f>HYPERLINK("https://www.nba.com/game/...-vs-...-0021601161/play-by-play?watchFullGame=true", "SAS vs MEM - Q3 10:51.00")</f>
        <v>SAS vs MEM - Q3 10:51.00</v>
      </c>
      <c r="L4611">
        <v>25</v>
      </c>
      <c r="M4611">
        <v>174</v>
      </c>
      <c r="N4611">
        <v>174</v>
      </c>
      <c r="O4611">
        <v>174</v>
      </c>
      <c r="P4611">
        <v>174</v>
      </c>
    </row>
    <row r="4612" spans="1:16" x14ac:dyDescent="0.25">
      <c r="A4612">
        <v>21501018</v>
      </c>
      <c r="B4612">
        <v>2015</v>
      </c>
      <c r="C4612" t="s">
        <v>16</v>
      </c>
      <c r="D4612" t="s">
        <v>19</v>
      </c>
      <c r="E4612">
        <v>87</v>
      </c>
      <c r="F4612">
        <v>69</v>
      </c>
      <c r="G4612">
        <v>3</v>
      </c>
      <c r="H4612" s="1">
        <v>2.0601851851851853E-3</v>
      </c>
      <c r="I4612" t="s">
        <v>18</v>
      </c>
      <c r="J4612" s="2" t="str">
        <f>HYPERLINK("https://www.nba.com/stats/events?CFID=&amp;CFPARAMS=&amp;GameEventID=370&amp;GameID=0021501018&amp;Season=2015-16&amp;flag=1&amp;title=Leonard%2025'%203PT%20Jump%20Shot%20(17%20PTS)%20(Parker%2016%20AST)", "Leonard 25' 3PT Jump Shot (17 PTS) (Parker 16 AST)")</f>
        <v>Leonard 25' 3PT Jump Shot (17 PTS) (Parker 16 AST)</v>
      </c>
      <c r="K4612" s="2" t="str">
        <f>HYPERLINK("https://www.nba.com/game/...-vs-...-0021501018/play-by-play?watchFullGame=true", "SAS vs POR - Q3 02:58.00")</f>
        <v>SAS vs POR - Q3 02:58.00</v>
      </c>
      <c r="L4612">
        <v>25</v>
      </c>
      <c r="M4612">
        <v>174</v>
      </c>
      <c r="N4612">
        <v>178</v>
      </c>
      <c r="O4612">
        <v>174</v>
      </c>
      <c r="P4612">
        <v>178</v>
      </c>
    </row>
    <row r="4613" spans="1:16" x14ac:dyDescent="0.25">
      <c r="A4613">
        <v>41200314</v>
      </c>
      <c r="B4613" t="s">
        <v>27</v>
      </c>
      <c r="C4613" t="s">
        <v>16</v>
      </c>
      <c r="D4613" t="s">
        <v>19</v>
      </c>
      <c r="E4613">
        <v>66</v>
      </c>
      <c r="F4613">
        <v>72</v>
      </c>
      <c r="G4613">
        <v>3</v>
      </c>
      <c r="H4613" s="1">
        <v>6.076388888888889E-4</v>
      </c>
      <c r="I4613" t="s">
        <v>18</v>
      </c>
      <c r="J4613" s="2" t="str">
        <f>HYPERLINK("https://www.nba.com/stats/events?CFID=&amp;CFPARAMS=&amp;GameEventID=361&amp;GameID=0041200314&amp;Season=2012-13&amp;flag=1&amp;title=Leonard%2025'%203PT%20Jump%20Shot%20(9%20PTS)%20(Bonner%201%20AST)", "Leonard 25' 3PT Jump Shot (9 PTS) (Bonner 1 AST)")</f>
        <v>Leonard 25' 3PT Jump Shot (9 PTS) (Bonner 1 AST)</v>
      </c>
      <c r="K4613" s="2" t="str">
        <f>HYPERLINK("https://www.nba.com/game/...-vs-...-0041200314/play-by-play?watchFullGame=true", "SAS vs MEM - Q3 00:52.50")</f>
        <v>SAS vs MEM - Q3 00:52.50</v>
      </c>
      <c r="L4613">
        <v>25</v>
      </c>
      <c r="M4613">
        <v>174</v>
      </c>
      <c r="N4613">
        <v>181</v>
      </c>
      <c r="O4613">
        <v>174</v>
      </c>
      <c r="P4613">
        <v>181</v>
      </c>
    </row>
    <row r="4614" spans="1:16" x14ac:dyDescent="0.25">
      <c r="A4614">
        <v>21500393</v>
      </c>
      <c r="B4614">
        <v>2015</v>
      </c>
      <c r="C4614" t="s">
        <v>16</v>
      </c>
      <c r="D4614" t="s">
        <v>19</v>
      </c>
      <c r="E4614">
        <v>12</v>
      </c>
      <c r="F4614">
        <v>14</v>
      </c>
      <c r="G4614">
        <v>1</v>
      </c>
      <c r="H4614" s="1">
        <v>4.386574074074074E-3</v>
      </c>
      <c r="I4614" t="s">
        <v>18</v>
      </c>
      <c r="J4614" s="2" t="str">
        <f>HYPERLINK("https://www.nba.com/stats/events?CFID=&amp;CFPARAMS=&amp;GameEventID=42&amp;GameID=0021500393&amp;Season=2015-16&amp;flag=1&amp;title=Leonard%2025'%203PT%20Jump%20Shot%20(4%20PTS)%20(Parker%201%20AST)", "Leonard 25' 3PT Jump Shot (4 PTS) (Parker 1 AST)")</f>
        <v>Leonard 25' 3PT Jump Shot (4 PTS) (Parker 1 AST)</v>
      </c>
      <c r="K4614" s="2" t="str">
        <f>HYPERLINK("https://www.nba.com/game/...-vs-...-0021500393/play-by-play?watchFullGame=true", "SAS vs LAC - Q1 06:19.00")</f>
        <v>SAS vs LAC - Q1 06:19.00</v>
      </c>
      <c r="L4614">
        <v>25</v>
      </c>
      <c r="M4614">
        <v>174</v>
      </c>
      <c r="N4614">
        <v>183</v>
      </c>
      <c r="O4614">
        <v>174</v>
      </c>
      <c r="P4614">
        <v>183</v>
      </c>
    </row>
    <row r="4615" spans="1:16" x14ac:dyDescent="0.25">
      <c r="A4615">
        <v>41500231</v>
      </c>
      <c r="B4615" t="s">
        <v>25</v>
      </c>
      <c r="C4615" t="s">
        <v>32</v>
      </c>
      <c r="D4615" t="s">
        <v>19</v>
      </c>
      <c r="E4615">
        <v>60</v>
      </c>
      <c r="F4615">
        <v>30</v>
      </c>
      <c r="G4615">
        <v>2</v>
      </c>
      <c r="H4615" s="1">
        <v>4.0740740740740737E-3</v>
      </c>
      <c r="I4615" t="s">
        <v>18</v>
      </c>
      <c r="J4615" s="2" t="str">
        <f>HYPERLINK("https://www.nba.com/stats/events?CFID=&amp;CFPARAMS=&amp;GameEventID=190&amp;GameID=0041500231&amp;Season=2015-16&amp;flag=1&amp;title=Leonard%2018'%20Jump%20Shot%20(17%20PTS)%20(Parker%207%20AST)", "Leonard 18' Jump Shot (17 PTS) (Parker 7 AST)")</f>
        <v>Leonard 18' Jump Shot (17 PTS) (Parker 7 AST)</v>
      </c>
      <c r="K4615" s="2" t="str">
        <f>HYPERLINK("https://www.nba.com/game/...-vs-...-0041500231/play-by-play?watchFullGame=true", "SAS vs OKC - Q2 05:52.00")</f>
        <v>SAS vs OKC - Q2 05:52.00</v>
      </c>
      <c r="L4615">
        <v>18</v>
      </c>
      <c r="M4615">
        <v>176</v>
      </c>
      <c r="N4615">
        <v>-5</v>
      </c>
      <c r="O4615">
        <v>176</v>
      </c>
      <c r="P4615">
        <v>-5</v>
      </c>
    </row>
    <row r="4616" spans="1:16" x14ac:dyDescent="0.25">
      <c r="A4616">
        <v>21900002</v>
      </c>
      <c r="B4616">
        <v>2019</v>
      </c>
      <c r="C4616" t="s">
        <v>32</v>
      </c>
      <c r="D4616" t="s">
        <v>19</v>
      </c>
      <c r="E4616">
        <v>36</v>
      </c>
      <c r="F4616">
        <v>36</v>
      </c>
      <c r="G4616">
        <v>2</v>
      </c>
      <c r="H4616" s="1">
        <v>5.7986111111111112E-3</v>
      </c>
      <c r="I4616" t="s">
        <v>23</v>
      </c>
      <c r="J4616" s="2" t="str">
        <f>HYPERLINK("https://www.nba.com/stats/events?CFID=&amp;CFPARAMS=&amp;GameEventID=215&amp;GameID=0021900002&amp;Season=2019-20&amp;flag=1&amp;title=Leonard%2018'%20running%20pullup%20Jump%20Shot%20(13%20PTS)", "18' running pullup Jump Shot (13 PTS)")</f>
        <v>18' running pullup Jump Shot (13 PTS)</v>
      </c>
      <c r="K4616" s="2" t="str">
        <f>HYPERLINK("https://www.nba.com/game/...-vs-...-0021900002/play-by-play?watchFullGame=true", "LAC vs LAL - Q2 08:21.00")</f>
        <v>LAC vs LAL - Q2 08:21.00</v>
      </c>
      <c r="L4616">
        <v>17.96</v>
      </c>
      <c r="M4616">
        <v>91.25</v>
      </c>
      <c r="N4616">
        <v>85.23</v>
      </c>
      <c r="O4616">
        <v>176</v>
      </c>
      <c r="P4616">
        <v>30</v>
      </c>
    </row>
    <row r="4617" spans="1:16" x14ac:dyDescent="0.25">
      <c r="A4617">
        <v>21401134</v>
      </c>
      <c r="B4617">
        <v>2014</v>
      </c>
      <c r="C4617" t="s">
        <v>32</v>
      </c>
      <c r="D4617" t="s">
        <v>19</v>
      </c>
      <c r="E4617">
        <v>21</v>
      </c>
      <c r="F4617">
        <v>9</v>
      </c>
      <c r="G4617">
        <v>1</v>
      </c>
      <c r="H4617" s="1">
        <v>5.162037037037037E-3</v>
      </c>
      <c r="I4617" t="s">
        <v>18</v>
      </c>
      <c r="J4617" s="2" t="str">
        <f>HYPERLINK("https://www.nba.com/stats/events?CFID=&amp;CFPARAMS=&amp;GameEventID=35&amp;GameID=0021401134&amp;Season=2014-15&amp;flag=1&amp;title=Leonard%2019'%20Jump%20Shot%20(10%20PTS)", "Leonard 19' Jump Shot (10 PTS)")</f>
        <v>Leonard 19' Jump Shot (10 PTS)</v>
      </c>
      <c r="K4617" s="2" t="str">
        <f>HYPERLINK("https://www.nba.com/game/...-vs-...-0021401134/play-by-play?watchFullGame=true", "SAS vs DEN - Q1 07:26.00")</f>
        <v>SAS vs DEN - Q1 07:26.00</v>
      </c>
      <c r="L4617">
        <v>19</v>
      </c>
      <c r="M4617">
        <v>176</v>
      </c>
      <c r="N4617">
        <v>80</v>
      </c>
      <c r="O4617">
        <v>176</v>
      </c>
      <c r="P4617">
        <v>80</v>
      </c>
    </row>
    <row r="4618" spans="1:16" x14ac:dyDescent="0.25">
      <c r="A4618">
        <v>41300403</v>
      </c>
      <c r="B4618" t="s">
        <v>26</v>
      </c>
      <c r="C4618" t="s">
        <v>16</v>
      </c>
      <c r="D4618" t="s">
        <v>19</v>
      </c>
      <c r="E4618">
        <v>10</v>
      </c>
      <c r="F4618">
        <v>18</v>
      </c>
      <c r="G4618">
        <v>1</v>
      </c>
      <c r="H4618" s="1">
        <v>5.1273148148148146E-3</v>
      </c>
      <c r="I4618" t="s">
        <v>18</v>
      </c>
      <c r="J4618" s="2" t="str">
        <f>HYPERLINK("https://www.nba.com/stats/events?CFID=&amp;CFPARAMS=&amp;GameEventID=39&amp;GameID=0041300403&amp;Season=2013-14&amp;flag=1&amp;title=Leonard%2026'%203PT%20Jump%20Shot%20(10%20PTS)%20(Green%202%20AST)", "Leonard 26' 3PT Jump Shot (10 PTS) (Green 2 AST)")</f>
        <v>Leonard 26' 3PT Jump Shot (10 PTS) (Green 2 AST)</v>
      </c>
      <c r="K4618" s="2" t="str">
        <f>HYPERLINK("https://www.nba.com/game/...-vs-...-0041300403/play-by-play?watchFullGame=true", "SAS vs MIA - Q1 07:23.00")</f>
        <v>SAS vs MIA - Q1 07:23.00</v>
      </c>
      <c r="L4618">
        <v>26</v>
      </c>
      <c r="M4618">
        <v>176</v>
      </c>
      <c r="N4618">
        <v>186</v>
      </c>
      <c r="O4618">
        <v>176</v>
      </c>
      <c r="P4618">
        <v>186</v>
      </c>
    </row>
    <row r="4619" spans="1:16" x14ac:dyDescent="0.25">
      <c r="A4619">
        <v>21900603</v>
      </c>
      <c r="B4619">
        <v>2019</v>
      </c>
      <c r="C4619" t="s">
        <v>16</v>
      </c>
      <c r="D4619" t="s">
        <v>22</v>
      </c>
      <c r="E4619">
        <v>41</v>
      </c>
      <c r="F4619">
        <v>36</v>
      </c>
      <c r="G4619">
        <v>2</v>
      </c>
      <c r="H4619" s="1">
        <v>5.1504629629629626E-3</v>
      </c>
      <c r="I4619" t="s">
        <v>23</v>
      </c>
      <c r="J4619" s="2" t="str">
        <f>HYPERLINK("https://www.nba.com/stats/events?CFID=&amp;CFPARAMS=&amp;GameEventID=214&amp;GameID=0021900603&amp;Season=2019-20&amp;flag=1&amp;title=Leonard%2027'%203PT%20%20(14%20PTS)%20(L.%20Williams%204%20AST)", "27' 3PT  (14 PTS) (L. Williams 4 AST)")</f>
        <v>27' 3PT  (14 PTS) (L. Williams 4 AST)</v>
      </c>
      <c r="K4619" s="2" t="str">
        <f>HYPERLINK("https://www.nba.com/game/...-vs-...-0021900603/play-by-play?watchFullGame=true", "LAC vs CLE - Q2 07:25.00")</f>
        <v>LAC vs CLE - Q2 07:25.00</v>
      </c>
      <c r="L4619">
        <v>26.74</v>
      </c>
      <c r="M4619">
        <v>26.46</v>
      </c>
      <c r="N4619">
        <v>14.88</v>
      </c>
      <c r="O4619">
        <v>176</v>
      </c>
      <c r="P4619">
        <v>196</v>
      </c>
    </row>
    <row r="4620" spans="1:16" x14ac:dyDescent="0.25">
      <c r="A4620">
        <v>21401168</v>
      </c>
      <c r="B4620">
        <v>2014</v>
      </c>
      <c r="C4620" t="s">
        <v>32</v>
      </c>
      <c r="D4620" t="s">
        <v>29</v>
      </c>
      <c r="E4620">
        <v>96</v>
      </c>
      <c r="F4620">
        <v>78</v>
      </c>
      <c r="G4620">
        <v>4</v>
      </c>
      <c r="H4620" s="1">
        <v>5.4166666666666669E-3</v>
      </c>
      <c r="I4620" t="s">
        <v>18</v>
      </c>
      <c r="J4620" s="2" t="str">
        <f>HYPERLINK("https://www.nba.com/stats/events?CFID=&amp;CFPARAMS=&amp;GameEventID=403&amp;GameID=0021401168&amp;Season=2014-15&amp;flag=1&amp;title=Leonard%2018'%20Pullup%20Jump%20Shot%20(16%20PTS)", "Leonard 18' Pullup Jump Shot (16 PTS)")</f>
        <v>Leonard 18' Pullup Jump Shot (16 PTS)</v>
      </c>
      <c r="K4620" s="2" t="str">
        <f>HYPERLINK("https://www.nba.com/game/...-vs-...-0021401168/play-by-play?watchFullGame=true", "SAS vs HOU - Q4 07:48.00")</f>
        <v>SAS vs HOU - Q4 07:48.00</v>
      </c>
      <c r="L4620">
        <v>18</v>
      </c>
      <c r="M4620">
        <v>177</v>
      </c>
      <c r="N4620">
        <v>-19</v>
      </c>
      <c r="O4620">
        <v>177</v>
      </c>
      <c r="P4620">
        <v>-19</v>
      </c>
    </row>
    <row r="4621" spans="1:16" x14ac:dyDescent="0.25">
      <c r="A4621">
        <v>21900002</v>
      </c>
      <c r="B4621">
        <v>2019</v>
      </c>
      <c r="C4621" t="s">
        <v>32</v>
      </c>
      <c r="D4621" t="s">
        <v>19</v>
      </c>
      <c r="E4621">
        <v>54</v>
      </c>
      <c r="F4621">
        <v>51</v>
      </c>
      <c r="G4621">
        <v>2</v>
      </c>
      <c r="H4621" s="1">
        <v>1.3194444444444445E-3</v>
      </c>
      <c r="I4621" t="s">
        <v>23</v>
      </c>
      <c r="J4621" s="2" t="str">
        <f>HYPERLINK("https://www.nba.com/stats/events?CFID=&amp;CFPARAMS=&amp;GameEventID=314&amp;GameID=0021900002&amp;Season=2019-20&amp;flag=1&amp;title=Leonard%2018'%20fadeaway%20Jump%20Shot%20(20%20PTS)", "18' fadeaway Jump Shot (20 PTS)")</f>
        <v>18' fadeaway Jump Shot (20 PTS)</v>
      </c>
      <c r="K4621" s="2" t="str">
        <f>HYPERLINK("https://www.nba.com/game/...-vs-...-0021900002/play-by-play?watchFullGame=true", "LAC vs LAL - Q2 01:54.00")</f>
        <v>LAC vs LAL - Q2 01:54.00</v>
      </c>
      <c r="L4621">
        <v>17.760000000000002</v>
      </c>
      <c r="M4621">
        <v>95.98</v>
      </c>
      <c r="N4621">
        <v>85.47</v>
      </c>
      <c r="O4621">
        <v>177</v>
      </c>
      <c r="P4621">
        <v>-15</v>
      </c>
    </row>
    <row r="4622" spans="1:16" x14ac:dyDescent="0.25">
      <c r="A4622">
        <v>21300888</v>
      </c>
      <c r="B4622">
        <v>2013</v>
      </c>
      <c r="C4622" t="s">
        <v>16</v>
      </c>
      <c r="D4622" t="s">
        <v>19</v>
      </c>
      <c r="E4622">
        <v>5</v>
      </c>
      <c r="F4622">
        <v>2</v>
      </c>
      <c r="G4622">
        <v>1</v>
      </c>
      <c r="H4622" s="1">
        <v>7.4652777777777781E-3</v>
      </c>
      <c r="I4622" t="s">
        <v>18</v>
      </c>
      <c r="J4622" s="2" t="str">
        <f>HYPERLINK("https://www.nba.com/stats/events?CFID=&amp;CFPARAMS=&amp;GameEventID=8&amp;GameID=0021300888&amp;Season=2013-14&amp;flag=1&amp;title=Leonard%2024'%203PT%20Jump%20Shot%20(3%20PTS)%20(Parker%201%20AST)", "Leonard 24' 3PT Jump Shot (3 PTS) (Parker 1 AST)")</f>
        <v>Leonard 24' 3PT Jump Shot (3 PTS) (Parker 1 AST)</v>
      </c>
      <c r="K4622" s="2" t="str">
        <f>HYPERLINK("https://www.nba.com/game/...-vs-...-0021300888/play-by-play?watchFullGame=true", "SAS vs DAL - Q1 10:45.00")</f>
        <v>SAS vs DAL - Q1 10:45.00</v>
      </c>
      <c r="L4622">
        <v>24</v>
      </c>
      <c r="M4622">
        <v>177</v>
      </c>
      <c r="N4622">
        <v>167</v>
      </c>
      <c r="O4622">
        <v>177</v>
      </c>
      <c r="P4622">
        <v>167</v>
      </c>
    </row>
    <row r="4623" spans="1:16" x14ac:dyDescent="0.25">
      <c r="A4623">
        <v>21501018</v>
      </c>
      <c r="B4623">
        <v>2015</v>
      </c>
      <c r="C4623" t="s">
        <v>16</v>
      </c>
      <c r="D4623" t="s">
        <v>19</v>
      </c>
      <c r="E4623">
        <v>59</v>
      </c>
      <c r="F4623">
        <v>54</v>
      </c>
      <c r="G4623">
        <v>3</v>
      </c>
      <c r="H4623" s="1">
        <v>8.1828703703703699E-3</v>
      </c>
      <c r="I4623" t="s">
        <v>18</v>
      </c>
      <c r="J4623" s="2" t="str">
        <f>HYPERLINK("https://www.nba.com/stats/events?CFID=&amp;CFPARAMS=&amp;GameEventID=287&amp;GameID=0021501018&amp;Season=2015-16&amp;flag=1&amp;title=Leonard%2025'%203PT%20Jump%20Shot%20(9%20PTS)%20(Green%202%20AST)", "Leonard 25' 3PT Jump Shot (9 PTS) (Green 2 AST)")</f>
        <v>Leonard 25' 3PT Jump Shot (9 PTS) (Green 2 AST)</v>
      </c>
      <c r="K4623" s="2" t="str">
        <f>HYPERLINK("https://www.nba.com/game/...-vs-...-0021501018/play-by-play?watchFullGame=true", "SAS vs POR - Q3 11:47.00")</f>
        <v>SAS vs POR - Q3 11:47.00</v>
      </c>
      <c r="L4623">
        <v>25</v>
      </c>
      <c r="M4623">
        <v>177</v>
      </c>
      <c r="N4623">
        <v>174</v>
      </c>
      <c r="O4623">
        <v>177</v>
      </c>
      <c r="P4623">
        <v>174</v>
      </c>
    </row>
    <row r="4624" spans="1:16" x14ac:dyDescent="0.25">
      <c r="A4624">
        <v>21400249</v>
      </c>
      <c r="B4624">
        <v>2014</v>
      </c>
      <c r="C4624" t="s">
        <v>16</v>
      </c>
      <c r="D4624" t="s">
        <v>19</v>
      </c>
      <c r="E4624">
        <v>22</v>
      </c>
      <c r="F4624">
        <v>36</v>
      </c>
      <c r="G4624">
        <v>2</v>
      </c>
      <c r="H4624" s="1">
        <v>6.6898148148148151E-3</v>
      </c>
      <c r="I4624" t="s">
        <v>18</v>
      </c>
      <c r="J4624" s="2" t="str">
        <f>HYPERLINK("https://www.nba.com/stats/events?CFID=&amp;CFPARAMS=&amp;GameEventID=157&amp;GameID=0021400249&amp;Season=2014-15&amp;flag=1&amp;title=Leonard%2025'%203PT%20Jump%20Shot%20(10%20PTS)%20(Belinelli%202%20AST)", "Leonard 25' 3PT Jump Shot (10 PTS) (Belinelli 2 AST)")</f>
        <v>Leonard 25' 3PT Jump Shot (10 PTS) (Belinelli 2 AST)</v>
      </c>
      <c r="K4624" s="2" t="str">
        <f>HYPERLINK("https://www.nba.com/game/...-vs-...-0021400249/play-by-play?watchFullGame=true", "SAS vs PHI - Q2 09:38.00")</f>
        <v>SAS vs PHI - Q2 09:38.00</v>
      </c>
      <c r="L4624">
        <v>25</v>
      </c>
      <c r="M4624">
        <v>177</v>
      </c>
      <c r="N4624">
        <v>178</v>
      </c>
      <c r="O4624">
        <v>177</v>
      </c>
      <c r="P4624">
        <v>178</v>
      </c>
    </row>
    <row r="4625" spans="1:16" x14ac:dyDescent="0.25">
      <c r="A4625">
        <v>22000989</v>
      </c>
      <c r="B4625">
        <v>2020</v>
      </c>
      <c r="C4625" t="s">
        <v>16</v>
      </c>
      <c r="D4625" t="s">
        <v>19</v>
      </c>
      <c r="E4625">
        <v>71</v>
      </c>
      <c r="F4625">
        <v>71</v>
      </c>
      <c r="G4625">
        <v>3</v>
      </c>
      <c r="H4625" s="1">
        <v>2.4305555555555556E-3</v>
      </c>
      <c r="I4625" t="s">
        <v>23</v>
      </c>
      <c r="J4625" s="2" t="str">
        <f>HYPERLINK("https://www.nba.com/stats/events?CFID=&amp;CFPARAMS=&amp;GameEventID=365&amp;GameID=0022000989&amp;Season=2020-21&amp;flag=1&amp;title=Leonard%2025'%203PT%20%20(11%20PTS)%20(P.%20Beverley%203%20AST)", "25' 3PT  (11 PTS) (P. Beverley 3 AST)")</f>
        <v>25' 3PT  (11 PTS) (P. Beverley 3 AST)</v>
      </c>
      <c r="K4625" s="2" t="str">
        <f>HYPERLINK("https://www.nba.com/game/...-vs-...-0022000989/play-by-play?watchFullGame=true", "LAC vs TOR - Q3 03:30.00")</f>
        <v>LAC vs TOR - Q3 03:30.00</v>
      </c>
      <c r="L4625">
        <v>25.39</v>
      </c>
      <c r="M4625">
        <v>24.92</v>
      </c>
      <c r="N4625">
        <v>14.53</v>
      </c>
      <c r="O4625">
        <v>177</v>
      </c>
      <c r="P4625">
        <v>182</v>
      </c>
    </row>
    <row r="4626" spans="1:16" x14ac:dyDescent="0.25">
      <c r="A4626">
        <v>21900436</v>
      </c>
      <c r="B4626">
        <v>2019</v>
      </c>
      <c r="C4626" t="s">
        <v>16</v>
      </c>
      <c r="D4626" t="s">
        <v>22</v>
      </c>
      <c r="E4626">
        <v>11</v>
      </c>
      <c r="F4626">
        <v>12</v>
      </c>
      <c r="G4626">
        <v>1</v>
      </c>
      <c r="H4626" s="1">
        <v>5.1967592592592595E-3</v>
      </c>
      <c r="I4626" t="s">
        <v>23</v>
      </c>
      <c r="J4626" s="2" t="str">
        <f>HYPERLINK("https://www.nba.com/stats/events?CFID=&amp;CFPARAMS=&amp;GameEventID=52&amp;GameID=0021900436&amp;Season=2019-20&amp;flag=1&amp;title=Leonard%2027'%203PT%20%20(7%20PTS)%20(P.%20Beverley%202%20AST)", "27' 3PT  (7 PTS) (P. Beverley 2 AST)")</f>
        <v>27' 3PT  (7 PTS) (P. Beverley 2 AST)</v>
      </c>
      <c r="K4626" s="2" t="str">
        <f>HYPERLINK("https://www.nba.com/game/...-vs-...-0021900436/play-by-play?watchFullGame=true", "LAC vs SAS - Q1 07:29.00")</f>
        <v>LAC vs SAS - Q1 07:29.00</v>
      </c>
      <c r="L4626">
        <v>27.35</v>
      </c>
      <c r="M4626">
        <v>27.15</v>
      </c>
      <c r="N4626">
        <v>14.53</v>
      </c>
      <c r="O4626">
        <v>177</v>
      </c>
      <c r="P4626">
        <v>203</v>
      </c>
    </row>
    <row r="4627" spans="1:16" x14ac:dyDescent="0.25">
      <c r="A4627">
        <v>41600154</v>
      </c>
      <c r="B4627" t="s">
        <v>30</v>
      </c>
      <c r="C4627" t="s">
        <v>32</v>
      </c>
      <c r="D4627" t="s">
        <v>19</v>
      </c>
      <c r="E4627">
        <v>14</v>
      </c>
      <c r="F4627">
        <v>24</v>
      </c>
      <c r="G4627">
        <v>1</v>
      </c>
      <c r="H4627" s="1">
        <v>1.3310185185185185E-3</v>
      </c>
      <c r="I4627" t="s">
        <v>18</v>
      </c>
      <c r="J4627" s="2" t="str">
        <f>HYPERLINK("https://www.nba.com/stats/events?CFID=&amp;CFPARAMS=&amp;GameEventID=85&amp;GameID=0041600154&amp;Season=2016-17&amp;flag=1&amp;title=Leonard%2018'%20Jump%20Shot%20(9%20PTS)%20(Ginobili%201%20AST)", "Leonard 18' Jump Shot (9 PTS) (Ginobili 1 AST)")</f>
        <v>Leonard 18' Jump Shot (9 PTS) (Ginobili 1 AST)</v>
      </c>
      <c r="K4627" s="2" t="str">
        <f>HYPERLINK("https://www.nba.com/game/...-vs-...-0041600154/play-by-play?watchFullGame=true", "SAS vs MEM - Q1 01:55.00")</f>
        <v>SAS vs MEM - Q1 01:55.00</v>
      </c>
      <c r="L4627">
        <v>18</v>
      </c>
      <c r="M4627">
        <v>179</v>
      </c>
      <c r="N4627">
        <v>3</v>
      </c>
      <c r="O4627">
        <v>179</v>
      </c>
      <c r="P4627">
        <v>3</v>
      </c>
    </row>
    <row r="4628" spans="1:16" x14ac:dyDescent="0.25">
      <c r="A4628">
        <v>21500061</v>
      </c>
      <c r="B4628">
        <v>2015</v>
      </c>
      <c r="C4628" t="s">
        <v>32</v>
      </c>
      <c r="D4628" t="s">
        <v>19</v>
      </c>
      <c r="E4628">
        <v>62</v>
      </c>
      <c r="F4628">
        <v>68</v>
      </c>
      <c r="G4628">
        <v>3</v>
      </c>
      <c r="H4628" s="1">
        <v>1.9791666666666668E-3</v>
      </c>
      <c r="I4628" t="s">
        <v>18</v>
      </c>
      <c r="J4628" s="2" t="str">
        <f>HYPERLINK("https://www.nba.com/stats/events?CFID=&amp;CFPARAMS=&amp;GameEventID=333&amp;GameID=0021500061&amp;Season=2015-16&amp;flag=1&amp;title=Leonard%2018'%20Jump%20Shot%20(21%20PTS)%20(Ginobili%201%20AST)", "Leonard 18' Jump Shot (21 PTS) (Ginobili 1 AST)")</f>
        <v>Leonard 18' Jump Shot (21 PTS) (Ginobili 1 AST)</v>
      </c>
      <c r="K4628" s="2" t="str">
        <f>HYPERLINK("https://www.nba.com/game/...-vs-...-0021500061/play-by-play?watchFullGame=true", "SAS vs WAS - Q3 02:51.00")</f>
        <v>SAS vs WAS - Q3 02:51.00</v>
      </c>
      <c r="L4628">
        <v>18</v>
      </c>
      <c r="M4628">
        <v>179</v>
      </c>
      <c r="N4628">
        <v>41</v>
      </c>
      <c r="O4628">
        <v>179</v>
      </c>
      <c r="P4628">
        <v>41</v>
      </c>
    </row>
    <row r="4629" spans="1:16" x14ac:dyDescent="0.25">
      <c r="A4629">
        <v>21600289</v>
      </c>
      <c r="B4629">
        <v>2016</v>
      </c>
      <c r="C4629" t="s">
        <v>32</v>
      </c>
      <c r="D4629" t="s">
        <v>19</v>
      </c>
      <c r="E4629">
        <v>90</v>
      </c>
      <c r="F4629">
        <v>85</v>
      </c>
      <c r="G4629">
        <v>4</v>
      </c>
      <c r="H4629" s="1">
        <v>4.8495370370370368E-3</v>
      </c>
      <c r="I4629" t="s">
        <v>18</v>
      </c>
      <c r="J4629" s="2" t="str">
        <f>HYPERLINK("https://www.nba.com/stats/events?CFID=&amp;CFPARAMS=&amp;GameEventID=476&amp;GameID=0021600289&amp;Season=2016-17&amp;flag=1&amp;title=Leonard%2018'%20Jump%20Shot%20(15%20PTS)%20(Gasol%202%20AST)", "Leonard 18' Jump Shot (15 PTS) (Gasol 2 AST)")</f>
        <v>Leonard 18' Jump Shot (15 PTS) (Gasol 2 AST)</v>
      </c>
      <c r="K4629" s="2" t="str">
        <f>HYPERLINK("https://www.nba.com/game/...-vs-...-0021600289/play-by-play?watchFullGame=true", "SAS vs WAS - Q4 06:59.00")</f>
        <v>SAS vs WAS - Q4 06:59.00</v>
      </c>
      <c r="L4629">
        <v>18</v>
      </c>
      <c r="M4629">
        <v>179</v>
      </c>
      <c r="N4629">
        <v>46</v>
      </c>
      <c r="O4629">
        <v>179</v>
      </c>
      <c r="P4629">
        <v>46</v>
      </c>
    </row>
    <row r="4630" spans="1:16" x14ac:dyDescent="0.25">
      <c r="A4630">
        <v>21500759</v>
      </c>
      <c r="B4630">
        <v>2015</v>
      </c>
      <c r="C4630" t="s">
        <v>32</v>
      </c>
      <c r="D4630" t="s">
        <v>19</v>
      </c>
      <c r="E4630">
        <v>2</v>
      </c>
      <c r="F4630">
        <v>2</v>
      </c>
      <c r="G4630">
        <v>1</v>
      </c>
      <c r="H4630" s="1">
        <v>7.6157407407407406E-3</v>
      </c>
      <c r="I4630" t="s">
        <v>18</v>
      </c>
      <c r="J4630" s="2" t="str">
        <f>HYPERLINK("https://www.nba.com/stats/events?CFID=&amp;CFPARAMS=&amp;GameEventID=8&amp;GameID=0021500759&amp;Season=2015-16&amp;flag=1&amp;title=Leonard%2019'%20Jump%20Shot%20(2%20PTS)%20(Aldridge%201%20AST)", "Leonard 19' Jump Shot (2 PTS) (Aldridge 1 AST)")</f>
        <v>Leonard 19' Jump Shot (2 PTS) (Aldridge 1 AST)</v>
      </c>
      <c r="K4630" s="2" t="str">
        <f>HYPERLINK("https://www.nba.com/game/...-vs-...-0021500759/play-by-play?watchFullGame=true", "SAS vs DAL - Q1 10:58.00")</f>
        <v>SAS vs DAL - Q1 10:58.00</v>
      </c>
      <c r="L4630">
        <v>19</v>
      </c>
      <c r="M4630">
        <v>179</v>
      </c>
      <c r="N4630">
        <v>47</v>
      </c>
      <c r="O4630">
        <v>179</v>
      </c>
      <c r="P4630">
        <v>47</v>
      </c>
    </row>
    <row r="4631" spans="1:16" x14ac:dyDescent="0.25">
      <c r="A4631">
        <v>22300917</v>
      </c>
      <c r="B4631">
        <v>2023</v>
      </c>
      <c r="C4631" t="s">
        <v>32</v>
      </c>
      <c r="D4631" t="s">
        <v>19</v>
      </c>
      <c r="E4631">
        <v>80</v>
      </c>
      <c r="F4631">
        <v>78</v>
      </c>
      <c r="G4631">
        <v>3</v>
      </c>
      <c r="H4631" s="1">
        <v>1.3310185185185185E-3</v>
      </c>
      <c r="I4631" t="s">
        <v>23</v>
      </c>
      <c r="J4631" s="2" t="str">
        <f>HYPERLINK("https://www.nba.com/stats/events?CFID=&amp;CFPARAMS=&amp;GameEventID=449&amp;GameID=0022300917&amp;Season=2023-24&amp;flag=1&amp;title=Leonard%2020'%20pullup%20Jump%20Shot%20(13%20PTS)", "20' pullup Jump Shot (13 PTS)")</f>
        <v>20' pullup Jump Shot (13 PTS)</v>
      </c>
      <c r="K4631" s="2" t="str">
        <f>HYPERLINK("https://www.nba.com/game/...-vs-...-0022300917/play-by-play?watchFullGame=true", "LAC vs CHI - Q3 01:55.00")</f>
        <v>LAC vs CHI - Q3 01:55.00</v>
      </c>
      <c r="L4631">
        <v>20.94</v>
      </c>
      <c r="M4631">
        <v>82.84</v>
      </c>
      <c r="N4631">
        <v>85.78</v>
      </c>
      <c r="O4631">
        <v>179</v>
      </c>
      <c r="P4631">
        <v>109</v>
      </c>
    </row>
    <row r="4632" spans="1:16" x14ac:dyDescent="0.25">
      <c r="A4632">
        <v>41400167</v>
      </c>
      <c r="B4632" t="s">
        <v>28</v>
      </c>
      <c r="C4632" t="s">
        <v>16</v>
      </c>
      <c r="D4632" t="s">
        <v>19</v>
      </c>
      <c r="E4632">
        <v>41</v>
      </c>
      <c r="F4632">
        <v>42</v>
      </c>
      <c r="G4632">
        <v>2</v>
      </c>
      <c r="H4632" s="1">
        <v>4.0972222222222226E-3</v>
      </c>
      <c r="I4632" t="s">
        <v>18</v>
      </c>
      <c r="J4632" s="2" t="str">
        <f>HYPERLINK("https://www.nba.com/stats/events?CFID=&amp;CFPARAMS=&amp;GameEventID=182&amp;GameID=0041400167&amp;Season=2014-15&amp;flag=1&amp;title=Leonard%2024'%203PT%20Jump%20Shot%20(7%20PTS)%20(Green%201%20AST)", "Leonard 24' 3PT Jump Shot (7 PTS) (Green 1 AST)")</f>
        <v>Leonard 24' 3PT Jump Shot (7 PTS) (Green 1 AST)</v>
      </c>
      <c r="K4632" s="2" t="str">
        <f>HYPERLINK("https://www.nba.com/game/...-vs-...-0041400167/play-by-play?watchFullGame=true", "SAS vs LAC - Q2 05:54.00")</f>
        <v>SAS vs LAC - Q2 05:54.00</v>
      </c>
      <c r="L4632">
        <v>24</v>
      </c>
      <c r="M4632">
        <v>179</v>
      </c>
      <c r="N4632">
        <v>167</v>
      </c>
      <c r="O4632">
        <v>179</v>
      </c>
      <c r="P4632">
        <v>167</v>
      </c>
    </row>
    <row r="4633" spans="1:16" x14ac:dyDescent="0.25">
      <c r="A4633">
        <v>21500172</v>
      </c>
      <c r="B4633">
        <v>2015</v>
      </c>
      <c r="C4633" t="s">
        <v>16</v>
      </c>
      <c r="D4633" t="s">
        <v>19</v>
      </c>
      <c r="E4633">
        <v>54</v>
      </c>
      <c r="F4633">
        <v>42</v>
      </c>
      <c r="G4633">
        <v>2</v>
      </c>
      <c r="H4633" s="1">
        <v>3.5879629629629629E-3</v>
      </c>
      <c r="I4633" t="s">
        <v>18</v>
      </c>
      <c r="J4633" s="2" t="str">
        <f>HYPERLINK("https://www.nba.com/stats/events?CFID=&amp;CFPARAMS=&amp;GameEventID=202&amp;GameID=0021500172&amp;Season=2015-16&amp;flag=1&amp;title=Leonard%2025'%203PT%20Jump%20Shot%20(9%20PTS)%20(Parker%206%20AST)", "Leonard 25' 3PT Jump Shot (9 PTS) (Parker 6 AST)")</f>
        <v>Leonard 25' 3PT Jump Shot (9 PTS) (Parker 6 AST)</v>
      </c>
      <c r="K4633" s="2" t="str">
        <f>HYPERLINK("https://www.nba.com/game/...-vs-...-0021500172/play-by-play?watchFullGame=true", "SAS vs DEN - Q2 05:10.00")</f>
        <v>SAS vs DEN - Q2 05:10.00</v>
      </c>
      <c r="L4633">
        <v>25</v>
      </c>
      <c r="M4633">
        <v>179</v>
      </c>
      <c r="N4633">
        <v>169</v>
      </c>
      <c r="O4633">
        <v>179</v>
      </c>
      <c r="P4633">
        <v>169</v>
      </c>
    </row>
    <row r="4634" spans="1:16" x14ac:dyDescent="0.25">
      <c r="A4634">
        <v>22000130</v>
      </c>
      <c r="B4634">
        <v>2020</v>
      </c>
      <c r="C4634" t="s">
        <v>16</v>
      </c>
      <c r="D4634" t="s">
        <v>19</v>
      </c>
      <c r="E4634">
        <v>58</v>
      </c>
      <c r="F4634">
        <v>76</v>
      </c>
      <c r="G4634">
        <v>3</v>
      </c>
      <c r="H4634" s="1">
        <v>4.9189814814814816E-3</v>
      </c>
      <c r="I4634" t="s">
        <v>23</v>
      </c>
      <c r="J4634" s="2" t="str">
        <f>HYPERLINK("https://www.nba.com/stats/events?CFID=&amp;CFPARAMS=&amp;GameEventID=392&amp;GameID=0022000130&amp;Season=2020-21&amp;flag=1&amp;title=Leonard%2026'%203PT%20%20(14%20PTS)%20(Ibaka%202%20AST)", "26' 3PT  (14 PTS) (S. Ibaka 2 AST)")</f>
        <v>26' 3PT  (14 PTS) (S. Ibaka 2 AST)</v>
      </c>
      <c r="K4634" s="2" t="str">
        <f>HYPERLINK("https://www.nba.com/game/...-vs-...-0022000130/play-by-play?watchFullGame=true", "LAC vs GSW - Q3 07:05.00")</f>
        <v>LAC vs GSW - Q3 07:05.00</v>
      </c>
      <c r="L4634">
        <v>26.21</v>
      </c>
      <c r="M4634">
        <v>74.2</v>
      </c>
      <c r="N4634">
        <v>86.1</v>
      </c>
      <c r="O4634">
        <v>180</v>
      </c>
      <c r="P4634">
        <v>190</v>
      </c>
    </row>
    <row r="4635" spans="1:16" x14ac:dyDescent="0.25">
      <c r="A4635">
        <v>21400875</v>
      </c>
      <c r="B4635">
        <v>2014</v>
      </c>
      <c r="C4635" t="s">
        <v>32</v>
      </c>
      <c r="D4635" t="s">
        <v>19</v>
      </c>
      <c r="E4635">
        <v>62</v>
      </c>
      <c r="F4635">
        <v>83</v>
      </c>
      <c r="G4635">
        <v>4</v>
      </c>
      <c r="H4635" s="1">
        <v>3.6226851851851854E-3</v>
      </c>
      <c r="I4635" t="s">
        <v>18</v>
      </c>
      <c r="J4635" s="2" t="str">
        <f>HYPERLINK("https://www.nba.com/stats/events?CFID=&amp;CFPARAMS=&amp;GameEventID=500&amp;GameID=0021400875&amp;Season=2014-15&amp;flag=1&amp;title=Leonard%2018'%20Jump%20Shot%20(19%20PTS)", "Leonard 18' Jump Shot (19 PTS)")</f>
        <v>Leonard 18' Jump Shot (19 PTS)</v>
      </c>
      <c r="K4635" s="2" t="str">
        <f>HYPERLINK("https://www.nba.com/game/...-vs-...-0021400875/play-by-play?watchFullGame=true", "SAS vs PHX - Q4 05:13.00")</f>
        <v>SAS vs PHX - Q4 05:13.00</v>
      </c>
      <c r="L4635">
        <v>18</v>
      </c>
      <c r="M4635">
        <v>181</v>
      </c>
      <c r="N4635">
        <v>-5</v>
      </c>
      <c r="O4635">
        <v>181</v>
      </c>
      <c r="P4635">
        <v>-5</v>
      </c>
    </row>
    <row r="4636" spans="1:16" x14ac:dyDescent="0.25">
      <c r="A4636">
        <v>21600543</v>
      </c>
      <c r="B4636">
        <v>2016</v>
      </c>
      <c r="C4636" t="s">
        <v>32</v>
      </c>
      <c r="D4636" t="s">
        <v>19</v>
      </c>
      <c r="E4636">
        <v>82</v>
      </c>
      <c r="F4636">
        <v>100</v>
      </c>
      <c r="G4636">
        <v>4</v>
      </c>
      <c r="H4636" s="1">
        <v>6.0648148148148145E-3</v>
      </c>
      <c r="I4636" t="s">
        <v>18</v>
      </c>
      <c r="J4636" s="2" t="str">
        <f>HYPERLINK("https://www.nba.com/stats/events?CFID=&amp;CFPARAMS=&amp;GameEventID=405&amp;GameID=0021600543&amp;Season=2016-17&amp;flag=1&amp;title=Leonard%2018'%20Jump%20Shot%20(20%20PTS)%20(Mills%204%20AST)", "Leonard 18' Jump Shot (20 PTS) (Mills 4 AST)")</f>
        <v>Leonard 18' Jump Shot (20 PTS) (Mills 4 AST)</v>
      </c>
      <c r="K4636" s="2" t="str">
        <f>HYPERLINK("https://www.nba.com/game/...-vs-...-0021600543/play-by-play?watchFullGame=true", "SAS vs DEN - Q4 08:44.00")</f>
        <v>SAS vs DEN - Q4 08:44.00</v>
      </c>
      <c r="L4636">
        <v>18</v>
      </c>
      <c r="M4636">
        <v>181</v>
      </c>
      <c r="N4636">
        <v>16</v>
      </c>
      <c r="O4636">
        <v>181</v>
      </c>
      <c r="P4636">
        <v>16</v>
      </c>
    </row>
    <row r="4637" spans="1:16" x14ac:dyDescent="0.25">
      <c r="A4637">
        <v>21500182</v>
      </c>
      <c r="B4637">
        <v>2015</v>
      </c>
      <c r="C4637" t="s">
        <v>16</v>
      </c>
      <c r="D4637" t="s">
        <v>19</v>
      </c>
      <c r="E4637">
        <v>81</v>
      </c>
      <c r="F4637">
        <v>80</v>
      </c>
      <c r="G4637">
        <v>4</v>
      </c>
      <c r="H4637" s="1">
        <v>7.5231481481481477E-3</v>
      </c>
      <c r="I4637" t="s">
        <v>18</v>
      </c>
      <c r="J4637" s="2" t="str">
        <f>HYPERLINK("https://www.nba.com/stats/events?CFID=&amp;CFPARAMS=&amp;GameEventID=456&amp;GameID=0021500182&amp;Season=2015-16&amp;flag=1&amp;title=Leonard%2025'%203PT%20Jump%20Shot%20(20%20PTS)%20(Parker%205%20AST)", "Leonard 25' 3PT Jump Shot (20 PTS) (Parker 5 AST)")</f>
        <v>Leonard 25' 3PT Jump Shot (20 PTS) (Parker 5 AST)</v>
      </c>
      <c r="K4637" s="2" t="str">
        <f>HYPERLINK("https://www.nba.com/game/...-vs-...-0021500182/play-by-play?watchFullGame=true", "SAS vs NOP - Q4 10:50.00")</f>
        <v>SAS vs NOP - Q4 10:50.00</v>
      </c>
      <c r="L4637">
        <v>25</v>
      </c>
      <c r="M4637">
        <v>181</v>
      </c>
      <c r="N4637">
        <v>174</v>
      </c>
      <c r="O4637">
        <v>181</v>
      </c>
      <c r="P4637">
        <v>174</v>
      </c>
    </row>
    <row r="4638" spans="1:16" x14ac:dyDescent="0.25">
      <c r="A4638">
        <v>41400161</v>
      </c>
      <c r="B4638" t="s">
        <v>28</v>
      </c>
      <c r="C4638" t="s">
        <v>16</v>
      </c>
      <c r="D4638" t="s">
        <v>19</v>
      </c>
      <c r="E4638">
        <v>79</v>
      </c>
      <c r="F4638">
        <v>64</v>
      </c>
      <c r="G4638">
        <v>3</v>
      </c>
      <c r="H4638" s="1">
        <v>1.1574074074074074E-6</v>
      </c>
      <c r="I4638" t="s">
        <v>18</v>
      </c>
      <c r="J4638" s="2" t="str">
        <f>HYPERLINK("https://www.nba.com/stats/events?CFID=&amp;CFPARAMS=&amp;GameEventID=472&amp;GameID=0041400161&amp;Season=2014-15&amp;flag=1&amp;title=Leonard%2025'%203PT%20Jump%20Shot%20(16%20PTS)%20(Ginobili%206%20AST)", "Leonard 25' 3PT Jump Shot (16 PTS) (Ginobili 6 AST)")</f>
        <v>Leonard 25' 3PT Jump Shot (16 PTS) (Ginobili 6 AST)</v>
      </c>
      <c r="K4638" s="2" t="str">
        <f>HYPERLINK("https://www.nba.com/game/...-vs-...-0041400161/play-by-play?watchFullGame=true", "SAS vs LAC - Q3 00:00.10")</f>
        <v>SAS vs LAC - Q3 00:00.10</v>
      </c>
      <c r="L4638">
        <v>25</v>
      </c>
      <c r="M4638">
        <v>181</v>
      </c>
      <c r="N4638">
        <v>175</v>
      </c>
      <c r="O4638">
        <v>181</v>
      </c>
      <c r="P4638">
        <v>175</v>
      </c>
    </row>
    <row r="4639" spans="1:16" x14ac:dyDescent="0.25">
      <c r="A4639">
        <v>21300194</v>
      </c>
      <c r="B4639">
        <v>2013</v>
      </c>
      <c r="C4639" t="s">
        <v>16</v>
      </c>
      <c r="D4639" t="s">
        <v>19</v>
      </c>
      <c r="E4639">
        <v>49</v>
      </c>
      <c r="F4639">
        <v>26</v>
      </c>
      <c r="G4639">
        <v>2</v>
      </c>
      <c r="H4639" s="1">
        <v>4.5949074074074078E-3</v>
      </c>
      <c r="I4639" t="s">
        <v>18</v>
      </c>
      <c r="J4639" s="2" t="str">
        <f>HYPERLINK("https://www.nba.com/stats/events?CFID=&amp;CFPARAMS=&amp;GameEventID=167&amp;GameID=0021300194&amp;Season=2013-14&amp;flag=1&amp;title=Leonard%2025'%203PT%20Jump%20Shot%20(5%20PTS)%20(Belinelli%202%20AST)", "Leonard 25' 3PT Jump Shot (5 PTS) (Belinelli 2 AST)")</f>
        <v>Leonard 25' 3PT Jump Shot (5 PTS) (Belinelli 2 AST)</v>
      </c>
      <c r="K4639" s="2" t="str">
        <f>HYPERLINK("https://www.nba.com/game/...-vs-...-0021300194/play-by-play?watchFullGame=true", "SAS vs CLE - Q2 06:37.00")</f>
        <v>SAS vs CLE - Q2 06:37.00</v>
      </c>
      <c r="L4639">
        <v>25</v>
      </c>
      <c r="M4639">
        <v>181</v>
      </c>
      <c r="N4639">
        <v>176</v>
      </c>
      <c r="O4639">
        <v>181</v>
      </c>
      <c r="P4639">
        <v>176</v>
      </c>
    </row>
    <row r="4640" spans="1:16" x14ac:dyDescent="0.25">
      <c r="A4640">
        <v>41500151</v>
      </c>
      <c r="B4640" t="s">
        <v>25</v>
      </c>
      <c r="C4640" t="s">
        <v>16</v>
      </c>
      <c r="D4640" t="s">
        <v>19</v>
      </c>
      <c r="E4640">
        <v>71</v>
      </c>
      <c r="F4640">
        <v>49</v>
      </c>
      <c r="G4640">
        <v>3</v>
      </c>
      <c r="H4640" s="1">
        <v>3.1712962962962962E-3</v>
      </c>
      <c r="I4640" t="s">
        <v>18</v>
      </c>
      <c r="J4640" s="2" t="str">
        <f>HYPERLINK("https://www.nba.com/stats/events?CFID=&amp;CFPARAMS=&amp;GameEventID=287&amp;GameID=0041500151&amp;Season=2015-16&amp;flag=1&amp;title=Leonard%2024'%203PT%20Jump%20Shot%20(20%20PTS)%20(Mills%202%20AST)", "Leonard 24' 3PT Jump Shot (20 PTS) (Mills 2 AST)")</f>
        <v>Leonard 24' 3PT Jump Shot (20 PTS) (Mills 2 AST)</v>
      </c>
      <c r="K4640" s="2" t="str">
        <f>HYPERLINK("https://www.nba.com/game/...-vs-...-0041500151/play-by-play?watchFullGame=true", "SAS vs MEM - Q3 04:34.00")</f>
        <v>SAS vs MEM - Q3 04:34.00</v>
      </c>
      <c r="L4640">
        <v>24</v>
      </c>
      <c r="M4640">
        <v>182</v>
      </c>
      <c r="N4640">
        <v>154</v>
      </c>
      <c r="O4640">
        <v>182</v>
      </c>
      <c r="P4640">
        <v>154</v>
      </c>
    </row>
    <row r="4641" spans="1:16" x14ac:dyDescent="0.25">
      <c r="A4641">
        <v>21600168</v>
      </c>
      <c r="B4641">
        <v>2016</v>
      </c>
      <c r="C4641" t="s">
        <v>16</v>
      </c>
      <c r="D4641" t="s">
        <v>19</v>
      </c>
      <c r="E4641">
        <v>81</v>
      </c>
      <c r="F4641">
        <v>97</v>
      </c>
      <c r="G4641">
        <v>4</v>
      </c>
      <c r="H4641" s="1">
        <v>4.7222222222222223E-3</v>
      </c>
      <c r="I4641" t="s">
        <v>18</v>
      </c>
      <c r="J4641" s="2" t="str">
        <f>HYPERLINK("https://www.nba.com/stats/events?CFID=&amp;CFPARAMS=&amp;GameEventID=402&amp;GameID=0021600168&amp;Season=2016-17&amp;flag=1&amp;title=Leonard%2024'%203PT%20Jump%20Shot%20(18%20PTS)%20(Parker%207%20AST)", "Leonard 24' 3PT Jump Shot (18 PTS) (Parker 7 AST)")</f>
        <v>Leonard 24' 3PT Jump Shot (18 PTS) (Parker 7 AST)</v>
      </c>
      <c r="K4641" s="2" t="str">
        <f>HYPERLINK("https://www.nba.com/game/...-vs-...-0021600168/play-by-play?watchFullGame=true", "SAS vs SAC - Q4 06:48.00")</f>
        <v>SAS vs SAC - Q4 06:48.00</v>
      </c>
      <c r="L4641">
        <v>24</v>
      </c>
      <c r="M4641">
        <v>182</v>
      </c>
      <c r="N4641">
        <v>164</v>
      </c>
      <c r="O4641">
        <v>182</v>
      </c>
      <c r="P4641">
        <v>164</v>
      </c>
    </row>
    <row r="4642" spans="1:16" x14ac:dyDescent="0.25">
      <c r="A4642">
        <v>41300403</v>
      </c>
      <c r="B4642" t="s">
        <v>26</v>
      </c>
      <c r="C4642" t="s">
        <v>16</v>
      </c>
      <c r="D4642" t="s">
        <v>19</v>
      </c>
      <c r="E4642">
        <v>12</v>
      </c>
      <c r="F4642">
        <v>25</v>
      </c>
      <c r="G4642">
        <v>1</v>
      </c>
      <c r="H4642" s="1">
        <v>3.8541666666666668E-3</v>
      </c>
      <c r="I4642" t="s">
        <v>18</v>
      </c>
      <c r="J4642" s="2" t="str">
        <f>HYPERLINK("https://www.nba.com/stats/events?CFID=&amp;CFPARAMS=&amp;GameEventID=61&amp;GameID=0041300403&amp;Season=2013-14&amp;flag=1&amp;title=Leonard%2025'%203PT%20Jump%20Shot%20(13%20PTS)%20(Parker%202%20AST)", "Leonard 25' 3PT Jump Shot (13 PTS) (Parker 2 AST)")</f>
        <v>Leonard 25' 3PT Jump Shot (13 PTS) (Parker 2 AST)</v>
      </c>
      <c r="K4642" s="2" t="str">
        <f>HYPERLINK("https://www.nba.com/game/...-vs-...-0041300403/play-by-play?watchFullGame=true", "SAS vs MIA - Q1 05:33.00")</f>
        <v>SAS vs MIA - Q1 05:33.00</v>
      </c>
      <c r="L4642">
        <v>25</v>
      </c>
      <c r="M4642">
        <v>182</v>
      </c>
      <c r="N4642">
        <v>173</v>
      </c>
      <c r="O4642">
        <v>182</v>
      </c>
      <c r="P4642">
        <v>173</v>
      </c>
    </row>
    <row r="4643" spans="1:16" x14ac:dyDescent="0.25">
      <c r="A4643">
        <v>21400906</v>
      </c>
      <c r="B4643">
        <v>2014</v>
      </c>
      <c r="C4643" t="s">
        <v>32</v>
      </c>
      <c r="D4643" t="s">
        <v>29</v>
      </c>
      <c r="E4643">
        <v>2</v>
      </c>
      <c r="F4643">
        <v>0</v>
      </c>
      <c r="G4643">
        <v>1</v>
      </c>
      <c r="H4643" s="1">
        <v>8.1134259259259267E-3</v>
      </c>
      <c r="I4643" t="s">
        <v>18</v>
      </c>
      <c r="J4643" s="2" t="str">
        <f>HYPERLINK("https://www.nba.com/stats/events?CFID=&amp;CFPARAMS=&amp;GameEventID=2&amp;GameID=0021400906&amp;Season=2014-15&amp;flag=1&amp;title=Leonard%2019'%20Pullup%20Jump%20Shot%20(2%20PTS)", "Leonard 19' Pullup Jump Shot (2 PTS)")</f>
        <v>Leonard 19' Pullup Jump Shot (2 PTS)</v>
      </c>
      <c r="K4643" s="2" t="str">
        <f>HYPERLINK("https://www.nba.com/game/...-vs-...-0021400906/play-by-play?watchFullGame=true", "SAS vs SAC - Q1 11:41.00")</f>
        <v>SAS vs SAC - Q1 11:41.00</v>
      </c>
      <c r="L4643">
        <v>19</v>
      </c>
      <c r="M4643">
        <v>184</v>
      </c>
      <c r="N4643">
        <v>22</v>
      </c>
      <c r="O4643">
        <v>184</v>
      </c>
      <c r="P4643">
        <v>22</v>
      </c>
    </row>
    <row r="4644" spans="1:16" x14ac:dyDescent="0.25">
      <c r="A4644">
        <v>21600053</v>
      </c>
      <c r="B4644">
        <v>2016</v>
      </c>
      <c r="C4644" t="s">
        <v>16</v>
      </c>
      <c r="D4644" t="s">
        <v>19</v>
      </c>
      <c r="E4644">
        <v>12</v>
      </c>
      <c r="F4644">
        <v>15</v>
      </c>
      <c r="G4644">
        <v>1</v>
      </c>
      <c r="H4644" s="1">
        <v>4.8611111111111112E-3</v>
      </c>
      <c r="I4644" t="s">
        <v>18</v>
      </c>
      <c r="J4644" s="2" t="str">
        <f>HYPERLINK("https://www.nba.com/stats/events?CFID=&amp;CFPARAMS=&amp;GameEventID=32&amp;GameID=0021600053&amp;Season=2016-17&amp;flag=1&amp;title=Leonard%2024'%203PT%20Jump%20Shot%20(8%20PTS)%20(Simmons%201%20AST)", "Leonard 24' 3PT Jump Shot (8 PTS) (Simmons 1 AST)")</f>
        <v>Leonard 24' 3PT Jump Shot (8 PTS) (Simmons 1 AST)</v>
      </c>
      <c r="K4644" s="2" t="str">
        <f>HYPERLINK("https://www.nba.com/game/...-vs-...-0021600053/play-by-play?watchFullGame=true", "SAS vs UTA - Q1 07:00.00")</f>
        <v>SAS vs UTA - Q1 07:00.00</v>
      </c>
      <c r="L4644">
        <v>24</v>
      </c>
      <c r="M4644">
        <v>184</v>
      </c>
      <c r="N4644">
        <v>159</v>
      </c>
      <c r="O4644">
        <v>184</v>
      </c>
      <c r="P4644">
        <v>159</v>
      </c>
    </row>
    <row r="4645" spans="1:16" x14ac:dyDescent="0.25">
      <c r="A4645">
        <v>21500532</v>
      </c>
      <c r="B4645">
        <v>2015</v>
      </c>
      <c r="C4645" t="s">
        <v>16</v>
      </c>
      <c r="D4645" t="s">
        <v>19</v>
      </c>
      <c r="E4645">
        <v>95</v>
      </c>
      <c r="F4645">
        <v>70</v>
      </c>
      <c r="G4645">
        <v>3</v>
      </c>
      <c r="H4645" s="1">
        <v>1.0069444444444444E-3</v>
      </c>
      <c r="I4645" t="s">
        <v>18</v>
      </c>
      <c r="J4645" s="2" t="str">
        <f>HYPERLINK("https://www.nba.com/stats/events?CFID=&amp;CFPARAMS=&amp;GameEventID=339&amp;GameID=0021500532&amp;Season=2015-16&amp;flag=1&amp;title=Leonard%2024'%203PT%20Jump%20Shot%20(13%20PTS)%20(Diaw%204%20AST)", "Leonard 24' 3PT Jump Shot (13 PTS) (Diaw 4 AST)")</f>
        <v>Leonard 24' 3PT Jump Shot (13 PTS) (Diaw 4 AST)</v>
      </c>
      <c r="K4645" s="2" t="str">
        <f>HYPERLINK("https://www.nba.com/game/...-vs-...-0021500532/play-by-play?watchFullGame=true", "SAS vs UTA - Q3 01:27.00")</f>
        <v>SAS vs UTA - Q3 01:27.00</v>
      </c>
      <c r="L4645">
        <v>24</v>
      </c>
      <c r="M4645">
        <v>184</v>
      </c>
      <c r="N4645">
        <v>160</v>
      </c>
      <c r="O4645">
        <v>184</v>
      </c>
      <c r="P4645">
        <v>160</v>
      </c>
    </row>
    <row r="4646" spans="1:16" x14ac:dyDescent="0.25">
      <c r="A4646">
        <v>21600458</v>
      </c>
      <c r="B4646">
        <v>2016</v>
      </c>
      <c r="C4646" t="s">
        <v>16</v>
      </c>
      <c r="D4646" t="s">
        <v>29</v>
      </c>
      <c r="E4646">
        <v>98</v>
      </c>
      <c r="F4646">
        <v>86</v>
      </c>
      <c r="G4646">
        <v>4</v>
      </c>
      <c r="H4646" s="1">
        <v>6.4120370370370373E-3</v>
      </c>
      <c r="I4646" t="s">
        <v>18</v>
      </c>
      <c r="J4646" s="2" t="str">
        <f>HYPERLINK("https://www.nba.com/stats/events?CFID=&amp;CFPARAMS=&amp;GameEventID=409&amp;GameID=0021600458&amp;Season=2016-17&amp;flag=1&amp;title=Leonard%2025'%203PT%20Pullup%20Jump%20Shot%20(25%20PTS)%20(Green%203%20AST)", "Leonard 25' 3PT Pullup Jump Shot (25 PTS) (Green 3 AST)")</f>
        <v>Leonard 25' 3PT Pullup Jump Shot (25 PTS) (Green 3 AST)</v>
      </c>
      <c r="K4646" s="2" t="str">
        <f>HYPERLINK("https://www.nba.com/game/...-vs-...-0021600458/play-by-play?watchFullGame=true", "SAS vs CHI - Q4 09:14.00")</f>
        <v>SAS vs CHI - Q4 09:14.00</v>
      </c>
      <c r="L4646">
        <v>25</v>
      </c>
      <c r="M4646">
        <v>184</v>
      </c>
      <c r="N4646">
        <v>164</v>
      </c>
      <c r="O4646">
        <v>184</v>
      </c>
      <c r="P4646">
        <v>164</v>
      </c>
    </row>
    <row r="4647" spans="1:16" x14ac:dyDescent="0.25">
      <c r="A4647">
        <v>21400291</v>
      </c>
      <c r="B4647">
        <v>2014</v>
      </c>
      <c r="C4647" t="s">
        <v>32</v>
      </c>
      <c r="D4647" t="s">
        <v>19</v>
      </c>
      <c r="E4647">
        <v>62</v>
      </c>
      <c r="F4647">
        <v>44</v>
      </c>
      <c r="G4647">
        <v>2</v>
      </c>
      <c r="H4647" s="1">
        <v>1.3078703703703703E-3</v>
      </c>
      <c r="I4647" t="s">
        <v>18</v>
      </c>
      <c r="J4647" s="2" t="str">
        <f>HYPERLINK("https://www.nba.com/stats/events?CFID=&amp;CFPARAMS=&amp;GameEventID=238&amp;GameID=0021400291&amp;Season=2014-15&amp;flag=1&amp;title=Leonard%2019'%20Jump%20Shot%20(12%20PTS)%20(Diaw%204%20AST)", "Leonard 19' Jump Shot (12 PTS) (Diaw 4 AST)")</f>
        <v>Leonard 19' Jump Shot (12 PTS) (Diaw 4 AST)</v>
      </c>
      <c r="K4647" s="2" t="str">
        <f>HYPERLINK("https://www.nba.com/game/...-vs-...-0021400291/play-by-play?watchFullGame=true", "SAS vs MIN - Q2 01:53.00")</f>
        <v>SAS vs MIN - Q2 01:53.00</v>
      </c>
      <c r="L4647">
        <v>19</v>
      </c>
      <c r="M4647">
        <v>185</v>
      </c>
      <c r="N4647">
        <v>0</v>
      </c>
      <c r="O4647">
        <v>185</v>
      </c>
      <c r="P4647">
        <v>0</v>
      </c>
    </row>
    <row r="4648" spans="1:16" x14ac:dyDescent="0.25">
      <c r="A4648">
        <v>22200945</v>
      </c>
      <c r="B4648">
        <v>2022</v>
      </c>
      <c r="C4648" t="s">
        <v>16</v>
      </c>
      <c r="D4648" t="s">
        <v>19</v>
      </c>
      <c r="E4648">
        <v>13</v>
      </c>
      <c r="F4648">
        <v>15</v>
      </c>
      <c r="G4648">
        <v>1</v>
      </c>
      <c r="H4648" s="1">
        <v>3.8310185185185183E-3</v>
      </c>
      <c r="I4648" t="s">
        <v>23</v>
      </c>
      <c r="J4648" s="2" t="str">
        <f>HYPERLINK("https://www.nba.com/stats/events?CFID=&amp;CFPARAMS=&amp;GameEventID=80&amp;GameID=0022200945&amp;Season=2022-23&amp;flag=1&amp;title=Leonard%2025'%203PT%20%20(3%20PTS)%20(P.%20George%201%20AST)", "25' 3PT  (3 PTS) (P. George 1 AST)")</f>
        <v>25' 3PT  (3 PTS) (P. George 1 AST)</v>
      </c>
      <c r="K4648" s="2" t="str">
        <f>HYPERLINK("https://www.nba.com/game/...-vs-...-0022200945/play-by-play?watchFullGame=true", "LAC vs GSW - Q1 05:31.00")</f>
        <v>LAC vs GSW - Q1 05:31.00</v>
      </c>
      <c r="L4648">
        <v>25.23</v>
      </c>
      <c r="M4648">
        <v>76.17</v>
      </c>
      <c r="N4648">
        <v>87.01</v>
      </c>
      <c r="O4648">
        <v>185</v>
      </c>
      <c r="P4648">
        <v>172</v>
      </c>
    </row>
    <row r="4649" spans="1:16" x14ac:dyDescent="0.25">
      <c r="A4649">
        <v>41400163</v>
      </c>
      <c r="B4649" t="s">
        <v>28</v>
      </c>
      <c r="C4649" t="s">
        <v>16</v>
      </c>
      <c r="D4649" t="s">
        <v>19</v>
      </c>
      <c r="E4649">
        <v>59</v>
      </c>
      <c r="F4649">
        <v>43</v>
      </c>
      <c r="G4649">
        <v>3</v>
      </c>
      <c r="H4649" s="1">
        <v>5.1273148148148146E-3</v>
      </c>
      <c r="I4649" t="s">
        <v>18</v>
      </c>
      <c r="J4649" s="2" t="str">
        <f>HYPERLINK("https://www.nba.com/stats/events?CFID=&amp;CFPARAMS=&amp;GameEventID=273&amp;GameID=0041400163&amp;Season=2014-15&amp;flag=1&amp;title=Leonard%2025'%203PT%20Jump%20Shot%20(27%20PTS)%20(Parker%203%20AST)", "Leonard 25' 3PT Jump Shot (27 PTS) (Parker 3 AST)")</f>
        <v>Leonard 25' 3PT Jump Shot (27 PTS) (Parker 3 AST)</v>
      </c>
      <c r="K4649" s="2" t="str">
        <f>HYPERLINK("https://www.nba.com/game/...-vs-...-0041400163/play-by-play?watchFullGame=true", "SAS vs LAC - Q3 07:23.00")</f>
        <v>SAS vs LAC - Q3 07:23.00</v>
      </c>
      <c r="L4649">
        <v>25</v>
      </c>
      <c r="M4649">
        <v>185</v>
      </c>
      <c r="N4649">
        <v>175</v>
      </c>
      <c r="O4649">
        <v>185</v>
      </c>
      <c r="P4649">
        <v>175</v>
      </c>
    </row>
    <row r="4650" spans="1:16" x14ac:dyDescent="0.25">
      <c r="A4650">
        <v>22301017</v>
      </c>
      <c r="B4650">
        <v>2023</v>
      </c>
      <c r="C4650" t="s">
        <v>16</v>
      </c>
      <c r="D4650" t="s">
        <v>19</v>
      </c>
      <c r="E4650">
        <v>10</v>
      </c>
      <c r="F4650">
        <v>15</v>
      </c>
      <c r="G4650">
        <v>1</v>
      </c>
      <c r="H4650" s="1">
        <v>5.4745370370370373E-3</v>
      </c>
      <c r="I4650" t="s">
        <v>23</v>
      </c>
      <c r="J4650" s="2" t="str">
        <f>HYPERLINK("https://www.nba.com/stats/events?CFID=&amp;CFPARAMS=&amp;GameEventID=50&amp;GameID=0022301017&amp;Season=2023-24&amp;flag=1&amp;title=Leonard%2026'%203PT%20running%20(3%20PTS)%20(T.%20Mann%202%20AST)", "26' 3PT running (3 PTS) (T. Mann 2 AST)")</f>
        <v>26' 3PT running (3 PTS) (T. Mann 2 AST)</v>
      </c>
      <c r="K4650" s="2" t="str">
        <f>HYPERLINK("https://www.nba.com/game/...-vs-...-0022301017/play-by-play?watchFullGame=true", "LAC vs POR - Q1 07:53.00")</f>
        <v>LAC vs POR - Q1 07:53.00</v>
      </c>
      <c r="L4650">
        <v>26.35</v>
      </c>
      <c r="M4650">
        <v>74.459999999999994</v>
      </c>
      <c r="N4650">
        <v>87.01</v>
      </c>
      <c r="O4650">
        <v>185</v>
      </c>
      <c r="P4650">
        <v>188</v>
      </c>
    </row>
    <row r="4651" spans="1:16" x14ac:dyDescent="0.25">
      <c r="A4651">
        <v>22000867</v>
      </c>
      <c r="B4651">
        <v>2020</v>
      </c>
      <c r="C4651" t="s">
        <v>16</v>
      </c>
      <c r="D4651" t="s">
        <v>19</v>
      </c>
      <c r="E4651">
        <v>72</v>
      </c>
      <c r="F4651">
        <v>51</v>
      </c>
      <c r="G4651">
        <v>2</v>
      </c>
      <c r="H4651" s="1">
        <v>3.4606481481481478E-4</v>
      </c>
      <c r="I4651" t="s">
        <v>23</v>
      </c>
      <c r="J4651" s="2" t="str">
        <f>HYPERLINK("https://www.nba.com/stats/events?CFID=&amp;CFPARAMS=&amp;GameEventID=324&amp;GameID=0022000867&amp;Season=2020-21&amp;flag=1&amp;title=Leonard%2026'%203PT%20%20(8%20PTS)%20(T.%20Mann%202%20AST)", "26' 3PT  (8 PTS) (T. Mann 2 AST)")</f>
        <v>26' 3PT  (8 PTS) (T. Mann 2 AST)</v>
      </c>
      <c r="K4651" s="2" t="str">
        <f>HYPERLINK("https://www.nba.com/game/...-vs-...-0022000867/play-by-play?watchFullGame=true", "LAC vs MIN - Q2 00:29.90")</f>
        <v>LAC vs MIN - Q2 00:29.90</v>
      </c>
      <c r="L4651">
        <v>26.55</v>
      </c>
      <c r="M4651">
        <v>74.2</v>
      </c>
      <c r="N4651">
        <v>87.08</v>
      </c>
      <c r="O4651">
        <v>185</v>
      </c>
      <c r="P4651">
        <v>190</v>
      </c>
    </row>
    <row r="4652" spans="1:16" x14ac:dyDescent="0.25">
      <c r="A4652">
        <v>21600383</v>
      </c>
      <c r="B4652">
        <v>2016</v>
      </c>
      <c r="C4652" t="s">
        <v>32</v>
      </c>
      <c r="D4652" t="s">
        <v>19</v>
      </c>
      <c r="E4652">
        <v>20</v>
      </c>
      <c r="F4652">
        <v>14</v>
      </c>
      <c r="G4652">
        <v>1</v>
      </c>
      <c r="H4652" s="1">
        <v>3.0208333333333333E-3</v>
      </c>
      <c r="I4652" t="s">
        <v>18</v>
      </c>
      <c r="J4652" s="2" t="str">
        <f>HYPERLINK("https://www.nba.com/stats/events?CFID=&amp;CFPARAMS=&amp;GameEventID=71&amp;GameID=0021600383&amp;Season=2016-17&amp;flag=1&amp;title=Leonard%2019'%20Jump%20Shot%20(7%20PTS)", "Leonard 19' Jump Shot (7 PTS)")</f>
        <v>Leonard 19' Jump Shot (7 PTS)</v>
      </c>
      <c r="K4652" s="2" t="str">
        <f>HYPERLINK("https://www.nba.com/game/...-vs-...-0021600383/play-by-play?watchFullGame=true", "SAS vs BOS - Q1 04:21.00")</f>
        <v>SAS vs BOS - Q1 04:21.00</v>
      </c>
      <c r="L4652">
        <v>19</v>
      </c>
      <c r="M4652">
        <v>186</v>
      </c>
      <c r="N4652">
        <v>18</v>
      </c>
      <c r="O4652">
        <v>186</v>
      </c>
      <c r="P4652">
        <v>18</v>
      </c>
    </row>
    <row r="4653" spans="1:16" x14ac:dyDescent="0.25">
      <c r="A4653">
        <v>22300127</v>
      </c>
      <c r="B4653">
        <v>2023</v>
      </c>
      <c r="C4653" t="s">
        <v>16</v>
      </c>
      <c r="D4653" t="s">
        <v>19</v>
      </c>
      <c r="E4653">
        <v>5</v>
      </c>
      <c r="F4653">
        <v>11</v>
      </c>
      <c r="G4653">
        <v>1</v>
      </c>
      <c r="H4653" s="1">
        <v>6.1111111111111114E-3</v>
      </c>
      <c r="I4653" t="s">
        <v>23</v>
      </c>
      <c r="J4653" s="2" t="str">
        <f>HYPERLINK("https://www.nba.com/stats/events?CFID=&amp;CFPARAMS=&amp;GameEventID=35&amp;GameID=0022300127&amp;Season=2023-24&amp;flag=1&amp;title=Leonard%2024'%203PT%20%20(7%20PTS)%20(R.%20Westbrook%203%20AST)", "24' 3PT  (7 PTS) (R. Westbrook 3 AST)")</f>
        <v>24' 3PT  (7 PTS) (R. Westbrook 3 AST)</v>
      </c>
      <c r="K4653" s="2" t="str">
        <f>HYPERLINK("https://www.nba.com/game/...-vs-...-0022300127/play-by-play?watchFullGame=true", "LAC vs LAL - Q1 08:48.00")</f>
        <v>LAC vs LAL - Q1 08:48.00</v>
      </c>
      <c r="L4653">
        <v>24.6</v>
      </c>
      <c r="M4653">
        <v>77.319999999999993</v>
      </c>
      <c r="N4653">
        <v>87.25</v>
      </c>
      <c r="O4653">
        <v>186</v>
      </c>
      <c r="P4653">
        <v>161</v>
      </c>
    </row>
    <row r="4654" spans="1:16" x14ac:dyDescent="0.25">
      <c r="A4654">
        <v>21500061</v>
      </c>
      <c r="B4654">
        <v>2015</v>
      </c>
      <c r="C4654" t="s">
        <v>16</v>
      </c>
      <c r="D4654" t="s">
        <v>19</v>
      </c>
      <c r="E4654">
        <v>19</v>
      </c>
      <c r="F4654">
        <v>13</v>
      </c>
      <c r="G4654">
        <v>1</v>
      </c>
      <c r="H4654" s="1">
        <v>2.673611111111111E-3</v>
      </c>
      <c r="I4654" t="s">
        <v>18</v>
      </c>
      <c r="J4654" s="2" t="str">
        <f>HYPERLINK("https://www.nba.com/stats/events?CFID=&amp;CFPARAMS=&amp;GameEventID=72&amp;GameID=0021500061&amp;Season=2015-16&amp;flag=1&amp;title=Leonard%2026'%203PT%20Jump%20Shot%20(7%20PTS)%20(Aldridge%201%20AST)", "Leonard 26' 3PT Jump Shot (7 PTS) (Aldridge 1 AST)")</f>
        <v>Leonard 26' 3PT Jump Shot (7 PTS) (Aldridge 1 AST)</v>
      </c>
      <c r="K4654" s="2" t="str">
        <f>HYPERLINK("https://www.nba.com/game/...-vs-...-0021500061/play-by-play?watchFullGame=true", "SAS vs WAS - Q1 03:51.00")</f>
        <v>SAS vs WAS - Q1 03:51.00</v>
      </c>
      <c r="L4654">
        <v>26</v>
      </c>
      <c r="M4654">
        <v>186</v>
      </c>
      <c r="N4654">
        <v>178</v>
      </c>
      <c r="O4654">
        <v>186</v>
      </c>
      <c r="P4654">
        <v>178</v>
      </c>
    </row>
    <row r="4655" spans="1:16" x14ac:dyDescent="0.25">
      <c r="A4655">
        <v>21600942</v>
      </c>
      <c r="B4655">
        <v>2016</v>
      </c>
      <c r="C4655" t="s">
        <v>16</v>
      </c>
      <c r="D4655" t="s">
        <v>19</v>
      </c>
      <c r="E4655">
        <v>5</v>
      </c>
      <c r="F4655">
        <v>4</v>
      </c>
      <c r="G4655">
        <v>1</v>
      </c>
      <c r="H4655" s="1">
        <v>6.9675925925925929E-3</v>
      </c>
      <c r="I4655" t="s">
        <v>18</v>
      </c>
      <c r="J4655" s="2" t="str">
        <f>HYPERLINK("https://www.nba.com/stats/events?CFID=&amp;CFPARAMS=&amp;GameEventID=11&amp;GameID=0021600942&amp;Season=2016-17&amp;flag=1&amp;title=Leonard%2026'%203PT%20Jump%20Shot%20(5%20PTS)%20(Green%201%20AST)", "Leonard 26' 3PT Jump Shot (5 PTS) (Green 1 AST)")</f>
        <v>Leonard 26' 3PT Jump Shot (5 PTS) (Green 1 AST)</v>
      </c>
      <c r="K4655" s="2" t="str">
        <f>HYPERLINK("https://www.nba.com/game/...-vs-...-0021600942/play-by-play?watchFullGame=true", "SAS vs HOU - Q1 10:02.00")</f>
        <v>SAS vs HOU - Q1 10:02.00</v>
      </c>
      <c r="L4655">
        <v>26</v>
      </c>
      <c r="M4655">
        <v>186</v>
      </c>
      <c r="N4655">
        <v>183</v>
      </c>
      <c r="O4655">
        <v>186</v>
      </c>
      <c r="P4655">
        <v>183</v>
      </c>
    </row>
    <row r="4656" spans="1:16" x14ac:dyDescent="0.25">
      <c r="A4656">
        <v>22000756</v>
      </c>
      <c r="B4656">
        <v>2020</v>
      </c>
      <c r="C4656" t="s">
        <v>32</v>
      </c>
      <c r="D4656" t="s">
        <v>19</v>
      </c>
      <c r="E4656">
        <v>94</v>
      </c>
      <c r="F4656">
        <v>75</v>
      </c>
      <c r="G4656">
        <v>4</v>
      </c>
      <c r="H4656" s="1">
        <v>3.4953703703703705E-3</v>
      </c>
      <c r="I4656" t="s">
        <v>23</v>
      </c>
      <c r="J4656" s="2" t="str">
        <f>HYPERLINK("https://www.nba.com/stats/events?CFID=&amp;CFPARAMS=&amp;GameEventID=578&amp;GameID=0022000756&amp;Season=2020-21&amp;flag=1&amp;title=Leonard%2018'%20step%20back%20Jump%20Shot%20(17%20PTS)", "18' step back Jump Shot (17 PTS)")</f>
        <v>18' step back Jump Shot (17 PTS)</v>
      </c>
      <c r="K4656" s="2" t="str">
        <f>HYPERLINK("https://www.nba.com/game/...-vs-...-0022000756/play-by-play?watchFullGame=true", "LAC vs LAL - Q4 05:02.00")</f>
        <v>LAC vs LAL - Q4 05:02.00</v>
      </c>
      <c r="L4656">
        <v>18.72</v>
      </c>
      <c r="M4656">
        <v>5.86</v>
      </c>
      <c r="N4656">
        <v>12.57</v>
      </c>
      <c r="O4656">
        <v>187</v>
      </c>
      <c r="P4656">
        <v>3</v>
      </c>
    </row>
    <row r="4657" spans="1:16" x14ac:dyDescent="0.25">
      <c r="A4657">
        <v>21600508</v>
      </c>
      <c r="B4657">
        <v>2016</v>
      </c>
      <c r="C4657" t="s">
        <v>32</v>
      </c>
      <c r="D4657" t="s">
        <v>29</v>
      </c>
      <c r="E4657">
        <v>75</v>
      </c>
      <c r="F4657">
        <v>77</v>
      </c>
      <c r="G4657">
        <v>4</v>
      </c>
      <c r="H4657" s="1">
        <v>7.1990740740740739E-3</v>
      </c>
      <c r="I4657" t="s">
        <v>18</v>
      </c>
      <c r="J4657" s="2" t="str">
        <f>HYPERLINK("https://www.nba.com/stats/events?CFID=&amp;CFPARAMS=&amp;GameEventID=437&amp;GameID=0021600508&amp;Season=2016-17&amp;flag=1&amp;title=Leonard%2021'%20Pullup%20Jump%20Shot%20(8%20PTS)%20(Gasol%202%20AST)", "Leonard 21' Pullup Jump Shot (8 PTS) (Gasol 2 AST)")</f>
        <v>Leonard 21' Pullup Jump Shot (8 PTS) (Gasol 2 AST)</v>
      </c>
      <c r="K4657" s="2" t="str">
        <f>HYPERLINK("https://www.nba.com/game/...-vs-...-0021600508/play-by-play?watchFullGame=true", "SAS vs ATL - Q4 10:22.00")</f>
        <v>SAS vs ATL - Q4 10:22.00</v>
      </c>
      <c r="L4657">
        <v>21</v>
      </c>
      <c r="M4657">
        <v>187</v>
      </c>
      <c r="N4657">
        <v>90</v>
      </c>
      <c r="O4657">
        <v>187</v>
      </c>
      <c r="P4657">
        <v>90</v>
      </c>
    </row>
    <row r="4658" spans="1:16" x14ac:dyDescent="0.25">
      <c r="A4658">
        <v>22400679</v>
      </c>
      <c r="B4658">
        <v>2024</v>
      </c>
      <c r="C4658" t="s">
        <v>16</v>
      </c>
      <c r="D4658" t="s">
        <v>19</v>
      </c>
      <c r="E4658">
        <v>32</v>
      </c>
      <c r="F4658">
        <v>40</v>
      </c>
      <c r="G4658">
        <v>2</v>
      </c>
      <c r="H4658" s="1">
        <v>3.3912037037037036E-3</v>
      </c>
      <c r="I4658" t="s">
        <v>23</v>
      </c>
      <c r="J4658" s="2" t="str">
        <f>HYPERLINK("https://www.nba.com/stats/events?CFID=&amp;CFPARAMS=&amp;GameEventID=243&amp;GameID=0022400679&amp;Season=2024-25&amp;flag=1&amp;title=Leonard%2025'%203PT%20%20(9%20PTS)", "25' 3PT  (9 PTS)")</f>
        <v>25' 3PT  (9 PTS)</v>
      </c>
      <c r="K4658" s="2" t="str">
        <f>HYPERLINK("https://www.nba.com/game/...-vs-...-0022400679/play-by-play?watchFullGame=true", "LAC vs CHA - Q2 04:53.00")</f>
        <v>LAC vs CHA - Q2 04:53.00</v>
      </c>
      <c r="L4658">
        <v>25.58</v>
      </c>
      <c r="M4658">
        <v>75.900000000000006</v>
      </c>
      <c r="N4658">
        <v>87.5</v>
      </c>
      <c r="O4658">
        <v>188</v>
      </c>
      <c r="P4658">
        <v>174</v>
      </c>
    </row>
    <row r="4659" spans="1:16" x14ac:dyDescent="0.25">
      <c r="A4659">
        <v>22300473</v>
      </c>
      <c r="B4659">
        <v>2023</v>
      </c>
      <c r="C4659" t="s">
        <v>16</v>
      </c>
      <c r="D4659" t="s">
        <v>19</v>
      </c>
      <c r="E4659">
        <v>33</v>
      </c>
      <c r="F4659">
        <v>48</v>
      </c>
      <c r="G4659">
        <v>2</v>
      </c>
      <c r="H4659" s="1">
        <v>4.9652777777777777E-3</v>
      </c>
      <c r="I4659" t="s">
        <v>23</v>
      </c>
      <c r="J4659" s="2" t="str">
        <f>HYPERLINK("https://www.nba.com/stats/events?CFID=&amp;CFPARAMS=&amp;GameEventID=204&amp;GameID=0022300473&amp;Season=2023-24&amp;flag=1&amp;title=Leonard%2026'%203PT%20running%20(3%20PTS)%20(D.%20Theis%201%20AST)", "26' 3PT running (3 PTS) (D. Theis 1 AST)")</f>
        <v>26' 3PT running (3 PTS) (D. Theis 1 AST)</v>
      </c>
      <c r="K4659" s="2" t="str">
        <f>HYPERLINK("https://www.nba.com/game/...-vs-...-0022300473/play-by-play?watchFullGame=true", "LAC vs PHX - Q2 07:09.00")</f>
        <v>LAC vs PHX - Q2 07:09.00</v>
      </c>
      <c r="L4659">
        <v>26.09</v>
      </c>
      <c r="M4659">
        <v>75.11</v>
      </c>
      <c r="N4659">
        <v>87.5</v>
      </c>
      <c r="O4659">
        <v>188</v>
      </c>
      <c r="P4659">
        <v>181</v>
      </c>
    </row>
    <row r="4660" spans="1:16" x14ac:dyDescent="0.25">
      <c r="A4660">
        <v>21900576</v>
      </c>
      <c r="B4660">
        <v>2019</v>
      </c>
      <c r="C4660" t="s">
        <v>16</v>
      </c>
      <c r="D4660" t="s">
        <v>22</v>
      </c>
      <c r="E4660">
        <v>48</v>
      </c>
      <c r="F4660">
        <v>51</v>
      </c>
      <c r="G4660">
        <v>2</v>
      </c>
      <c r="H4660" s="1">
        <v>6.4120370370370373E-4</v>
      </c>
      <c r="I4660" t="s">
        <v>23</v>
      </c>
      <c r="J4660" s="2" t="str">
        <f>HYPERLINK("https://www.nba.com/stats/events?CFID=&amp;CFPARAMS=&amp;GameEventID=318&amp;GameID=0021900576&amp;Season=2019-20&amp;flag=1&amp;title=Leonard%2027'%203PT%20%20(15%20PTS)%20(P.%20Beverley%206%20AST)", "27' 3PT  (15 PTS) (P. Beverley 6 AST)")</f>
        <v>27' 3PT  (15 PTS) (P. Beverley 6 AST)</v>
      </c>
      <c r="K4660" s="2" t="str">
        <f>HYPERLINK("https://www.nba.com/game/...-vs-...-0021900576/play-by-play?watchFullGame=true", "LAC vs GSW - Q2 00:55.40")</f>
        <v>LAC vs GSW - Q2 00:55.40</v>
      </c>
      <c r="L4660">
        <v>27.35</v>
      </c>
      <c r="M4660">
        <v>73.900000000000006</v>
      </c>
      <c r="N4660">
        <v>87.68</v>
      </c>
      <c r="O4660">
        <v>188</v>
      </c>
      <c r="P4660">
        <v>193</v>
      </c>
    </row>
    <row r="4661" spans="1:16" x14ac:dyDescent="0.25">
      <c r="A4661">
        <v>21400906</v>
      </c>
      <c r="B4661">
        <v>2014</v>
      </c>
      <c r="C4661" t="s">
        <v>32</v>
      </c>
      <c r="D4661" t="s">
        <v>19</v>
      </c>
      <c r="E4661">
        <v>15</v>
      </c>
      <c r="F4661">
        <v>11</v>
      </c>
      <c r="G4661">
        <v>1</v>
      </c>
      <c r="H4661" s="1">
        <v>4.3055555555555555E-3</v>
      </c>
      <c r="I4661" t="s">
        <v>18</v>
      </c>
      <c r="J4661" s="2" t="str">
        <f>HYPERLINK("https://www.nba.com/stats/events?CFID=&amp;CFPARAMS=&amp;GameEventID=47&amp;GameID=0021400906&amp;Season=2014-15&amp;flag=1&amp;title=Leonard%2019'%20Jump%20Shot%20(9%20PTS)", "Leonard 19' Jump Shot (9 PTS)")</f>
        <v>Leonard 19' Jump Shot (9 PTS)</v>
      </c>
      <c r="K4661" s="2" t="str">
        <f>HYPERLINK("https://www.nba.com/game/...-vs-...-0021400906/play-by-play?watchFullGame=true", "SAS vs SAC - Q1 06:12.00")</f>
        <v>SAS vs SAC - Q1 06:12.00</v>
      </c>
      <c r="L4661">
        <v>19</v>
      </c>
      <c r="M4661">
        <v>189</v>
      </c>
      <c r="N4661">
        <v>7</v>
      </c>
      <c r="O4661">
        <v>189</v>
      </c>
      <c r="P4661">
        <v>7</v>
      </c>
    </row>
    <row r="4662" spans="1:16" x14ac:dyDescent="0.25">
      <c r="A4662">
        <v>22300309</v>
      </c>
      <c r="B4662">
        <v>2023</v>
      </c>
      <c r="C4662" t="s">
        <v>32</v>
      </c>
      <c r="D4662" t="s">
        <v>19</v>
      </c>
      <c r="E4662">
        <v>67</v>
      </c>
      <c r="F4662">
        <v>41</v>
      </c>
      <c r="G4662">
        <v>2</v>
      </c>
      <c r="H4662" s="1">
        <v>2.0717592592592593E-3</v>
      </c>
      <c r="I4662" t="s">
        <v>23</v>
      </c>
      <c r="J4662" s="2" t="str">
        <f>HYPERLINK("https://www.nba.com/stats/events?CFID=&amp;CFPARAMS=&amp;GameEventID=285&amp;GameID=0022300309&amp;Season=2023-24&amp;flag=1&amp;title=Leonard%2019'%20Jump%20Shot%20(17%20PTS)%20(J.%20Harden%205%20AST)", "19' Jump Shot (17 PTS) (J. Harden 5 AST)")</f>
        <v>19' Jump Shot (17 PTS) (J. Harden 5 AST)</v>
      </c>
      <c r="K4662" s="2" t="str">
        <f>HYPERLINK("https://www.nba.com/game/...-vs-...-0022300309/play-by-play?watchFullGame=true", "LAC vs SAC - Q2 02:59.00")</f>
        <v>LAC vs SAC - Q2 02:59.00</v>
      </c>
      <c r="L4662">
        <v>19.39</v>
      </c>
      <c r="M4662">
        <v>89.67</v>
      </c>
      <c r="N4662">
        <v>87.75</v>
      </c>
      <c r="O4662">
        <v>189</v>
      </c>
      <c r="P4662">
        <v>45</v>
      </c>
    </row>
    <row r="4663" spans="1:16" x14ac:dyDescent="0.25">
      <c r="A4663">
        <v>21600454</v>
      </c>
      <c r="B4663">
        <v>2016</v>
      </c>
      <c r="C4663" t="s">
        <v>16</v>
      </c>
      <c r="D4663" t="s">
        <v>19</v>
      </c>
      <c r="E4663">
        <v>55</v>
      </c>
      <c r="F4663">
        <v>66</v>
      </c>
      <c r="G4663">
        <v>3</v>
      </c>
      <c r="H4663" s="1">
        <v>5.8912037037037041E-3</v>
      </c>
      <c r="I4663" t="s">
        <v>18</v>
      </c>
      <c r="J4663" s="2" t="str">
        <f>HYPERLINK("https://www.nba.com/stats/events?CFID=&amp;CFPARAMS=&amp;GameEventID=300&amp;GameID=0021600454&amp;Season=2016-17&amp;flag=1&amp;title=Leonard%2025'%203PT%20Jump%20Shot%20(17%20PTS)%20(Murray%201%20AST)", "Leonard 25' 3PT Jump Shot (17 PTS) (Murray 1 AST)")</f>
        <v>Leonard 25' 3PT Jump Shot (17 PTS) (Murray 1 AST)</v>
      </c>
      <c r="K4663" s="2" t="str">
        <f>HYPERLINK("https://www.nba.com/game/...-vs-...-0021600454/play-by-play?watchFullGame=true", "SAS vs POR - Q3 08:29.00")</f>
        <v>SAS vs POR - Q3 08:29.00</v>
      </c>
      <c r="L4663">
        <v>25</v>
      </c>
      <c r="M4663">
        <v>189</v>
      </c>
      <c r="N4663">
        <v>159</v>
      </c>
      <c r="O4663">
        <v>189</v>
      </c>
      <c r="P4663">
        <v>159</v>
      </c>
    </row>
    <row r="4664" spans="1:16" x14ac:dyDescent="0.25">
      <c r="A4664">
        <v>41300223</v>
      </c>
      <c r="B4664" t="s">
        <v>26</v>
      </c>
      <c r="C4664" t="s">
        <v>16</v>
      </c>
      <c r="D4664" t="s">
        <v>19</v>
      </c>
      <c r="E4664">
        <v>97</v>
      </c>
      <c r="F4664">
        <v>114</v>
      </c>
      <c r="G4664">
        <v>4</v>
      </c>
      <c r="H4664" s="1">
        <v>1.9675925925925924E-3</v>
      </c>
      <c r="I4664" t="s">
        <v>18</v>
      </c>
      <c r="J4664" s="2" t="str">
        <f>HYPERLINK("https://www.nba.com/stats/events?CFID=&amp;CFPARAMS=&amp;GameEventID=519&amp;GameID=0041300223&amp;Season=2013-14&amp;flag=1&amp;title=Leonard%2025'%203PT%20Jump%20Shot%20(16%20PTS)%20(Ginobili%205%20AST)", "Leonard 25' 3PT Jump Shot (16 PTS) (Ginobili 5 AST)")</f>
        <v>Leonard 25' 3PT Jump Shot (16 PTS) (Ginobili 5 AST)</v>
      </c>
      <c r="K4664" s="2" t="str">
        <f>HYPERLINK("https://www.nba.com/game/...-vs-...-0041300223/play-by-play?watchFullGame=true", "SAS vs POR - Q4 02:50.00")</f>
        <v>SAS vs POR - Q4 02:50.00</v>
      </c>
      <c r="L4664">
        <v>25</v>
      </c>
      <c r="M4664">
        <v>190</v>
      </c>
      <c r="N4664">
        <v>160</v>
      </c>
      <c r="O4664">
        <v>190</v>
      </c>
      <c r="P4664">
        <v>160</v>
      </c>
    </row>
    <row r="4665" spans="1:16" x14ac:dyDescent="0.25">
      <c r="A4665">
        <v>22300280</v>
      </c>
      <c r="B4665">
        <v>2023</v>
      </c>
      <c r="C4665" t="s">
        <v>16</v>
      </c>
      <c r="D4665" t="s">
        <v>19</v>
      </c>
      <c r="E4665">
        <v>76</v>
      </c>
      <c r="F4665">
        <v>85</v>
      </c>
      <c r="G4665">
        <v>3</v>
      </c>
      <c r="H4665" s="1">
        <v>3.0439814814814813E-3</v>
      </c>
      <c r="I4665" t="s">
        <v>23</v>
      </c>
      <c r="J4665" s="2" t="str">
        <f>HYPERLINK("https://www.nba.com/stats/events?CFID=&amp;CFPARAMS=&amp;GameEventID=423&amp;GameID=0022300280&amp;Season=2023-24&amp;flag=1&amp;title=Leonard%2025'%203PT%20%20(12%20PTS)%20(J.%20Harden%206%20AST)", "25' 3PT  (12 PTS) (J. Harden 6 AST)")</f>
        <v>25' 3PT  (12 PTS) (J. Harden 6 AST)</v>
      </c>
      <c r="K4665" s="2" t="str">
        <f>HYPERLINK("https://www.nba.com/game/...-vs-...-0022300280/play-by-play?watchFullGame=true", "LAC vs GSW - Q3 04:23.00")</f>
        <v>LAC vs GSW - Q3 04:23.00</v>
      </c>
      <c r="L4665">
        <v>25.13</v>
      </c>
      <c r="M4665">
        <v>76.92</v>
      </c>
      <c r="N4665">
        <v>87.99</v>
      </c>
      <c r="O4665">
        <v>190</v>
      </c>
      <c r="P4665">
        <v>164</v>
      </c>
    </row>
    <row r="4666" spans="1:16" x14ac:dyDescent="0.25">
      <c r="A4666">
        <v>41300225</v>
      </c>
      <c r="B4666" t="s">
        <v>26</v>
      </c>
      <c r="C4666" t="s">
        <v>16</v>
      </c>
      <c r="D4666" t="s">
        <v>19</v>
      </c>
      <c r="E4666">
        <v>37</v>
      </c>
      <c r="F4666">
        <v>28</v>
      </c>
      <c r="G4666">
        <v>2</v>
      </c>
      <c r="H4666" s="1">
        <v>4.3981481481481484E-3</v>
      </c>
      <c r="I4666" t="s">
        <v>18</v>
      </c>
      <c r="J4666" s="2" t="str">
        <f>HYPERLINK("https://www.nba.com/stats/events?CFID=&amp;CFPARAMS=&amp;GameEventID=189&amp;GameID=0041300225&amp;Season=2013-14&amp;flag=1&amp;title=Leonard%2025'%203PT%20Jump%20Shot%20(10%20PTS)%20(Mills%201%20AST)", "Leonard 25' 3PT Jump Shot (10 PTS) (Mills 1 AST)")</f>
        <v>Leonard 25' 3PT Jump Shot (10 PTS) (Mills 1 AST)</v>
      </c>
      <c r="K4666" s="2" t="str">
        <f>HYPERLINK("https://www.nba.com/game/...-vs-...-0041300225/play-by-play?watchFullGame=true", "SAS vs POR - Q2 06:20.00")</f>
        <v>SAS vs POR - Q2 06:20.00</v>
      </c>
      <c r="L4666">
        <v>25</v>
      </c>
      <c r="M4666">
        <v>190</v>
      </c>
      <c r="N4666">
        <v>170</v>
      </c>
      <c r="O4666">
        <v>190</v>
      </c>
      <c r="P4666">
        <v>170</v>
      </c>
    </row>
    <row r="4667" spans="1:16" x14ac:dyDescent="0.25">
      <c r="A4667">
        <v>22400646</v>
      </c>
      <c r="B4667">
        <v>2024</v>
      </c>
      <c r="C4667" t="s">
        <v>16</v>
      </c>
      <c r="D4667" t="s">
        <v>19</v>
      </c>
      <c r="E4667">
        <v>65</v>
      </c>
      <c r="F4667">
        <v>65</v>
      </c>
      <c r="G4667">
        <v>3</v>
      </c>
      <c r="H4667" s="1">
        <v>6.5509259259259262E-3</v>
      </c>
      <c r="I4667" t="s">
        <v>23</v>
      </c>
      <c r="J4667" s="2" t="str">
        <f>HYPERLINK("https://www.nba.com/stats/events?CFID=&amp;CFPARAMS=&amp;GameEventID=376&amp;GameID=0022400646&amp;Season=2024-25&amp;flag=1&amp;title=Leonard%2028'%203PT%20pullup%20(16%20PTS)", "28' 3PT pullup (16 PTS)")</f>
        <v>28' 3PT pullup (16 PTS)</v>
      </c>
      <c r="K4667" s="2" t="str">
        <f>HYPERLINK("https://www.nba.com/game/...-vs-...-0022400646/play-by-play?watchFullGame=true", "LAC vs MIL - Q3 09:26.00")</f>
        <v>LAC vs MIL - Q3 09:26.00</v>
      </c>
      <c r="L4667">
        <v>28.15</v>
      </c>
      <c r="M4667">
        <v>27.68</v>
      </c>
      <c r="N4667">
        <v>12.01</v>
      </c>
      <c r="O4667">
        <v>190</v>
      </c>
      <c r="P4667">
        <v>208</v>
      </c>
    </row>
    <row r="4668" spans="1:16" x14ac:dyDescent="0.25">
      <c r="A4668">
        <v>22300676</v>
      </c>
      <c r="B4668">
        <v>2023</v>
      </c>
      <c r="C4668" t="s">
        <v>32</v>
      </c>
      <c r="D4668" t="s">
        <v>19</v>
      </c>
      <c r="E4668">
        <v>29</v>
      </c>
      <c r="F4668">
        <v>32</v>
      </c>
      <c r="G4668">
        <v>1</v>
      </c>
      <c r="H4668" s="1">
        <v>1.4120370370370369E-3</v>
      </c>
      <c r="I4668" t="s">
        <v>23</v>
      </c>
      <c r="J4668" s="2" t="str">
        <f>HYPERLINK("https://www.nba.com/stats/events?CFID=&amp;CFPARAMS=&amp;GameEventID=127&amp;GameID=0022300676&amp;Season=2023-24&amp;flag=1&amp;title=Leonard%2019'%20Jump%20Shot%20(11%20PTS)", "19' Jump Shot (11 PTS)")</f>
        <v>19' Jump Shot (11 PTS)</v>
      </c>
      <c r="K4668" s="2" t="str">
        <f>HYPERLINK("https://www.nba.com/game/...-vs-...-0022300676/play-by-play?watchFullGame=true", "LAC vs WAS - Q1 02:02.00")</f>
        <v>LAC vs WAS - Q1 02:02.00</v>
      </c>
      <c r="L4668">
        <v>19.940000000000001</v>
      </c>
      <c r="M4668">
        <v>88.39</v>
      </c>
      <c r="N4668">
        <v>88.24</v>
      </c>
      <c r="O4668">
        <v>191</v>
      </c>
      <c r="P4668">
        <v>57</v>
      </c>
    </row>
    <row r="4669" spans="1:16" x14ac:dyDescent="0.25">
      <c r="A4669">
        <v>21901291</v>
      </c>
      <c r="B4669">
        <v>2019</v>
      </c>
      <c r="C4669" t="s">
        <v>32</v>
      </c>
      <c r="D4669" t="s">
        <v>22</v>
      </c>
      <c r="E4669">
        <v>65</v>
      </c>
      <c r="F4669">
        <v>74</v>
      </c>
      <c r="G4669">
        <v>3</v>
      </c>
      <c r="H4669" s="1">
        <v>8.2060185185185187E-3</v>
      </c>
      <c r="I4669" t="s">
        <v>23</v>
      </c>
      <c r="J4669" s="2" t="str">
        <f>HYPERLINK("https://www.nba.com/stats/events?CFID=&amp;CFPARAMS=&amp;GameEventID=338&amp;GameID=0021901291&amp;Season=2019-20&amp;flag=1&amp;title=Leonard%2021'%20jumpshot%20(21%20PTS)%20(R.%20Jackson%203%20AST)", "21' jumpshot (21 PTS) (R. Jackson 3 AST)")</f>
        <v>21' jumpshot (21 PTS) (R. Jackson 3 AST)</v>
      </c>
      <c r="K4669" s="2" t="str">
        <f>HYPERLINK("https://www.nba.com/game/...-vs-...-0021901291/play-by-play?watchFullGame=true", "LAC vs BKN - Q3 11:49.00")</f>
        <v>LAC vs BKN - Q3 11:49.00</v>
      </c>
      <c r="L4669">
        <v>20.98</v>
      </c>
      <c r="M4669">
        <v>14.27</v>
      </c>
      <c r="N4669">
        <v>11.83</v>
      </c>
      <c r="O4669">
        <v>191</v>
      </c>
      <c r="P4669">
        <v>82</v>
      </c>
    </row>
    <row r="4670" spans="1:16" x14ac:dyDescent="0.25">
      <c r="A4670">
        <v>21600925</v>
      </c>
      <c r="B4670">
        <v>2016</v>
      </c>
      <c r="C4670" t="s">
        <v>16</v>
      </c>
      <c r="D4670" t="s">
        <v>19</v>
      </c>
      <c r="E4670">
        <v>73</v>
      </c>
      <c r="F4670">
        <v>74</v>
      </c>
      <c r="G4670">
        <v>4</v>
      </c>
      <c r="H4670" s="1">
        <v>5.5439814814814813E-3</v>
      </c>
      <c r="I4670" t="s">
        <v>18</v>
      </c>
      <c r="J4670" s="2" t="str">
        <f>HYPERLINK("https://www.nba.com/stats/events?CFID=&amp;CFPARAMS=&amp;GameEventID=435&amp;GameID=0021600925&amp;Season=2016-17&amp;flag=1&amp;title=Leonard%2024'%203PT%20Jump%20Shot%20(21%20PTS)%20(Murray%201%20AST)", "Leonard 24' 3PT Jump Shot (21 PTS) (Murray 1 AST)")</f>
        <v>Leonard 24' 3PT Jump Shot (21 PTS) (Murray 1 AST)</v>
      </c>
      <c r="K4670" s="2" t="str">
        <f>HYPERLINK("https://www.nba.com/game/...-vs-...-0021600925/play-by-play?watchFullGame=true", "SAS vs MIN - Q4 07:59.00")</f>
        <v>SAS vs MIN - Q4 07:59.00</v>
      </c>
      <c r="L4670">
        <v>24</v>
      </c>
      <c r="M4670">
        <v>191</v>
      </c>
      <c r="N4670">
        <v>146</v>
      </c>
      <c r="O4670">
        <v>191</v>
      </c>
      <c r="P4670">
        <v>146</v>
      </c>
    </row>
    <row r="4671" spans="1:16" x14ac:dyDescent="0.25">
      <c r="A4671">
        <v>22200617</v>
      </c>
      <c r="B4671">
        <v>2022</v>
      </c>
      <c r="C4671" t="s">
        <v>16</v>
      </c>
      <c r="D4671" t="s">
        <v>19</v>
      </c>
      <c r="E4671">
        <v>77</v>
      </c>
      <c r="F4671">
        <v>55</v>
      </c>
      <c r="G4671">
        <v>3</v>
      </c>
      <c r="H4671" s="1">
        <v>5.6249999999999998E-3</v>
      </c>
      <c r="I4671" t="s">
        <v>23</v>
      </c>
      <c r="J4671" s="2" t="str">
        <f>HYPERLINK("https://www.nba.com/stats/events?CFID=&amp;CFPARAMS=&amp;GameEventID=382&amp;GameID=0022200617&amp;Season=2022-23&amp;flag=1&amp;title=Leonard%2024'%203PT%20%20(22%20PTS)%20(I.%20Zubac%201%20AST)", "24' 3PT  (22 PTS) (I. Zubac 1 AST)")</f>
        <v>24' 3PT  (22 PTS) (I. Zubac 1 AST)</v>
      </c>
      <c r="K4671" s="2" t="str">
        <f>HYPERLINK("https://www.nba.com/game/...-vs-...-0022200617/play-by-play?watchFullGame=true", "LAC vs DAL - Q3 08:06.00")</f>
        <v>LAC vs DAL - Q3 08:06.00</v>
      </c>
      <c r="L4671">
        <v>24.8</v>
      </c>
      <c r="M4671">
        <v>22.39</v>
      </c>
      <c r="N4671">
        <v>11.76</v>
      </c>
      <c r="O4671">
        <v>191</v>
      </c>
      <c r="P4671">
        <v>158</v>
      </c>
    </row>
    <row r="4672" spans="1:16" x14ac:dyDescent="0.25">
      <c r="A4672">
        <v>22300473</v>
      </c>
      <c r="B4672">
        <v>2023</v>
      </c>
      <c r="C4672" t="s">
        <v>16</v>
      </c>
      <c r="D4672" t="s">
        <v>19</v>
      </c>
      <c r="E4672">
        <v>57</v>
      </c>
      <c r="F4672">
        <v>76</v>
      </c>
      <c r="G4672">
        <v>3</v>
      </c>
      <c r="H4672" s="1">
        <v>7.3148148148148148E-3</v>
      </c>
      <c r="I4672" t="s">
        <v>23</v>
      </c>
      <c r="J4672" s="2" t="str">
        <f>HYPERLINK("https://www.nba.com/stats/events?CFID=&amp;CFPARAMS=&amp;GameEventID=343&amp;GameID=0022300473&amp;Season=2023-24&amp;flag=1&amp;title=Leonard%2024'%203PT%20%20(15%20PTS)%20(J.%20Harden%207%20AST)", "24' 3PT  (15 PTS) (J. Harden 7 AST)")</f>
        <v>24' 3PT  (15 PTS) (J. Harden 7 AST)</v>
      </c>
      <c r="K4672" s="2" t="str">
        <f>HYPERLINK("https://www.nba.com/game/...-vs-...-0022300473/play-by-play?watchFullGame=true", "LAC vs PHX - Q3 10:32.00")</f>
        <v>LAC vs PHX - Q3 10:32.00</v>
      </c>
      <c r="L4672">
        <v>24.98</v>
      </c>
      <c r="M4672">
        <v>22.68</v>
      </c>
      <c r="N4672">
        <v>11.76</v>
      </c>
      <c r="O4672">
        <v>191</v>
      </c>
      <c r="P4672">
        <v>161</v>
      </c>
    </row>
    <row r="4673" spans="1:16" x14ac:dyDescent="0.25">
      <c r="A4673">
        <v>21900002</v>
      </c>
      <c r="B4673">
        <v>2019</v>
      </c>
      <c r="C4673" t="s">
        <v>32</v>
      </c>
      <c r="D4673" t="s">
        <v>19</v>
      </c>
      <c r="E4673">
        <v>38</v>
      </c>
      <c r="F4673">
        <v>39</v>
      </c>
      <c r="G4673">
        <v>2</v>
      </c>
      <c r="H4673" s="1">
        <v>5.2546296296296299E-3</v>
      </c>
      <c r="I4673" t="s">
        <v>23</v>
      </c>
      <c r="J4673" s="2" t="str">
        <f>HYPERLINK("https://www.nba.com/stats/events?CFID=&amp;CFPARAMS=&amp;GameEventID=224&amp;GameID=0021900002&amp;Season=2019-20&amp;flag=1&amp;title=Leonard%2019'%20pullup%20Jump%20Shot%20(15%20PTS)", "19' pullup Jump Shot (15 PTS)")</f>
        <v>19' pullup Jump Shot (15 PTS)</v>
      </c>
      <c r="K4673" s="2" t="str">
        <f>HYPERLINK("https://www.nba.com/game/...-vs-...-0021900002/play-by-play?watchFullGame=true", "LAC vs LAL - Q2 07:34.00")</f>
        <v>LAC vs LAL - Q2 07:34.00</v>
      </c>
      <c r="L4673">
        <v>19.23</v>
      </c>
      <c r="M4673">
        <v>94</v>
      </c>
      <c r="N4673">
        <v>88.41</v>
      </c>
      <c r="O4673">
        <v>192</v>
      </c>
      <c r="P4673">
        <v>4</v>
      </c>
    </row>
    <row r="4674" spans="1:16" x14ac:dyDescent="0.25">
      <c r="A4674">
        <v>21600127</v>
      </c>
      <c r="B4674">
        <v>2016</v>
      </c>
      <c r="C4674" t="s">
        <v>16</v>
      </c>
      <c r="D4674" t="s">
        <v>19</v>
      </c>
      <c r="E4674">
        <v>7</v>
      </c>
      <c r="F4674">
        <v>6</v>
      </c>
      <c r="G4674">
        <v>1</v>
      </c>
      <c r="H4674" s="1">
        <v>6.3541666666666668E-3</v>
      </c>
      <c r="I4674" t="s">
        <v>18</v>
      </c>
      <c r="J4674" s="2" t="str">
        <f>HYPERLINK("https://www.nba.com/stats/events?CFID=&amp;CFPARAMS=&amp;GameEventID=17&amp;GameID=0021600127&amp;Season=2016-17&amp;flag=1&amp;title=Leonard%2025'%203PT%20Jump%20Shot%20(3%20PTS)%20(Parker%202%20AST)", "Leonard 25' 3PT Jump Shot (3 PTS) (Parker 2 AST)")</f>
        <v>Leonard 25' 3PT Jump Shot (3 PTS) (Parker 2 AST)</v>
      </c>
      <c r="K4674" s="2" t="str">
        <f>HYPERLINK("https://www.nba.com/game/...-vs-...-0021600127/play-by-play?watchFullGame=true", "SAS vs DET - Q1 09:09.00")</f>
        <v>SAS vs DET - Q1 09:09.00</v>
      </c>
      <c r="L4674">
        <v>25</v>
      </c>
      <c r="M4674">
        <v>192</v>
      </c>
      <c r="N4674">
        <v>156</v>
      </c>
      <c r="O4674">
        <v>192</v>
      </c>
      <c r="P4674">
        <v>156</v>
      </c>
    </row>
    <row r="4675" spans="1:16" x14ac:dyDescent="0.25">
      <c r="A4675">
        <v>21600206</v>
      </c>
      <c r="B4675">
        <v>2016</v>
      </c>
      <c r="C4675" t="s">
        <v>16</v>
      </c>
      <c r="D4675" t="s">
        <v>19</v>
      </c>
      <c r="E4675">
        <v>36</v>
      </c>
      <c r="F4675">
        <v>35</v>
      </c>
      <c r="G4675">
        <v>2</v>
      </c>
      <c r="H4675" s="1">
        <v>4.1435185185185186E-3</v>
      </c>
      <c r="I4675" t="s">
        <v>18</v>
      </c>
      <c r="J4675" s="2" t="str">
        <f>HYPERLINK("https://www.nba.com/stats/events?CFID=&amp;CFPARAMS=&amp;GameEventID=163&amp;GameID=0021600206&amp;Season=2016-17&amp;flag=1&amp;title=Leonard%2025'%203PT%20Jump%20Shot%20(13%20PTS)%20(Green%202%20AST)", "Leonard 25' 3PT Jump Shot (13 PTS) (Green 2 AST)")</f>
        <v>Leonard 25' 3PT Jump Shot (13 PTS) (Green 2 AST)</v>
      </c>
      <c r="K4675" s="2" t="str">
        <f>HYPERLINK("https://www.nba.com/game/...-vs-...-0021600206/play-by-play?watchFullGame=true", "SAS vs DAL - Q2 05:58.00")</f>
        <v>SAS vs DAL - Q2 05:58.00</v>
      </c>
      <c r="L4675">
        <v>25</v>
      </c>
      <c r="M4675">
        <v>192</v>
      </c>
      <c r="N4675">
        <v>164</v>
      </c>
      <c r="O4675">
        <v>192</v>
      </c>
      <c r="P4675">
        <v>164</v>
      </c>
    </row>
    <row r="4676" spans="1:16" x14ac:dyDescent="0.25">
      <c r="A4676">
        <v>21301221</v>
      </c>
      <c r="B4676">
        <v>2013</v>
      </c>
      <c r="C4676" t="s">
        <v>16</v>
      </c>
      <c r="D4676" t="s">
        <v>19</v>
      </c>
      <c r="E4676">
        <v>23</v>
      </c>
      <c r="F4676">
        <v>33</v>
      </c>
      <c r="G4676">
        <v>1</v>
      </c>
      <c r="H4676" s="1">
        <v>1.8518518518518518E-5</v>
      </c>
      <c r="I4676" t="s">
        <v>18</v>
      </c>
      <c r="J4676" s="2" t="str">
        <f>HYPERLINK("https://www.nba.com/stats/events?CFID=&amp;CFPARAMS=&amp;GameEventID=124&amp;GameID=0021301221&amp;Season=2013-14&amp;flag=1&amp;title=Leonard%2025'%203PT%20Jump%20Shot%20(5%20PTS)%20(Ginobili%201%20AST)", "Leonard 25' 3PT Jump Shot (5 PTS) (Ginobili 1 AST)")</f>
        <v>Leonard 25' 3PT Jump Shot (5 PTS) (Ginobili 1 AST)</v>
      </c>
      <c r="K4676" s="2" t="str">
        <f>HYPERLINK("https://www.nba.com/game/...-vs-...-0021301221/play-by-play?watchFullGame=true", "SAS vs LAL - Q1 00:01.60")</f>
        <v>SAS vs LAL - Q1 00:01.60</v>
      </c>
      <c r="L4676">
        <v>25</v>
      </c>
      <c r="M4676">
        <v>193</v>
      </c>
      <c r="N4676">
        <v>165</v>
      </c>
      <c r="O4676">
        <v>193</v>
      </c>
      <c r="P4676">
        <v>165</v>
      </c>
    </row>
    <row r="4677" spans="1:16" x14ac:dyDescent="0.25">
      <c r="A4677">
        <v>22300325</v>
      </c>
      <c r="B4677">
        <v>2023</v>
      </c>
      <c r="C4677" t="s">
        <v>16</v>
      </c>
      <c r="D4677" t="s">
        <v>19</v>
      </c>
      <c r="E4677">
        <v>82</v>
      </c>
      <c r="F4677">
        <v>70</v>
      </c>
      <c r="G4677">
        <v>3</v>
      </c>
      <c r="H4677" s="1">
        <v>5.3819444444444444E-3</v>
      </c>
      <c r="I4677" t="s">
        <v>23</v>
      </c>
      <c r="J4677" s="2" t="str">
        <f>HYPERLINK("https://www.nba.com/stats/events?CFID=&amp;CFPARAMS=&amp;GameEventID=404&amp;GameID=0022300325&amp;Season=2023-24&amp;flag=1&amp;title=Leonard%2026'%203PT%20%20(20%20PTS)%20(J.%20Harden%2012%20AST)", "26' 3PT  (20 PTS) (J. Harden 12 AST)")</f>
        <v>26' 3PT  (20 PTS) (J. Harden 12 AST)</v>
      </c>
      <c r="K4677" s="2" t="str">
        <f>HYPERLINK("https://www.nba.com/game/...-vs-...-0022300325/play-by-play?watchFullGame=true", "LAC vs GSW - Q3 07:45.00")</f>
        <v>LAC vs GSW - Q3 07:45.00</v>
      </c>
      <c r="L4677">
        <v>26.14</v>
      </c>
      <c r="M4677">
        <v>75.739999999999995</v>
      </c>
      <c r="N4677">
        <v>88.73</v>
      </c>
      <c r="O4677">
        <v>194</v>
      </c>
      <c r="P4677">
        <v>176</v>
      </c>
    </row>
    <row r="4678" spans="1:16" x14ac:dyDescent="0.25">
      <c r="A4678">
        <v>22400842</v>
      </c>
      <c r="B4678">
        <v>2024</v>
      </c>
      <c r="C4678" t="s">
        <v>16</v>
      </c>
      <c r="D4678" t="s">
        <v>19</v>
      </c>
      <c r="E4678">
        <v>102</v>
      </c>
      <c r="F4678">
        <v>110</v>
      </c>
      <c r="G4678">
        <v>4</v>
      </c>
      <c r="H4678" s="1">
        <v>4.5370370370370373E-3</v>
      </c>
      <c r="I4678" t="s">
        <v>23</v>
      </c>
      <c r="J4678" s="2" t="str">
        <f>HYPERLINK("https://www.nba.com/stats/events?CFID=&amp;CFPARAMS=&amp;GameEventID=549&amp;GameID=0022400842&amp;Season=2024-25&amp;flag=1&amp;title=Leonard%2029'%203PT%20%20(17%20PTS)", "29' 3PT  (17 PTS)")</f>
        <v>29' 3PT  (17 PTS)</v>
      </c>
      <c r="K4678" s="2" t="str">
        <f>HYPERLINK("https://www.nba.com/game/...-vs-...-0022400842/play-by-play?watchFullGame=true", "LAC vs CHI - Q4 06:32.00")</f>
        <v>LAC vs CHI - Q4 06:32.00</v>
      </c>
      <c r="L4678">
        <v>29.41</v>
      </c>
      <c r="M4678">
        <v>70.849999999999994</v>
      </c>
      <c r="N4678">
        <v>88.7</v>
      </c>
      <c r="O4678">
        <v>194</v>
      </c>
      <c r="P4678">
        <v>221</v>
      </c>
    </row>
    <row r="4679" spans="1:16" x14ac:dyDescent="0.25">
      <c r="A4679">
        <v>21401028</v>
      </c>
      <c r="B4679">
        <v>2014</v>
      </c>
      <c r="C4679" t="s">
        <v>32</v>
      </c>
      <c r="D4679" t="s">
        <v>19</v>
      </c>
      <c r="E4679">
        <v>48</v>
      </c>
      <c r="F4679">
        <v>30</v>
      </c>
      <c r="G4679">
        <v>2</v>
      </c>
      <c r="H4679" s="1">
        <v>3.4953703703703705E-3</v>
      </c>
      <c r="I4679" t="s">
        <v>18</v>
      </c>
      <c r="J4679" s="2" t="str">
        <f>HYPERLINK("https://www.nba.com/stats/events?CFID=&amp;CFPARAMS=&amp;GameEventID=180&amp;GameID=0021401028&amp;Season=2014-15&amp;flag=1&amp;title=Leonard%2020'%20Jump%20Shot%20(9%20PTS)%20(Duncan%202%20AST)", "Leonard 20' Jump Shot (9 PTS) (Duncan 2 AST)")</f>
        <v>Leonard 20' Jump Shot (9 PTS) (Duncan 2 AST)</v>
      </c>
      <c r="K4679" s="2" t="str">
        <f>HYPERLINK("https://www.nba.com/game/...-vs-...-0021401028/play-by-play?watchFullGame=true", "SAS vs BOS - Q2 05:02.00")</f>
        <v>SAS vs BOS - Q2 05:02.00</v>
      </c>
      <c r="L4679">
        <v>20</v>
      </c>
      <c r="M4679">
        <v>195</v>
      </c>
      <c r="N4679">
        <v>25</v>
      </c>
      <c r="O4679">
        <v>195</v>
      </c>
      <c r="P4679">
        <v>25</v>
      </c>
    </row>
    <row r="4680" spans="1:16" x14ac:dyDescent="0.25">
      <c r="A4680">
        <v>41200407</v>
      </c>
      <c r="B4680" t="s">
        <v>27</v>
      </c>
      <c r="C4680" t="s">
        <v>16</v>
      </c>
      <c r="D4680" t="s">
        <v>19</v>
      </c>
      <c r="E4680">
        <v>90</v>
      </c>
      <c r="F4680">
        <v>88</v>
      </c>
      <c r="G4680">
        <v>4</v>
      </c>
      <c r="H4680" s="1">
        <v>1.3888888888888889E-3</v>
      </c>
      <c r="I4680" t="s">
        <v>18</v>
      </c>
      <c r="J4680" s="2" t="str">
        <f>HYPERLINK("https://www.nba.com/stats/events?CFID=&amp;CFPARAMS=&amp;GameEventID=503&amp;GameID=0041200407&amp;Season=2012-13&amp;flag=1&amp;title=Leonard%2025'%203PT%20Jump%20Shot%20(19%20PTS)%20(Ginobili%205%20AST)", "Leonard 25' 3PT Jump Shot (19 PTS) (Ginobili 5 AST)")</f>
        <v>Leonard 25' 3PT Jump Shot (19 PTS) (Ginobili 5 AST)</v>
      </c>
      <c r="K4680" s="2" t="str">
        <f>HYPERLINK("https://www.nba.com/game/...-vs-...-0041200407/play-by-play?watchFullGame=true", "SAS vs MIA - Q4 02:00.00")</f>
        <v>SAS vs MIA - Q4 02:00.00</v>
      </c>
      <c r="L4680">
        <v>25</v>
      </c>
      <c r="M4680">
        <v>195</v>
      </c>
      <c r="N4680">
        <v>160</v>
      </c>
      <c r="O4680">
        <v>195</v>
      </c>
      <c r="P4680">
        <v>160</v>
      </c>
    </row>
    <row r="4681" spans="1:16" x14ac:dyDescent="0.25">
      <c r="A4681">
        <v>41400162</v>
      </c>
      <c r="B4681" t="s">
        <v>28</v>
      </c>
      <c r="C4681" t="s">
        <v>16</v>
      </c>
      <c r="D4681" t="s">
        <v>19</v>
      </c>
      <c r="E4681">
        <v>61</v>
      </c>
      <c r="F4681">
        <v>68</v>
      </c>
      <c r="G4681">
        <v>3</v>
      </c>
      <c r="H4681" s="1">
        <v>2.5810185185185185E-3</v>
      </c>
      <c r="I4681" t="s">
        <v>18</v>
      </c>
      <c r="J4681" s="2" t="str">
        <f>HYPERLINK("https://www.nba.com/stats/events?CFID=&amp;CFPARAMS=&amp;GameEventID=321&amp;GameID=0041400162&amp;Season=2014-15&amp;flag=1&amp;title=Leonard%2025'%203PT%20Jump%20Shot%20(18%20PTS)%20(Diaw%202%20AST)", "Leonard 25' 3PT Jump Shot (18 PTS) (Diaw 2 AST)")</f>
        <v>Leonard 25' 3PT Jump Shot (18 PTS) (Diaw 2 AST)</v>
      </c>
      <c r="K4681" s="2" t="str">
        <f>HYPERLINK("https://www.nba.com/game/...-vs-...-0041400162/play-by-play?watchFullGame=true", "SAS vs LAC - Q3 03:43.00")</f>
        <v>SAS vs LAC - Q3 03:43.00</v>
      </c>
      <c r="L4681">
        <v>25</v>
      </c>
      <c r="M4681">
        <v>195</v>
      </c>
      <c r="N4681">
        <v>164</v>
      </c>
      <c r="O4681">
        <v>195</v>
      </c>
      <c r="P4681">
        <v>164</v>
      </c>
    </row>
    <row r="4682" spans="1:16" x14ac:dyDescent="0.25">
      <c r="A4682">
        <v>22000350</v>
      </c>
      <c r="B4682">
        <v>2020</v>
      </c>
      <c r="C4682" t="s">
        <v>32</v>
      </c>
      <c r="D4682" t="s">
        <v>19</v>
      </c>
      <c r="E4682">
        <v>60</v>
      </c>
      <c r="F4682">
        <v>47</v>
      </c>
      <c r="G4682">
        <v>2</v>
      </c>
      <c r="H4682" s="1">
        <v>6.099537037037037E-4</v>
      </c>
      <c r="I4682" t="s">
        <v>23</v>
      </c>
      <c r="J4682" s="2" t="str">
        <f>HYPERLINK("https://www.nba.com/stats/events?CFID=&amp;CFPARAMS=&amp;GameEventID=301&amp;GameID=0022000350&amp;Season=2020-21&amp;flag=1&amp;title=Leonard%2020'%20Jump%20Shot%20(14%20PTS)", "20' Jump Shot (14 PTS)")</f>
        <v>20' Jump Shot (14 PTS)</v>
      </c>
      <c r="K4682" s="2" t="str">
        <f>HYPERLINK("https://www.nba.com/game/...-vs-...-0022000350/play-by-play?watchFullGame=true", "LAC vs BOS - Q2 00:52.70")</f>
        <v>LAC vs BOS - Q2 00:52.70</v>
      </c>
      <c r="L4682">
        <v>20.64</v>
      </c>
      <c r="M4682">
        <v>12.57</v>
      </c>
      <c r="N4682">
        <v>10.85</v>
      </c>
      <c r="O4682">
        <v>196</v>
      </c>
      <c r="P4682">
        <v>66</v>
      </c>
    </row>
    <row r="4683" spans="1:16" x14ac:dyDescent="0.25">
      <c r="A4683">
        <v>21301030</v>
      </c>
      <c r="B4683">
        <v>2013</v>
      </c>
      <c r="C4683" t="s">
        <v>16</v>
      </c>
      <c r="D4683" t="s">
        <v>19</v>
      </c>
      <c r="E4683">
        <v>6</v>
      </c>
      <c r="F4683">
        <v>13</v>
      </c>
      <c r="G4683">
        <v>1</v>
      </c>
      <c r="H4683" s="1">
        <v>4.9421296296296297E-3</v>
      </c>
      <c r="I4683" t="s">
        <v>18</v>
      </c>
      <c r="J4683" s="2" t="str">
        <f>HYPERLINK("https://www.nba.com/stats/events?CFID=&amp;CFPARAMS=&amp;GameEventID=37&amp;GameID=0021301030&amp;Season=2013-14&amp;flag=1&amp;title=Leonard%2025'%203PT%20Jump%20Shot%20(7%20PTS)%20(Duncan%201%20AST)", "Leonard 25' 3PT Jump Shot (7 PTS) (Duncan 1 AST)")</f>
        <v>Leonard 25' 3PT Jump Shot (7 PTS) (Duncan 1 AST)</v>
      </c>
      <c r="K4683" s="2" t="str">
        <f>HYPERLINK("https://www.nba.com/game/...-vs-...-0021301030/play-by-play?watchFullGame=true", "SAS vs SAC - Q1 07:07.00")</f>
        <v>SAS vs SAC - Q1 07:07.00</v>
      </c>
      <c r="L4683">
        <v>25</v>
      </c>
      <c r="M4683">
        <v>196</v>
      </c>
      <c r="N4683">
        <v>154</v>
      </c>
      <c r="O4683">
        <v>196</v>
      </c>
      <c r="P4683">
        <v>154</v>
      </c>
    </row>
    <row r="4684" spans="1:16" x14ac:dyDescent="0.25">
      <c r="A4684">
        <v>22200871</v>
      </c>
      <c r="B4684">
        <v>2022</v>
      </c>
      <c r="C4684" t="s">
        <v>16</v>
      </c>
      <c r="D4684" t="s">
        <v>19</v>
      </c>
      <c r="E4684">
        <v>49</v>
      </c>
      <c r="F4684">
        <v>48</v>
      </c>
      <c r="G4684">
        <v>2</v>
      </c>
      <c r="H4684" s="1">
        <v>3.7962962962962963E-3</v>
      </c>
      <c r="I4684" t="s">
        <v>23</v>
      </c>
      <c r="J4684" s="2" t="str">
        <f>HYPERLINK("https://www.nba.com/stats/events?CFID=&amp;CFPARAMS=&amp;GameEventID=247&amp;GameID=0022200871&amp;Season=2022-23&amp;flag=1&amp;title=Leonard%2025'%203PT%20%20(11%20PTS)%20(P.%20George%202%20AST)", "25' 3PT  (11 PTS) (P. George 2 AST)")</f>
        <v>25' 3PT  (11 PTS) (P. George 2 AST)</v>
      </c>
      <c r="K4684" s="2" t="str">
        <f>HYPERLINK("https://www.nba.com/game/...-vs-...-0022200871/play-by-play?watchFullGame=true", "LAC vs GSW - Q2 05:28.00")</f>
        <v>LAC vs GSW - Q2 05:28.00</v>
      </c>
      <c r="L4684">
        <v>25.35</v>
      </c>
      <c r="M4684">
        <v>77.319999999999993</v>
      </c>
      <c r="N4684">
        <v>89.22</v>
      </c>
      <c r="O4684">
        <v>196</v>
      </c>
      <c r="P4684">
        <v>161</v>
      </c>
    </row>
    <row r="4685" spans="1:16" x14ac:dyDescent="0.25">
      <c r="A4685">
        <v>21600037</v>
      </c>
      <c r="B4685">
        <v>2016</v>
      </c>
      <c r="C4685" t="s">
        <v>16</v>
      </c>
      <c r="D4685" t="s">
        <v>19</v>
      </c>
      <c r="E4685">
        <v>21</v>
      </c>
      <c r="F4685">
        <v>27</v>
      </c>
      <c r="G4685">
        <v>2</v>
      </c>
      <c r="H4685" s="1">
        <v>7.8009259259259256E-3</v>
      </c>
      <c r="I4685" t="s">
        <v>18</v>
      </c>
      <c r="J4685" s="2" t="str">
        <f>HYPERLINK("https://www.nba.com/stats/events?CFID=&amp;CFPARAMS=&amp;GameEventID=129&amp;GameID=0021600037&amp;Season=2016-17&amp;flag=1&amp;title=Leonard%2025'%203PT%20Jump%20Shot%20(7%20PTS)%20(Gasol%201%20AST)", "Leonard 25' 3PT Jump Shot (7 PTS) (Gasol 1 AST)")</f>
        <v>Leonard 25' 3PT Jump Shot (7 PTS) (Gasol 1 AST)</v>
      </c>
      <c r="K4685" s="2" t="str">
        <f>HYPERLINK("https://www.nba.com/game/...-vs-...-0021600037/play-by-play?watchFullGame=true", "SAS vs MIA - Q2 11:14.00")</f>
        <v>SAS vs MIA - Q2 11:14.00</v>
      </c>
      <c r="L4685">
        <v>25</v>
      </c>
      <c r="M4685">
        <v>197</v>
      </c>
      <c r="N4685">
        <v>146</v>
      </c>
      <c r="O4685">
        <v>197</v>
      </c>
      <c r="P4685">
        <v>146</v>
      </c>
    </row>
    <row r="4686" spans="1:16" x14ac:dyDescent="0.25">
      <c r="A4686">
        <v>21500516</v>
      </c>
      <c r="B4686">
        <v>2015</v>
      </c>
      <c r="C4686" t="s">
        <v>16</v>
      </c>
      <c r="D4686" t="s">
        <v>19</v>
      </c>
      <c r="E4686">
        <v>58</v>
      </c>
      <c r="F4686">
        <v>74</v>
      </c>
      <c r="G4686">
        <v>3</v>
      </c>
      <c r="H4686" s="1">
        <v>4.7800925925925927E-3</v>
      </c>
      <c r="I4686" t="s">
        <v>18</v>
      </c>
      <c r="J4686" s="2" t="str">
        <f>HYPERLINK("https://www.nba.com/stats/events?CFID=&amp;CFPARAMS=&amp;GameEventID=338&amp;GameID=0021500516&amp;Season=2015-16&amp;flag=1&amp;title=Leonard%2025'%203PT%20Jump%20Shot%20(18%20PTS)", "Leonard 25' 3PT Jump Shot (18 PTS)")</f>
        <v>Leonard 25' 3PT Jump Shot (18 PTS)</v>
      </c>
      <c r="K4686" s="2" t="str">
        <f>HYPERLINK("https://www.nba.com/game/...-vs-...-0021500516/play-by-play?watchFullGame=true", "SAS vs MIL - Q3 06:53.00")</f>
        <v>SAS vs MIL - Q3 06:53.00</v>
      </c>
      <c r="L4686">
        <v>25</v>
      </c>
      <c r="M4686">
        <v>197</v>
      </c>
      <c r="N4686">
        <v>160</v>
      </c>
      <c r="O4686">
        <v>197</v>
      </c>
      <c r="P4686">
        <v>160</v>
      </c>
    </row>
    <row r="4687" spans="1:16" x14ac:dyDescent="0.25">
      <c r="A4687">
        <v>21500450</v>
      </c>
      <c r="B4687">
        <v>2015</v>
      </c>
      <c r="C4687" t="s">
        <v>16</v>
      </c>
      <c r="D4687" t="s">
        <v>19</v>
      </c>
      <c r="E4687">
        <v>64</v>
      </c>
      <c r="F4687">
        <v>46</v>
      </c>
      <c r="G4687">
        <v>3</v>
      </c>
      <c r="H4687" s="1">
        <v>5.7060185185185183E-3</v>
      </c>
      <c r="I4687" t="s">
        <v>18</v>
      </c>
      <c r="J4687" s="2" t="str">
        <f>HYPERLINK("https://www.nba.com/stats/events?CFID=&amp;CFPARAMS=&amp;GameEventID=268&amp;GameID=0021500450&amp;Season=2015-16&amp;flag=1&amp;title=Leonard%2026'%203PT%20Jump%20Shot%20(14%20PTS)%20(Green%201%20AST)", "Leonard 26' 3PT Jump Shot (14 PTS) (Green 1 AST)")</f>
        <v>Leonard 26' 3PT Jump Shot (14 PTS) (Green 1 AST)</v>
      </c>
      <c r="K4687" s="2" t="str">
        <f>HYPERLINK("https://www.nba.com/game/...-vs-...-0021500450/play-by-play?watchFullGame=true", "SAS vs DEN - Q3 08:13.00")</f>
        <v>SAS vs DEN - Q3 08:13.00</v>
      </c>
      <c r="L4687">
        <v>26</v>
      </c>
      <c r="M4687">
        <v>197</v>
      </c>
      <c r="N4687">
        <v>164</v>
      </c>
      <c r="O4687">
        <v>197</v>
      </c>
      <c r="P4687">
        <v>164</v>
      </c>
    </row>
    <row r="4688" spans="1:16" x14ac:dyDescent="0.25">
      <c r="A4688">
        <v>21900276</v>
      </c>
      <c r="B4688">
        <v>2019</v>
      </c>
      <c r="C4688" t="s">
        <v>32</v>
      </c>
      <c r="D4688" t="s">
        <v>22</v>
      </c>
      <c r="E4688">
        <v>53</v>
      </c>
      <c r="F4688">
        <v>53</v>
      </c>
      <c r="G4688">
        <v>2</v>
      </c>
      <c r="H4688" s="1">
        <v>7.1759259259259259E-4</v>
      </c>
      <c r="I4688" t="s">
        <v>23</v>
      </c>
      <c r="J4688" s="2" t="str">
        <f>HYPERLINK("https://www.nba.com/stats/events?CFID=&amp;CFPARAMS=&amp;GameEventID=311&amp;GameID=0021900276&amp;Season=2019-20&amp;flag=1&amp;title=Leonard%2020'%20jumpshot%20(13%20PTS)", "20' jumpshot (13 PTS)")</f>
        <v>20' jumpshot (13 PTS)</v>
      </c>
      <c r="K4688" s="2" t="str">
        <f>HYPERLINK("https://www.nba.com/game/...-vs-...-0021900276/play-by-play?watchFullGame=true", "LAC vs SAS - Q2 01:02.00")</f>
        <v>LAC vs SAS - Q2 01:02.00</v>
      </c>
      <c r="L4688">
        <v>20.03</v>
      </c>
      <c r="M4688">
        <v>8.1</v>
      </c>
      <c r="N4688">
        <v>10.36</v>
      </c>
      <c r="O4688">
        <v>198</v>
      </c>
      <c r="P4688">
        <v>24</v>
      </c>
    </row>
    <row r="4689" spans="1:16" x14ac:dyDescent="0.25">
      <c r="A4689">
        <v>21601011</v>
      </c>
      <c r="B4689">
        <v>2016</v>
      </c>
      <c r="C4689" t="s">
        <v>32</v>
      </c>
      <c r="D4689" t="s">
        <v>19</v>
      </c>
      <c r="E4689">
        <v>50</v>
      </c>
      <c r="F4689">
        <v>43</v>
      </c>
      <c r="G4689">
        <v>2</v>
      </c>
      <c r="H4689" s="1">
        <v>1.8055555555555555E-3</v>
      </c>
      <c r="I4689" t="s">
        <v>18</v>
      </c>
      <c r="J4689" s="2" t="str">
        <f>HYPERLINK("https://www.nba.com/stats/events?CFID=&amp;CFPARAMS=&amp;GameEventID=194&amp;GameID=0021601011&amp;Season=2016-17&amp;flag=1&amp;title=Leonard%2020'%20Jump%20Shot%20(12%20PTS)", "Leonard 20' Jump Shot (12 PTS)")</f>
        <v>Leonard 20' Jump Shot (12 PTS)</v>
      </c>
      <c r="K4689" s="2" t="str">
        <f>HYPERLINK("https://www.nba.com/game/...-vs-...-0021601011/play-by-play?watchFullGame=true", "SAS vs POR - Q2 02:36.00")</f>
        <v>SAS vs POR - Q2 02:36.00</v>
      </c>
      <c r="L4689">
        <v>20</v>
      </c>
      <c r="M4689">
        <v>199</v>
      </c>
      <c r="N4689">
        <v>21</v>
      </c>
      <c r="O4689">
        <v>199</v>
      </c>
      <c r="P4689">
        <v>21</v>
      </c>
    </row>
    <row r="4690" spans="1:16" x14ac:dyDescent="0.25">
      <c r="A4690">
        <v>22200871</v>
      </c>
      <c r="B4690">
        <v>2022</v>
      </c>
      <c r="C4690" t="s">
        <v>16</v>
      </c>
      <c r="D4690" t="s">
        <v>19</v>
      </c>
      <c r="E4690">
        <v>9</v>
      </c>
      <c r="F4690">
        <v>5</v>
      </c>
      <c r="G4690">
        <v>1</v>
      </c>
      <c r="H4690" s="1">
        <v>5.4745370370370373E-3</v>
      </c>
      <c r="I4690" t="s">
        <v>23</v>
      </c>
      <c r="J4690" s="2" t="str">
        <f>HYPERLINK("https://www.nba.com/stats/events?CFID=&amp;CFPARAMS=&amp;GameEventID=35&amp;GameID=0022200871&amp;Season=2022-23&amp;flag=1&amp;title=Leonard%2024'%203PT%20running%20(3%20PTS)%20(P.%20George%201%20AST)", "24' 3PT running (3 PTS) (P. George 1 AST)")</f>
        <v>24' 3PT running (3 PTS) (P. George 1 AST)</v>
      </c>
      <c r="K4690" s="2" t="str">
        <f>HYPERLINK("https://www.nba.com/game/...-vs-...-0022200871/play-by-play?watchFullGame=true", "LAC vs GSW - Q1 07:53.00")</f>
        <v>LAC vs GSW - Q1 07:53.00</v>
      </c>
      <c r="L4690">
        <v>24.71</v>
      </c>
      <c r="M4690">
        <v>78.760000000000005</v>
      </c>
      <c r="N4690">
        <v>89.71</v>
      </c>
      <c r="O4690">
        <v>199</v>
      </c>
      <c r="P4690">
        <v>147</v>
      </c>
    </row>
    <row r="4691" spans="1:16" x14ac:dyDescent="0.25">
      <c r="A4691">
        <v>21901232</v>
      </c>
      <c r="B4691">
        <v>2019</v>
      </c>
      <c r="C4691" t="s">
        <v>16</v>
      </c>
      <c r="D4691" t="s">
        <v>22</v>
      </c>
      <c r="E4691">
        <v>55</v>
      </c>
      <c r="F4691">
        <v>66</v>
      </c>
      <c r="G4691">
        <v>3</v>
      </c>
      <c r="H4691" s="1">
        <v>4.9189814814814816E-3</v>
      </c>
      <c r="I4691" t="s">
        <v>23</v>
      </c>
      <c r="J4691" s="2" t="str">
        <f>HYPERLINK("https://www.nba.com/stats/events?CFID=&amp;CFPARAMS=&amp;GameEventID=473&amp;GameID=0021901232&amp;Season=2019-20&amp;flag=1&amp;title=Leonard%2026'%203PT%20%20(22%20PTS)", "26' 3PT  (22 PTS)")</f>
        <v>26' 3PT  (22 PTS)</v>
      </c>
      <c r="K4691" s="2" t="str">
        <f>HYPERLINK("https://www.nba.com/game/...-vs-...-0021901232/play-by-play?watchFullGame=true", "LAC vs LAL - Q3 07:05.00")</f>
        <v>LAC vs LAL - Q3 07:05.00</v>
      </c>
      <c r="L4691">
        <v>26.06</v>
      </c>
      <c r="M4691">
        <v>77.09</v>
      </c>
      <c r="N4691">
        <v>89.77</v>
      </c>
      <c r="O4691">
        <v>199</v>
      </c>
      <c r="P4691">
        <v>163</v>
      </c>
    </row>
    <row r="4692" spans="1:16" x14ac:dyDescent="0.25">
      <c r="A4692">
        <v>21400089</v>
      </c>
      <c r="B4692">
        <v>2014</v>
      </c>
      <c r="C4692" t="s">
        <v>32</v>
      </c>
      <c r="D4692" t="s">
        <v>19</v>
      </c>
      <c r="E4692">
        <v>64</v>
      </c>
      <c r="F4692">
        <v>64</v>
      </c>
      <c r="G4692">
        <v>3</v>
      </c>
      <c r="H4692" s="1">
        <v>4.4907407407407405E-3</v>
      </c>
      <c r="I4692" t="s">
        <v>18</v>
      </c>
      <c r="J4692" s="2" t="str">
        <f>HYPERLINK("https://www.nba.com/stats/events?CFID=&amp;CFPARAMS=&amp;GameEventID=300&amp;GameID=0021400089&amp;Season=2014-15&amp;flag=1&amp;title=Leonard%2022'%20Jump%20Shot%20(5%20PTS)%20(Green%201%20AST)", "Leonard 22' Jump Shot (5 PTS) (Green 1 AST)")</f>
        <v>Leonard 22' Jump Shot (5 PTS) (Green 1 AST)</v>
      </c>
      <c r="K4692" s="2" t="str">
        <f>HYPERLINK("https://www.nba.com/game/...-vs-...-0021400089/play-by-play?watchFullGame=true", "SAS vs NOP - Q3 06:28.00")</f>
        <v>SAS vs NOP - Q3 06:28.00</v>
      </c>
      <c r="L4692">
        <v>22</v>
      </c>
      <c r="M4692">
        <v>201</v>
      </c>
      <c r="N4692">
        <v>96</v>
      </c>
      <c r="O4692">
        <v>201</v>
      </c>
      <c r="P4692">
        <v>96</v>
      </c>
    </row>
    <row r="4693" spans="1:16" x14ac:dyDescent="0.25">
      <c r="A4693">
        <v>41300401</v>
      </c>
      <c r="B4693" t="s">
        <v>26</v>
      </c>
      <c r="C4693" t="s">
        <v>16</v>
      </c>
      <c r="D4693" t="s">
        <v>19</v>
      </c>
      <c r="E4693">
        <v>102</v>
      </c>
      <c r="F4693">
        <v>95</v>
      </c>
      <c r="G4693">
        <v>4</v>
      </c>
      <c r="H4693" s="1">
        <v>1.1921296296296296E-3</v>
      </c>
      <c r="I4693" t="s">
        <v>18</v>
      </c>
      <c r="J4693" s="2" t="str">
        <f>HYPERLINK("https://www.nba.com/stats/events?CFID=&amp;CFPARAMS=&amp;GameEventID=454&amp;GameID=0041300401&amp;Season=2013-14&amp;flag=1&amp;title=Leonard%2026'%203PT%20Jump%20Shot%20(6%20PTS)%20(Parker%208%20AST)", "Leonard 26' 3PT Jump Shot (6 PTS) (Parker 8 AST)")</f>
        <v>Leonard 26' 3PT Jump Shot (6 PTS) (Parker 8 AST)</v>
      </c>
      <c r="K4693" s="2" t="str">
        <f>HYPERLINK("https://www.nba.com/game/...-vs-...-0041300401/play-by-play?watchFullGame=true", "SAS vs MIA - Q4 01:43.00")</f>
        <v>SAS vs MIA - Q4 01:43.00</v>
      </c>
      <c r="L4693">
        <v>26</v>
      </c>
      <c r="M4693">
        <v>201</v>
      </c>
      <c r="N4693">
        <v>164</v>
      </c>
      <c r="O4693">
        <v>201</v>
      </c>
      <c r="P4693">
        <v>164</v>
      </c>
    </row>
    <row r="4694" spans="1:16" x14ac:dyDescent="0.25">
      <c r="A4694">
        <v>21600003</v>
      </c>
      <c r="B4694">
        <v>2016</v>
      </c>
      <c r="C4694" t="s">
        <v>32</v>
      </c>
      <c r="D4694" t="s">
        <v>19</v>
      </c>
      <c r="E4694">
        <v>25</v>
      </c>
      <c r="F4694">
        <v>40</v>
      </c>
      <c r="G4694">
        <v>2</v>
      </c>
      <c r="H4694" s="1">
        <v>5.4050925925925924E-3</v>
      </c>
      <c r="I4694" t="s">
        <v>18</v>
      </c>
      <c r="J4694" s="2" t="str">
        <f>HYPERLINK("https://www.nba.com/stats/events?CFID=&amp;CFPARAMS=&amp;GameEventID=169&amp;GameID=0021600003&amp;Season=2016-17&amp;flag=1&amp;title=Leonard%2020'%20Jump%20Shot%20(8%20PTS)%20(Parker%203%20AST)", "Leonard 20' Jump Shot (8 PTS) (Parker 3 AST)")</f>
        <v>Leonard 20' Jump Shot (8 PTS) (Parker 3 AST)</v>
      </c>
      <c r="K4694" s="2" t="str">
        <f>HYPERLINK("https://www.nba.com/game/...-vs-...-0021600003/play-by-play?watchFullGame=true", "SAS vs GSW - Q2 07:47.00")</f>
        <v>SAS vs GSW - Q2 07:47.00</v>
      </c>
      <c r="L4694">
        <v>20</v>
      </c>
      <c r="M4694">
        <v>202</v>
      </c>
      <c r="N4694">
        <v>0</v>
      </c>
      <c r="O4694">
        <v>202</v>
      </c>
      <c r="P4694">
        <v>0</v>
      </c>
    </row>
    <row r="4695" spans="1:16" x14ac:dyDescent="0.25">
      <c r="A4695">
        <v>41600234</v>
      </c>
      <c r="B4695" t="s">
        <v>30</v>
      </c>
      <c r="C4695" t="s">
        <v>16</v>
      </c>
      <c r="D4695" t="s">
        <v>19</v>
      </c>
      <c r="E4695">
        <v>37</v>
      </c>
      <c r="F4695">
        <v>29</v>
      </c>
      <c r="G4695">
        <v>2</v>
      </c>
      <c r="H4695" s="1">
        <v>6.5393518518518517E-3</v>
      </c>
      <c r="I4695" t="s">
        <v>18</v>
      </c>
      <c r="J4695" s="2" t="str">
        <f>HYPERLINK("https://www.nba.com/stats/events?CFID=&amp;CFPARAMS=&amp;GameEventID=163&amp;GameID=0041600234&amp;Season=2016-17&amp;flag=1&amp;title=Leonard%2024'%203PT%20Jump%20Shot%20(8%20PTS)%20(Mills%202%20AST)", "Leonard 24' 3PT Jump Shot (8 PTS) (Mills 2 AST)")</f>
        <v>Leonard 24' 3PT Jump Shot (8 PTS) (Mills 2 AST)</v>
      </c>
      <c r="K4695" s="2" t="str">
        <f>HYPERLINK("https://www.nba.com/game/...-vs-...-0041600234/play-by-play?watchFullGame=true", "SAS vs HOU - Q2 09:25.00")</f>
        <v>SAS vs HOU - Q2 09:25.00</v>
      </c>
      <c r="L4695">
        <v>24</v>
      </c>
      <c r="M4695">
        <v>202</v>
      </c>
      <c r="N4695">
        <v>131</v>
      </c>
      <c r="O4695">
        <v>202</v>
      </c>
      <c r="P4695">
        <v>131</v>
      </c>
    </row>
    <row r="4696" spans="1:16" x14ac:dyDescent="0.25">
      <c r="A4696">
        <v>21501215</v>
      </c>
      <c r="B4696">
        <v>2015</v>
      </c>
      <c r="C4696" t="s">
        <v>16</v>
      </c>
      <c r="D4696" t="s">
        <v>19</v>
      </c>
      <c r="E4696">
        <v>59</v>
      </c>
      <c r="F4696">
        <v>62</v>
      </c>
      <c r="G4696">
        <v>3</v>
      </c>
      <c r="H4696" s="1">
        <v>4.3981481481481484E-3</v>
      </c>
      <c r="I4696" t="s">
        <v>18</v>
      </c>
      <c r="J4696" s="2" t="str">
        <f>HYPERLINK("https://www.nba.com/stats/events?CFID=&amp;CFPARAMS=&amp;GameEventID=291&amp;GameID=0021501215&amp;Season=2015-16&amp;flag=1&amp;title=Leonard%2024'%203PT%20Jump%20Shot%20(15%20PTS)", "Leonard 24' 3PT Jump Shot (15 PTS)")</f>
        <v>Leonard 24' 3PT Jump Shot (15 PTS)</v>
      </c>
      <c r="K4696" s="2" t="str">
        <f>HYPERLINK("https://www.nba.com/game/...-vs-...-0021501215/play-by-play?watchFullGame=true", "SAS vs OKC - Q3 06:20.00")</f>
        <v>SAS vs OKC - Q3 06:20.00</v>
      </c>
      <c r="L4696">
        <v>24</v>
      </c>
      <c r="M4696">
        <v>202</v>
      </c>
      <c r="N4696">
        <v>131</v>
      </c>
      <c r="O4696">
        <v>202</v>
      </c>
      <c r="P4696">
        <v>131</v>
      </c>
    </row>
    <row r="4697" spans="1:16" x14ac:dyDescent="0.25">
      <c r="A4697">
        <v>41800115</v>
      </c>
      <c r="B4697" t="s">
        <v>20</v>
      </c>
      <c r="C4697" t="s">
        <v>16</v>
      </c>
      <c r="D4697" t="s">
        <v>19</v>
      </c>
      <c r="E4697">
        <v>73</v>
      </c>
      <c r="F4697">
        <v>47</v>
      </c>
      <c r="G4697">
        <v>3</v>
      </c>
      <c r="H4697" s="1">
        <v>7.5578703703703702E-3</v>
      </c>
      <c r="I4697" t="s">
        <v>21</v>
      </c>
      <c r="J4697" s="2" t="str">
        <f>HYPERLINK("https://www.nba.com/stats/events?CFID=&amp;CFPARAMS=&amp;GameEventID=347&amp;GameID=0041800115&amp;Season=2018-19&amp;flag=1&amp;title=Leonard%2024'%203PT%20Jump%20Shot%20(20%20PTS)%20(Lowry%207%20AST)", "Leonard 24' 3PT Jump Shot (20 PTS) (Lowry 7 AST)")</f>
        <v>Leonard 24' 3PT Jump Shot (20 PTS) (Lowry 7 AST)</v>
      </c>
      <c r="K4697" s="2" t="str">
        <f>HYPERLINK("https://www.nba.com/game/...-vs-...-0041800115/play-by-play?watchFullGame=true", "TOR vs ORL - Q3 10:53.00")</f>
        <v>TOR vs ORL - Q3 10:53.00</v>
      </c>
      <c r="L4697">
        <v>24</v>
      </c>
      <c r="M4697">
        <v>202</v>
      </c>
      <c r="N4697">
        <v>135</v>
      </c>
      <c r="O4697">
        <v>202</v>
      </c>
      <c r="P4697">
        <v>135</v>
      </c>
    </row>
    <row r="4698" spans="1:16" x14ac:dyDescent="0.25">
      <c r="A4698">
        <v>21601070</v>
      </c>
      <c r="B4698">
        <v>2016</v>
      </c>
      <c r="C4698" t="s">
        <v>16</v>
      </c>
      <c r="D4698" t="s">
        <v>19</v>
      </c>
      <c r="E4698">
        <v>41</v>
      </c>
      <c r="F4698">
        <v>30</v>
      </c>
      <c r="G4698">
        <v>2</v>
      </c>
      <c r="H4698" s="1">
        <v>5.7175925925925927E-3</v>
      </c>
      <c r="I4698" t="s">
        <v>18</v>
      </c>
      <c r="J4698" s="2" t="str">
        <f>HYPERLINK("https://www.nba.com/stats/events?CFID=&amp;CFPARAMS=&amp;GameEventID=155&amp;GameID=0021601070&amp;Season=2016-17&amp;flag=1&amp;title=Leonard%2025'%203PT%20Jump%20Shot%20(7%20PTS)%20(Green%201%20AST)", "Leonard 25' 3PT Jump Shot (7 PTS) (Green 1 AST)")</f>
        <v>Leonard 25' 3PT Jump Shot (7 PTS) (Green 1 AST)</v>
      </c>
      <c r="K4698" s="2" t="str">
        <f>HYPERLINK("https://www.nba.com/game/...-vs-...-0021601070/play-by-play?watchFullGame=true", "SAS vs MEM - Q2 08:14.00")</f>
        <v>SAS vs MEM - Q2 08:14.00</v>
      </c>
      <c r="L4698">
        <v>25</v>
      </c>
      <c r="M4698">
        <v>202</v>
      </c>
      <c r="N4698">
        <v>144</v>
      </c>
      <c r="O4698">
        <v>202</v>
      </c>
      <c r="P4698">
        <v>144</v>
      </c>
    </row>
    <row r="4699" spans="1:16" x14ac:dyDescent="0.25">
      <c r="A4699">
        <v>21500872</v>
      </c>
      <c r="B4699">
        <v>2015</v>
      </c>
      <c r="C4699" t="s">
        <v>16</v>
      </c>
      <c r="D4699" t="s">
        <v>19</v>
      </c>
      <c r="E4699">
        <v>31</v>
      </c>
      <c r="F4699">
        <v>57</v>
      </c>
      <c r="G4699">
        <v>3</v>
      </c>
      <c r="H4699" s="1">
        <v>7.0023148148148145E-3</v>
      </c>
      <c r="I4699" t="s">
        <v>18</v>
      </c>
      <c r="J4699" s="2" t="str">
        <f>HYPERLINK("https://www.nba.com/stats/events?CFID=&amp;CFPARAMS=&amp;GameEventID=258&amp;GameID=0021500872&amp;Season=2015-16&amp;flag=1&amp;title=Leonard%2025'%203PT%20Jump%20Shot%20(18%20PTS)%20(Aldridge%201%20AST)", "Leonard 25' 3PT Jump Shot (18 PTS) (Aldridge 1 AST)")</f>
        <v>Leonard 25' 3PT Jump Shot (18 PTS) (Aldridge 1 AST)</v>
      </c>
      <c r="K4699" s="2" t="str">
        <f>HYPERLINK("https://www.nba.com/game/...-vs-...-0021500872/play-by-play?watchFullGame=true", "SAS vs HOU - Q3 10:05.00")</f>
        <v>SAS vs HOU - Q3 10:05.00</v>
      </c>
      <c r="L4699">
        <v>25</v>
      </c>
      <c r="M4699">
        <v>202</v>
      </c>
      <c r="N4699">
        <v>146</v>
      </c>
      <c r="O4699">
        <v>202</v>
      </c>
      <c r="P4699">
        <v>146</v>
      </c>
    </row>
    <row r="4700" spans="1:16" x14ac:dyDescent="0.25">
      <c r="A4700">
        <v>21600801</v>
      </c>
      <c r="B4700">
        <v>2016</v>
      </c>
      <c r="C4700" t="s">
        <v>16</v>
      </c>
      <c r="D4700" t="s">
        <v>19</v>
      </c>
      <c r="E4700">
        <v>41</v>
      </c>
      <c r="F4700">
        <v>54</v>
      </c>
      <c r="G4700">
        <v>2</v>
      </c>
      <c r="H4700" s="1">
        <v>1.3425925925925925E-3</v>
      </c>
      <c r="I4700" t="s">
        <v>18</v>
      </c>
      <c r="J4700" s="2" t="str">
        <f>HYPERLINK("https://www.nba.com/stats/events?CFID=&amp;CFPARAMS=&amp;GameEventID=187&amp;GameID=0021600801&amp;Season=2016-17&amp;flag=1&amp;title=Leonard%2026'%203PT%20Jump%20Shot%20(12%20PTS)%20(Parker%207%20AST)", "Leonard 26' 3PT Jump Shot (12 PTS) (Parker 7 AST)")</f>
        <v>Leonard 26' 3PT Jump Shot (12 PTS) (Parker 7 AST)</v>
      </c>
      <c r="K4700" s="2" t="str">
        <f>HYPERLINK("https://www.nba.com/game/...-vs-...-0021600801/play-by-play?watchFullGame=true", "SAS vs DET - Q2 01:56.00")</f>
        <v>SAS vs DET - Q2 01:56.00</v>
      </c>
      <c r="L4700">
        <v>26</v>
      </c>
      <c r="M4700">
        <v>202</v>
      </c>
      <c r="N4700">
        <v>164</v>
      </c>
      <c r="O4700">
        <v>202</v>
      </c>
      <c r="P4700">
        <v>164</v>
      </c>
    </row>
    <row r="4701" spans="1:16" x14ac:dyDescent="0.25">
      <c r="A4701">
        <v>41300143</v>
      </c>
      <c r="B4701" t="s">
        <v>26</v>
      </c>
      <c r="C4701" t="s">
        <v>16</v>
      </c>
      <c r="D4701" t="s">
        <v>19</v>
      </c>
      <c r="E4701">
        <v>95</v>
      </c>
      <c r="F4701">
        <v>98</v>
      </c>
      <c r="G4701">
        <v>4</v>
      </c>
      <c r="H4701" s="1">
        <v>2.650462962962963E-3</v>
      </c>
      <c r="I4701" t="s">
        <v>18</v>
      </c>
      <c r="J4701" s="2" t="str">
        <f>HYPERLINK("https://www.nba.com/stats/events?CFID=&amp;CFPARAMS=&amp;GameEventID=461&amp;GameID=0041300143&amp;Season=2013-14&amp;flag=1&amp;title=Leonard%2025'%203PT%20Jump%20Shot%20(17%20PTS)%20(Diaw%203%20AST)", "Leonard 25' 3PT Jump Shot (17 PTS) (Diaw 3 AST)")</f>
        <v>Leonard 25' 3PT Jump Shot (17 PTS) (Diaw 3 AST)</v>
      </c>
      <c r="K4701" s="2" t="str">
        <f>HYPERLINK("https://www.nba.com/game/...-vs-...-0041300143/play-by-play?watchFullGame=true", "SAS vs DAL - Q4 03:49.00")</f>
        <v>SAS vs DAL - Q4 03:49.00</v>
      </c>
      <c r="L4701">
        <v>25</v>
      </c>
      <c r="M4701">
        <v>203</v>
      </c>
      <c r="N4701">
        <v>143</v>
      </c>
      <c r="O4701">
        <v>203</v>
      </c>
      <c r="P4701">
        <v>143</v>
      </c>
    </row>
    <row r="4702" spans="1:16" x14ac:dyDescent="0.25">
      <c r="A4702">
        <v>21401157</v>
      </c>
      <c r="B4702">
        <v>2014</v>
      </c>
      <c r="C4702" t="s">
        <v>16</v>
      </c>
      <c r="D4702" t="s">
        <v>19</v>
      </c>
      <c r="E4702">
        <v>0</v>
      </c>
      <c r="F4702">
        <v>3</v>
      </c>
      <c r="G4702">
        <v>1</v>
      </c>
      <c r="H4702" s="1">
        <v>7.3032407407407404E-3</v>
      </c>
      <c r="I4702" t="s">
        <v>18</v>
      </c>
      <c r="J4702" s="2" t="str">
        <f>HYPERLINK("https://www.nba.com/stats/events?CFID=&amp;CFPARAMS=&amp;GameEventID=17&amp;GameID=0021401157&amp;Season=2014-15&amp;flag=1&amp;title=Leonard%2025'%203PT%20Jump%20Shot%20(3%20PTS)%20(Green%201%20AST)", "Leonard 25' 3PT Jump Shot (3 PTS) (Green 1 AST)")</f>
        <v>Leonard 25' 3PT Jump Shot (3 PTS) (Green 1 AST)</v>
      </c>
      <c r="K4702" s="2" t="str">
        <f>HYPERLINK("https://www.nba.com/game/...-vs-...-0021401157/play-by-play?watchFullGame=true", "SAS vs OKC - Q1 10:31.00")</f>
        <v>SAS vs OKC - Q1 10:31.00</v>
      </c>
      <c r="L4702">
        <v>25</v>
      </c>
      <c r="M4702">
        <v>203</v>
      </c>
      <c r="N4702">
        <v>143</v>
      </c>
      <c r="O4702">
        <v>203</v>
      </c>
      <c r="P4702">
        <v>143</v>
      </c>
    </row>
    <row r="4703" spans="1:16" x14ac:dyDescent="0.25">
      <c r="A4703">
        <v>41800112</v>
      </c>
      <c r="B4703" t="s">
        <v>20</v>
      </c>
      <c r="C4703" t="s">
        <v>16</v>
      </c>
      <c r="D4703" t="s">
        <v>29</v>
      </c>
      <c r="E4703">
        <v>54</v>
      </c>
      <c r="F4703">
        <v>41</v>
      </c>
      <c r="G4703">
        <v>3</v>
      </c>
      <c r="H4703" s="1">
        <v>7.9745370370370369E-3</v>
      </c>
      <c r="I4703" t="s">
        <v>21</v>
      </c>
      <c r="J4703" s="2" t="str">
        <f>HYPERLINK("https://www.nba.com/stats/events?CFID=&amp;CFPARAMS=&amp;GameEventID=342&amp;GameID=0041800112&amp;Season=2018-19&amp;flag=1&amp;title=Leonard%2025'%203PT%20Pullup%20Jump%20Shot%20(20%20PTS)", "Leonard 25' 3PT Pullup Jump Shot (20 PTS)")</f>
        <v>Leonard 25' 3PT Pullup Jump Shot (20 PTS)</v>
      </c>
      <c r="K4703" s="2" t="str">
        <f>HYPERLINK("https://www.nba.com/game/...-vs-...-0041800112/play-by-play?watchFullGame=true", "TOR vs ORL - Q3 11:29.00")</f>
        <v>TOR vs ORL - Q3 11:29.00</v>
      </c>
      <c r="L4703">
        <v>25</v>
      </c>
      <c r="M4703">
        <v>203</v>
      </c>
      <c r="N4703">
        <v>147</v>
      </c>
      <c r="O4703">
        <v>203</v>
      </c>
      <c r="P4703">
        <v>147</v>
      </c>
    </row>
    <row r="4704" spans="1:16" x14ac:dyDescent="0.25">
      <c r="A4704">
        <v>21400774</v>
      </c>
      <c r="B4704">
        <v>2014</v>
      </c>
      <c r="C4704" t="s">
        <v>16</v>
      </c>
      <c r="D4704" t="s">
        <v>19</v>
      </c>
      <c r="E4704">
        <v>10</v>
      </c>
      <c r="F4704">
        <v>18</v>
      </c>
      <c r="G4704">
        <v>1</v>
      </c>
      <c r="H4704" s="1">
        <v>5.2314814814814811E-3</v>
      </c>
      <c r="I4704" t="s">
        <v>18</v>
      </c>
      <c r="J4704" s="2" t="str">
        <f>HYPERLINK("https://www.nba.com/stats/events?CFID=&amp;CFPARAMS=&amp;GameEventID=31&amp;GameID=0021400774&amp;Season=2014-15&amp;flag=1&amp;title=Leonard%2026'%203PT%20Jump%20Shot%20(5%20PTS)%20(Parker%203%20AST)", "Leonard 26' 3PT Jump Shot (5 PTS) (Parker 3 AST)")</f>
        <v>Leonard 26' 3PT Jump Shot (5 PTS) (Parker 3 AST)</v>
      </c>
      <c r="K4704" s="2" t="str">
        <f>HYPERLINK("https://www.nba.com/game/...-vs-...-0021400774/play-by-play?watchFullGame=true", "SAS vs IND - Q1 07:32.00")</f>
        <v>SAS vs IND - Q1 07:32.00</v>
      </c>
      <c r="L4704">
        <v>26</v>
      </c>
      <c r="M4704">
        <v>203</v>
      </c>
      <c r="N4704">
        <v>164</v>
      </c>
      <c r="O4704">
        <v>203</v>
      </c>
      <c r="P4704">
        <v>164</v>
      </c>
    </row>
    <row r="4705" spans="1:16" x14ac:dyDescent="0.25">
      <c r="A4705">
        <v>22000966</v>
      </c>
      <c r="B4705">
        <v>2020</v>
      </c>
      <c r="C4705" t="s">
        <v>16</v>
      </c>
      <c r="D4705" t="s">
        <v>19</v>
      </c>
      <c r="E4705">
        <v>13</v>
      </c>
      <c r="F4705">
        <v>5</v>
      </c>
      <c r="G4705">
        <v>1</v>
      </c>
      <c r="H4705" s="1">
        <v>6.1574074074074074E-3</v>
      </c>
      <c r="I4705" t="s">
        <v>23</v>
      </c>
      <c r="J4705" s="2" t="str">
        <f>HYPERLINK("https://www.nba.com/stats/events?CFID=&amp;CFPARAMS=&amp;GameEventID=29&amp;GameID=0022000966&amp;Season=2020-21&amp;flag=1&amp;title=Leonard%2026'%203PT%20%20(5%20PTS)%20(M.%20Morris%20Sr.%202%20AST)", "26' 3PT  (5 PTS) (M. Morris Sr. 2 AST)")</f>
        <v>26' 3PT  (5 PTS) (M. Morris Sr. 2 AST)</v>
      </c>
      <c r="K4705" s="2" t="str">
        <f>HYPERLINK("https://www.nba.com/game/...-vs-...-0022000966/play-by-play?watchFullGame=true", "LAC vs DEN - Q1 08:52.00")</f>
        <v>LAC vs DEN - Q1 08:52.00</v>
      </c>
      <c r="L4705">
        <v>26.11</v>
      </c>
      <c r="M4705">
        <v>77.22</v>
      </c>
      <c r="N4705">
        <v>91</v>
      </c>
      <c r="O4705">
        <v>205</v>
      </c>
      <c r="P4705">
        <v>162</v>
      </c>
    </row>
    <row r="4706" spans="1:16" x14ac:dyDescent="0.25">
      <c r="A4706">
        <v>22300708</v>
      </c>
      <c r="B4706">
        <v>2023</v>
      </c>
      <c r="C4706" t="s">
        <v>16</v>
      </c>
      <c r="D4706" t="s">
        <v>19</v>
      </c>
      <c r="E4706">
        <v>59</v>
      </c>
      <c r="F4706">
        <v>67</v>
      </c>
      <c r="G4706">
        <v>3</v>
      </c>
      <c r="H4706" s="1">
        <v>2.7430555555555554E-3</v>
      </c>
      <c r="I4706" t="s">
        <v>23</v>
      </c>
      <c r="J4706" s="2" t="str">
        <f>HYPERLINK("https://www.nba.com/stats/events?CFID=&amp;CFPARAMS=&amp;GameEventID=351&amp;GameID=0022300708&amp;Season=2023-24&amp;flag=1&amp;title=Leonard%2024'%203PT%20%20(21%20PTS)%20(J.%20Harden%208%20AST)", "24' 3PT  (21 PTS) (J. Harden 8 AST)")</f>
        <v>24' 3PT  (21 PTS) (J. Harden 8 AST)</v>
      </c>
      <c r="K4706" s="2" t="str">
        <f>HYPERLINK("https://www.nba.com/game/...-vs-...-0022300708/play-by-play?watchFullGame=true", "LAC vs MIA - Q3 03:57.00")</f>
        <v>LAC vs MIA - Q3 03:57.00</v>
      </c>
      <c r="L4706">
        <v>24.13</v>
      </c>
      <c r="M4706">
        <v>81.03</v>
      </c>
      <c r="N4706">
        <v>91.18</v>
      </c>
      <c r="O4706">
        <v>206</v>
      </c>
      <c r="P4706">
        <v>126</v>
      </c>
    </row>
    <row r="4707" spans="1:16" x14ac:dyDescent="0.25">
      <c r="A4707">
        <v>21300914</v>
      </c>
      <c r="B4707">
        <v>2013</v>
      </c>
      <c r="C4707" t="s">
        <v>16</v>
      </c>
      <c r="D4707" t="s">
        <v>19</v>
      </c>
      <c r="E4707">
        <v>78</v>
      </c>
      <c r="F4707">
        <v>65</v>
      </c>
      <c r="G4707">
        <v>3</v>
      </c>
      <c r="H4707" s="1">
        <v>2.8587962962962963E-3</v>
      </c>
      <c r="I4707" t="s">
        <v>18</v>
      </c>
      <c r="J4707" s="2" t="str">
        <f>HYPERLINK("https://www.nba.com/stats/events?CFID=&amp;CFPARAMS=&amp;GameEventID=344&amp;GameID=0021300914&amp;Season=2013-14&amp;flag=1&amp;title=Leonard%2025'%203PT%20Jump%20Shot%20(9%20PTS)%20(Ginobili%203%20AST)", "Leonard 25' 3PT Jump Shot (9 PTS) (Ginobili 3 AST)")</f>
        <v>Leonard 25' 3PT Jump Shot (9 PTS) (Ginobili 3 AST)</v>
      </c>
      <c r="K4707" s="2" t="str">
        <f>HYPERLINK("https://www.nba.com/game/...-vs-...-0021300914/play-by-play?watchFullGame=true", "SAS vs MIA - Q3 04:07.00")</f>
        <v>SAS vs MIA - Q3 04:07.00</v>
      </c>
      <c r="L4707">
        <v>25</v>
      </c>
      <c r="M4707">
        <v>206</v>
      </c>
      <c r="N4707">
        <v>149</v>
      </c>
      <c r="O4707">
        <v>206</v>
      </c>
      <c r="P4707">
        <v>149</v>
      </c>
    </row>
    <row r="4708" spans="1:16" x14ac:dyDescent="0.25">
      <c r="A4708">
        <v>21600657</v>
      </c>
      <c r="B4708">
        <v>2016</v>
      </c>
      <c r="C4708" t="s">
        <v>16</v>
      </c>
      <c r="D4708" t="s">
        <v>19</v>
      </c>
      <c r="E4708">
        <v>67</v>
      </c>
      <c r="F4708">
        <v>70</v>
      </c>
      <c r="G4708">
        <v>3</v>
      </c>
      <c r="H4708" s="1">
        <v>5.4861111111111109E-3</v>
      </c>
      <c r="I4708" t="s">
        <v>18</v>
      </c>
      <c r="J4708" s="2" t="str">
        <f>HYPERLINK("https://www.nba.com/stats/events?CFID=&amp;CFPARAMS=&amp;GameEventID=270&amp;GameID=0021600657&amp;Season=2016-17&amp;flag=1&amp;title=Leonard%2024'%203PT%20Jump%20Shot%20(21%20PTS)%20(Murray%204%20AST)", "Leonard 24' 3PT Jump Shot (21 PTS) (Murray 4 AST)")</f>
        <v>Leonard 24' 3PT Jump Shot (21 PTS) (Murray 4 AST)</v>
      </c>
      <c r="K4708" s="2" t="str">
        <f>HYPERLINK("https://www.nba.com/game/...-vs-...-0021600657/play-by-play?watchFullGame=true", "SAS vs CLE - Q3 07:54.00")</f>
        <v>SAS vs CLE - Q3 07:54.00</v>
      </c>
      <c r="L4708">
        <v>24</v>
      </c>
      <c r="M4708">
        <v>207</v>
      </c>
      <c r="N4708">
        <v>131</v>
      </c>
      <c r="O4708">
        <v>207</v>
      </c>
      <c r="P4708">
        <v>131</v>
      </c>
    </row>
    <row r="4709" spans="1:16" x14ac:dyDescent="0.25">
      <c r="A4709">
        <v>22300024</v>
      </c>
      <c r="B4709">
        <v>2023</v>
      </c>
      <c r="C4709" t="s">
        <v>16</v>
      </c>
      <c r="D4709" t="s">
        <v>19</v>
      </c>
      <c r="E4709">
        <v>41</v>
      </c>
      <c r="F4709">
        <v>39</v>
      </c>
      <c r="G4709">
        <v>2</v>
      </c>
      <c r="H4709" s="1">
        <v>4.8379629629629632E-3</v>
      </c>
      <c r="I4709" t="s">
        <v>23</v>
      </c>
      <c r="J4709" s="2" t="str">
        <f>HYPERLINK("https://www.nba.com/stats/events?CFID=&amp;CFPARAMS=&amp;GameEventID=217&amp;GameID=0022300024&amp;Season=2023-24&amp;flag=1&amp;title=Leonard%2025'%203PT%20%20(5%20PTS)%20(P.%20George%201%20AST)", "25' 3PT  (5 PTS) (P. George 1 AST)")</f>
        <v>25' 3PT  (5 PTS) (P. George 1 AST)</v>
      </c>
      <c r="K4709" s="2" t="str">
        <f>HYPERLINK("https://www.nba.com/game/...-vs-...-0022300024/play-by-play?watchFullGame=true", "LAC vs DEN - Q2 06:58.00")</f>
        <v>LAC vs DEN - Q2 06:58.00</v>
      </c>
      <c r="L4709">
        <v>25.17</v>
      </c>
      <c r="M4709">
        <v>79.19</v>
      </c>
      <c r="N4709">
        <v>91.42</v>
      </c>
      <c r="O4709">
        <v>207</v>
      </c>
      <c r="P4709">
        <v>143</v>
      </c>
    </row>
    <row r="4710" spans="1:16" x14ac:dyDescent="0.25">
      <c r="A4710">
        <v>22200649</v>
      </c>
      <c r="B4710">
        <v>2022</v>
      </c>
      <c r="C4710" t="s">
        <v>16</v>
      </c>
      <c r="D4710" t="s">
        <v>19</v>
      </c>
      <c r="E4710">
        <v>54</v>
      </c>
      <c r="F4710">
        <v>55</v>
      </c>
      <c r="G4710">
        <v>2</v>
      </c>
      <c r="H4710" s="1">
        <v>1.3194444444444445E-3</v>
      </c>
      <c r="I4710" t="s">
        <v>23</v>
      </c>
      <c r="J4710" s="2" t="str">
        <f>HYPERLINK("https://www.nba.com/stats/events?CFID=&amp;CFPARAMS=&amp;GameEventID=290&amp;GameID=0022200649&amp;Season=2022-23&amp;flag=1&amp;title=Leonard%2026'%203PT%20%20(16%20PTS)%20(T.%20Mann%204%20AST)", "26' 3PT  (16 PTS) (T. Mann 4 AST)")</f>
        <v>26' 3PT  (16 PTS) (T. Mann 4 AST)</v>
      </c>
      <c r="K4710" s="2" t="str">
        <f>HYPERLINK("https://www.nba.com/game/...-vs-...-0022200649/play-by-play?watchFullGame=true", "LAC vs HOU - Q2 01:54.00")</f>
        <v>LAC vs HOU - Q2 01:54.00</v>
      </c>
      <c r="L4710">
        <v>26.44</v>
      </c>
      <c r="M4710">
        <v>76.92</v>
      </c>
      <c r="N4710">
        <v>91.42</v>
      </c>
      <c r="O4710">
        <v>207</v>
      </c>
      <c r="P4710">
        <v>164</v>
      </c>
    </row>
    <row r="4711" spans="1:16" x14ac:dyDescent="0.25">
      <c r="A4711">
        <v>21500364</v>
      </c>
      <c r="B4711">
        <v>2015</v>
      </c>
      <c r="C4711" t="s">
        <v>16</v>
      </c>
      <c r="D4711" t="s">
        <v>19</v>
      </c>
      <c r="E4711">
        <v>62</v>
      </c>
      <c r="F4711">
        <v>38</v>
      </c>
      <c r="G4711">
        <v>3</v>
      </c>
      <c r="H4711" s="1">
        <v>7.9166666666666673E-3</v>
      </c>
      <c r="I4711" t="s">
        <v>18</v>
      </c>
      <c r="J4711" s="2" t="str">
        <f>HYPERLINK("https://www.nba.com/stats/events?CFID=&amp;CFPARAMS=&amp;GameEventID=269&amp;GameID=0021500364&amp;Season=2015-16&amp;flag=1&amp;title=Leonard%2025'%203PT%20Jump%20Shot%20(13%20PTS)%20(Green%203%20AST)", "Leonard 25' 3PT Jump Shot (13 PTS) (Green 3 AST)")</f>
        <v>Leonard 25' 3PT Jump Shot (13 PTS) (Green 3 AST)</v>
      </c>
      <c r="K4711" s="2" t="str">
        <f>HYPERLINK("https://www.nba.com/game/...-vs-...-0021500364/play-by-play?watchFullGame=true", "SAS vs UTA - Q3 11:24.00")</f>
        <v>SAS vs UTA - Q3 11:24.00</v>
      </c>
      <c r="L4711">
        <v>25</v>
      </c>
      <c r="M4711">
        <v>209</v>
      </c>
      <c r="N4711">
        <v>131</v>
      </c>
      <c r="O4711">
        <v>209</v>
      </c>
      <c r="P4711">
        <v>131</v>
      </c>
    </row>
    <row r="4712" spans="1:16" x14ac:dyDescent="0.25">
      <c r="A4712">
        <v>21600077</v>
      </c>
      <c r="B4712">
        <v>2016</v>
      </c>
      <c r="C4712" t="s">
        <v>32</v>
      </c>
      <c r="D4712" t="s">
        <v>29</v>
      </c>
      <c r="E4712">
        <v>31</v>
      </c>
      <c r="F4712">
        <v>44</v>
      </c>
      <c r="G4712">
        <v>2</v>
      </c>
      <c r="H4712" s="1">
        <v>4.2013888888888891E-3</v>
      </c>
      <c r="I4712" t="s">
        <v>18</v>
      </c>
      <c r="J4712" s="2" t="str">
        <f>HYPERLINK("https://www.nba.com/stats/events?CFID=&amp;CFPARAMS=&amp;GameEventID=181&amp;GameID=0021600077&amp;Season=2016-17&amp;flag=1&amp;title=Leonard%2023'%20Pullup%20Jump%20Shot%20(14%20PTS)", "Leonard 23' Pullup Jump Shot (14 PTS)")</f>
        <v>Leonard 23' Pullup Jump Shot (14 PTS)</v>
      </c>
      <c r="K4712" s="2" t="str">
        <f>HYPERLINK("https://www.nba.com/game/...-vs-...-0021600077/play-by-play?watchFullGame=true", "SAS vs UTA - Q2 06:03.00")</f>
        <v>SAS vs UTA - Q2 06:03.00</v>
      </c>
      <c r="L4712">
        <v>23</v>
      </c>
      <c r="M4712">
        <v>210</v>
      </c>
      <c r="N4712">
        <v>90</v>
      </c>
      <c r="O4712">
        <v>210</v>
      </c>
      <c r="P4712">
        <v>90</v>
      </c>
    </row>
    <row r="4713" spans="1:16" x14ac:dyDescent="0.25">
      <c r="A4713">
        <v>21500481</v>
      </c>
      <c r="B4713">
        <v>2015</v>
      </c>
      <c r="C4713" t="s">
        <v>16</v>
      </c>
      <c r="D4713" t="s">
        <v>19</v>
      </c>
      <c r="E4713">
        <v>20</v>
      </c>
      <c r="F4713">
        <v>8</v>
      </c>
      <c r="G4713">
        <v>1</v>
      </c>
      <c r="H4713" s="1">
        <v>2.0601851851851853E-3</v>
      </c>
      <c r="I4713" t="s">
        <v>18</v>
      </c>
      <c r="J4713" s="2" t="str">
        <f>HYPERLINK("https://www.nba.com/stats/events?CFID=&amp;CFPARAMS=&amp;GameEventID=86&amp;GameID=0021500481&amp;Season=2015-16&amp;flag=1&amp;title=Leonard%2025'%203PT%20Jump%20Shot%20(3%20PTS)%20(Aldridge%201%20AST)", "Leonard 25' 3PT Jump Shot (3 PTS) (Aldridge 1 AST)")</f>
        <v>Leonard 25' 3PT Jump Shot (3 PTS) (Aldridge 1 AST)</v>
      </c>
      <c r="K4713" s="2" t="str">
        <f>HYPERLINK("https://www.nba.com/game/...-vs-...-0021500481/play-by-play?watchFullGame=true", "SAS vs PHX - Q1 02:58.00")</f>
        <v>SAS vs PHX - Q1 02:58.00</v>
      </c>
      <c r="L4713">
        <v>25</v>
      </c>
      <c r="M4713">
        <v>210</v>
      </c>
      <c r="N4713">
        <v>144</v>
      </c>
      <c r="O4713">
        <v>210</v>
      </c>
      <c r="P4713">
        <v>144</v>
      </c>
    </row>
    <row r="4714" spans="1:16" x14ac:dyDescent="0.25">
      <c r="A4714">
        <v>21601151</v>
      </c>
      <c r="B4714">
        <v>2016</v>
      </c>
      <c r="C4714" t="s">
        <v>16</v>
      </c>
      <c r="D4714" t="s">
        <v>19</v>
      </c>
      <c r="E4714">
        <v>63</v>
      </c>
      <c r="F4714">
        <v>56</v>
      </c>
      <c r="G4714">
        <v>3</v>
      </c>
      <c r="H4714" s="1">
        <v>6.7013888888888887E-3</v>
      </c>
      <c r="I4714" t="s">
        <v>18</v>
      </c>
      <c r="J4714" s="2" t="str">
        <f>HYPERLINK("https://www.nba.com/stats/events?CFID=&amp;CFPARAMS=&amp;GameEventID=245&amp;GameID=0021601151&amp;Season=2016-17&amp;flag=1&amp;title=Leonard%2025'%203PT%20Jump%20Shot%20(11%20PTS)%20(Anderson%203%20AST)", "Leonard 25' 3PT Jump Shot (11 PTS) (Anderson 3 AST)")</f>
        <v>Leonard 25' 3PT Jump Shot (11 PTS) (Anderson 3 AST)</v>
      </c>
      <c r="K4714" s="2" t="str">
        <f>HYPERLINK("https://www.nba.com/game/...-vs-...-0021601151/play-by-play?watchFullGame=true", "SAS vs UTA - Q3 09:39.00")</f>
        <v>SAS vs UTA - Q3 09:39.00</v>
      </c>
      <c r="L4714">
        <v>25</v>
      </c>
      <c r="M4714">
        <v>210</v>
      </c>
      <c r="N4714">
        <v>144</v>
      </c>
      <c r="O4714">
        <v>210</v>
      </c>
      <c r="P4714">
        <v>144</v>
      </c>
    </row>
    <row r="4715" spans="1:16" x14ac:dyDescent="0.25">
      <c r="A4715">
        <v>21600458</v>
      </c>
      <c r="B4715">
        <v>2016</v>
      </c>
      <c r="C4715" t="s">
        <v>16</v>
      </c>
      <c r="D4715" t="s">
        <v>19</v>
      </c>
      <c r="E4715">
        <v>11</v>
      </c>
      <c r="F4715">
        <v>2</v>
      </c>
      <c r="G4715">
        <v>1</v>
      </c>
      <c r="H4715" s="1">
        <v>6.1111111111111114E-3</v>
      </c>
      <c r="I4715" t="s">
        <v>18</v>
      </c>
      <c r="J4715" s="2" t="str">
        <f>HYPERLINK("https://www.nba.com/stats/events?CFID=&amp;CFPARAMS=&amp;GameEventID=22&amp;GameID=0021600458&amp;Season=2016-17&amp;flag=1&amp;title=Leonard%2026'%203PT%20Jump%20Shot%20(3%20PTS)%20(Parker%204%20AST)", "Leonard 26' 3PT Jump Shot (3 PTS) (Parker 4 AST)")</f>
        <v>Leonard 26' 3PT Jump Shot (3 PTS) (Parker 4 AST)</v>
      </c>
      <c r="K4715" s="2" t="str">
        <f>HYPERLINK("https://www.nba.com/game/...-vs-...-0021600458/play-by-play?watchFullGame=true", "SAS vs CHI - Q1 08:48.00")</f>
        <v>SAS vs CHI - Q1 08:48.00</v>
      </c>
      <c r="L4715">
        <v>26</v>
      </c>
      <c r="M4715">
        <v>210</v>
      </c>
      <c r="N4715">
        <v>149</v>
      </c>
      <c r="O4715">
        <v>210</v>
      </c>
      <c r="P4715">
        <v>149</v>
      </c>
    </row>
    <row r="4716" spans="1:16" x14ac:dyDescent="0.25">
      <c r="A4716">
        <v>22000966</v>
      </c>
      <c r="B4716">
        <v>2020</v>
      </c>
      <c r="C4716" t="s">
        <v>16</v>
      </c>
      <c r="D4716" t="s">
        <v>19</v>
      </c>
      <c r="E4716">
        <v>54</v>
      </c>
      <c r="F4716">
        <v>56</v>
      </c>
      <c r="G4716">
        <v>3</v>
      </c>
      <c r="H4716" s="1">
        <v>6.9212962962962961E-3</v>
      </c>
      <c r="I4716" t="s">
        <v>23</v>
      </c>
      <c r="J4716" s="2" t="str">
        <f>HYPERLINK("https://www.nba.com/stats/events?CFID=&amp;CFPARAMS=&amp;GameEventID=343&amp;GameID=0022000966&amp;Season=2020-21&amp;flag=1&amp;title=Leonard%2026'%203PT%20step%20back%20(12%20PTS)%20(R.%20Jackson%201%20AST)", "26' 3PT step back (12 PTS) (R. Jackson 1 AST)")</f>
        <v>26' 3PT step back (12 PTS) (R. Jackson 1 AST)</v>
      </c>
      <c r="K4716" s="2" t="str">
        <f>HYPERLINK("https://www.nba.com/game/...-vs-...-0022000966/play-by-play?watchFullGame=true", "LAC vs DEN - Q3 09:58.00")</f>
        <v>LAC vs DEN - Q3 09:58.00</v>
      </c>
      <c r="L4716">
        <v>26.18</v>
      </c>
      <c r="M4716">
        <v>22.16</v>
      </c>
      <c r="N4716">
        <v>7.91</v>
      </c>
      <c r="O4716">
        <v>210</v>
      </c>
      <c r="P4716">
        <v>156</v>
      </c>
    </row>
    <row r="4717" spans="1:16" x14ac:dyDescent="0.25">
      <c r="A4717">
        <v>21600902</v>
      </c>
      <c r="B4717">
        <v>2016</v>
      </c>
      <c r="C4717" t="s">
        <v>16</v>
      </c>
      <c r="D4717" t="s">
        <v>19</v>
      </c>
      <c r="E4717">
        <v>55</v>
      </c>
      <c r="F4717">
        <v>58</v>
      </c>
      <c r="G4717">
        <v>3</v>
      </c>
      <c r="H4717" s="1">
        <v>5.7870370370370367E-3</v>
      </c>
      <c r="I4717" t="s">
        <v>18</v>
      </c>
      <c r="J4717" s="2" t="str">
        <f>HYPERLINK("https://www.nba.com/stats/events?CFID=&amp;CFPARAMS=&amp;GameEventID=310&amp;GameID=0021600902&amp;Season=2016-17&amp;flag=1&amp;title=Leonard%2025'%203PT%20Jump%20Shot%20(17%20PTS)%20(Green%201%20AST)", "Leonard 25' 3PT Jump Shot (17 PTS) (Green 1 AST)")</f>
        <v>Leonard 25' 3PT Jump Shot (17 PTS) (Green 1 AST)</v>
      </c>
      <c r="K4717" s="2" t="str">
        <f>HYPERLINK("https://www.nba.com/game/...-vs-...-0021600902/play-by-play?watchFullGame=true", "SAS vs IND - Q3 08:20.00")</f>
        <v>SAS vs IND - Q3 08:20.00</v>
      </c>
      <c r="L4717">
        <v>25</v>
      </c>
      <c r="M4717">
        <v>212</v>
      </c>
      <c r="N4717">
        <v>129</v>
      </c>
      <c r="O4717">
        <v>212</v>
      </c>
      <c r="P4717">
        <v>129</v>
      </c>
    </row>
    <row r="4718" spans="1:16" x14ac:dyDescent="0.25">
      <c r="A4718">
        <v>21900339</v>
      </c>
      <c r="B4718">
        <v>2019</v>
      </c>
      <c r="C4718" t="s">
        <v>16</v>
      </c>
      <c r="D4718" t="s">
        <v>22</v>
      </c>
      <c r="E4718">
        <v>5</v>
      </c>
      <c r="F4718">
        <v>17</v>
      </c>
      <c r="G4718">
        <v>1</v>
      </c>
      <c r="H4718" s="1">
        <v>5.9722222222222225E-3</v>
      </c>
      <c r="I4718" t="s">
        <v>23</v>
      </c>
      <c r="J4718" s="2" t="str">
        <f>HYPERLINK("https://www.nba.com/stats/events?CFID=&amp;CFPARAMS=&amp;GameEventID=44&amp;GameID=0021900339&amp;Season=2019-20&amp;flag=1&amp;title=Leonard%2025'%203PT%20%20(6%20PTS)%20(I.%20Zubac%201%20AST)", "25' 3PT  (6 PTS) (I. Zubac 1 AST)")</f>
        <v>25' 3PT  (6 PTS) (I. Zubac 1 AST)</v>
      </c>
      <c r="K4718" s="2" t="str">
        <f>HYPERLINK("https://www.nba.com/game/...-vs-...-0021900339/play-by-play?watchFullGame=true", "LAC vs WAS - Q1 08:36.00")</f>
        <v>LAC vs WAS - Q1 08:36.00</v>
      </c>
      <c r="L4718">
        <v>25.1</v>
      </c>
      <c r="M4718">
        <v>80.86</v>
      </c>
      <c r="N4718">
        <v>92.58</v>
      </c>
      <c r="O4718">
        <v>213</v>
      </c>
      <c r="P4718">
        <v>127</v>
      </c>
    </row>
    <row r="4719" spans="1:16" x14ac:dyDescent="0.25">
      <c r="A4719">
        <v>21500242</v>
      </c>
      <c r="B4719">
        <v>2015</v>
      </c>
      <c r="C4719" t="s">
        <v>16</v>
      </c>
      <c r="D4719" t="s">
        <v>19</v>
      </c>
      <c r="E4719">
        <v>57</v>
      </c>
      <c r="F4719">
        <v>37</v>
      </c>
      <c r="G4719">
        <v>3</v>
      </c>
      <c r="H4719" s="1">
        <v>7.905092592592592E-3</v>
      </c>
      <c r="I4719" t="s">
        <v>18</v>
      </c>
      <c r="J4719" s="2" t="str">
        <f>HYPERLINK("https://www.nba.com/stats/events?CFID=&amp;CFPARAMS=&amp;GameEventID=273&amp;GameID=0021500242&amp;Season=2015-16&amp;flag=1&amp;title=Leonard%2025'%203PT%20Jump%20Shot%20(18%20PTS)%20(Duncan%203%20AST)", "Leonard 25' 3PT Jump Shot (18 PTS) (Duncan 3 AST)")</f>
        <v>Leonard 25' 3PT Jump Shot (18 PTS) (Duncan 3 AST)</v>
      </c>
      <c r="K4719" s="2" t="str">
        <f>HYPERLINK("https://www.nba.com/game/...-vs-...-0021500242/play-by-play?watchFullGame=true", "SAS vs ATL - Q3 11:23.00")</f>
        <v>SAS vs ATL - Q3 11:23.00</v>
      </c>
      <c r="L4719">
        <v>25</v>
      </c>
      <c r="M4719">
        <v>213</v>
      </c>
      <c r="N4719">
        <v>129</v>
      </c>
      <c r="O4719">
        <v>213</v>
      </c>
      <c r="P4719">
        <v>129</v>
      </c>
    </row>
    <row r="4720" spans="1:16" x14ac:dyDescent="0.25">
      <c r="A4720">
        <v>21600782</v>
      </c>
      <c r="B4720">
        <v>2016</v>
      </c>
      <c r="C4720" t="s">
        <v>16</v>
      </c>
      <c r="D4720" t="s">
        <v>19</v>
      </c>
      <c r="E4720">
        <v>19</v>
      </c>
      <c r="F4720">
        <v>24</v>
      </c>
      <c r="G4720">
        <v>1</v>
      </c>
      <c r="H4720" s="1">
        <v>1.0069444444444444E-3</v>
      </c>
      <c r="I4720" t="s">
        <v>18</v>
      </c>
      <c r="J4720" s="2" t="str">
        <f>HYPERLINK("https://www.nba.com/stats/events?CFID=&amp;CFPARAMS=&amp;GameEventID=95&amp;GameID=0021600782&amp;Season=2016-17&amp;flag=1&amp;title=Leonard%2025'%203PT%20Jump%20Shot%20(5%20PTS)%20(Ginobili%201%20AST)", "Leonard 25' 3PT Jump Shot (5 PTS) (Ginobili 1 AST)")</f>
        <v>Leonard 25' 3PT Jump Shot (5 PTS) (Ginobili 1 AST)</v>
      </c>
      <c r="K4720" s="2" t="str">
        <f>HYPERLINK("https://www.nba.com/game/...-vs-...-0021600782/play-by-play?watchFullGame=true", "SAS vs PHI - Q1 01:27.00")</f>
        <v>SAS vs PHI - Q1 01:27.00</v>
      </c>
      <c r="L4720">
        <v>25</v>
      </c>
      <c r="M4720">
        <v>215</v>
      </c>
      <c r="N4720">
        <v>126</v>
      </c>
      <c r="O4720">
        <v>215</v>
      </c>
      <c r="P4720">
        <v>126</v>
      </c>
    </row>
    <row r="4721" spans="1:16" x14ac:dyDescent="0.25">
      <c r="A4721">
        <v>22200668</v>
      </c>
      <c r="B4721">
        <v>2022</v>
      </c>
      <c r="C4721" t="s">
        <v>16</v>
      </c>
      <c r="D4721" t="s">
        <v>19</v>
      </c>
      <c r="E4721">
        <v>63</v>
      </c>
      <c r="F4721">
        <v>67</v>
      </c>
      <c r="G4721">
        <v>3</v>
      </c>
      <c r="H4721" s="1">
        <v>6.5624999999999998E-3</v>
      </c>
      <c r="I4721" t="s">
        <v>23</v>
      </c>
      <c r="J4721" s="2" t="str">
        <f>HYPERLINK("https://www.nba.com/stats/events?CFID=&amp;CFPARAMS=&amp;GameEventID=343&amp;GameID=0022200668&amp;Season=2022-23&amp;flag=1&amp;title=Leonard%2025'%203PT%20%20(19%20PTS)%20(P.%20George%204%20AST)", "25' 3PT  (19 PTS) (P. George 4 AST)")</f>
        <v>25' 3PT  (19 PTS) (P. George 4 AST)</v>
      </c>
      <c r="K4721" s="2" t="str">
        <f>HYPERLINK("https://www.nba.com/game/...-vs-...-0022200668/play-by-play?watchFullGame=true", "LAC vs PHI - Q3 09:27.00")</f>
        <v>LAC vs PHI - Q3 09:27.00</v>
      </c>
      <c r="L4721">
        <v>25.16</v>
      </c>
      <c r="M4721">
        <v>19.37</v>
      </c>
      <c r="N4721">
        <v>6.86</v>
      </c>
      <c r="O4721">
        <v>216</v>
      </c>
      <c r="P4721">
        <v>130</v>
      </c>
    </row>
    <row r="4722" spans="1:16" x14ac:dyDescent="0.25">
      <c r="A4722">
        <v>22000289</v>
      </c>
      <c r="B4722">
        <v>2020</v>
      </c>
      <c r="C4722" t="s">
        <v>16</v>
      </c>
      <c r="D4722" t="s">
        <v>19</v>
      </c>
      <c r="E4722">
        <v>48</v>
      </c>
      <c r="F4722">
        <v>62</v>
      </c>
      <c r="G4722">
        <v>2</v>
      </c>
      <c r="H4722" s="1">
        <v>0</v>
      </c>
      <c r="I4722" t="s">
        <v>23</v>
      </c>
      <c r="J4722" s="2" t="str">
        <f>HYPERLINK("https://www.nba.com/stats/events?CFID=&amp;CFPARAMS=&amp;GameEventID=311&amp;GameID=0022000289&amp;Season=2020-21&amp;flag=1&amp;title=Leonard%2025'%203PT%20step%20back%20(18%20PTS)%20(P.%20George%204%20AST)", "25' 3PT step back (18 PTS) (P. George 4 AST)")</f>
        <v>25' 3PT step back (18 PTS) (P. George 4 AST)</v>
      </c>
      <c r="K4722" s="2" t="str">
        <f>HYPERLINK("https://www.nba.com/game/...-vs-...-0022000289/play-by-play?watchFullGame=true", "LAC vs ORL - Q2 00:00.00")</f>
        <v>LAC vs ORL - Q2 00:00.00</v>
      </c>
      <c r="L4722">
        <v>25.75</v>
      </c>
      <c r="M4722">
        <v>79.709999999999994</v>
      </c>
      <c r="N4722">
        <v>93.45</v>
      </c>
      <c r="O4722">
        <v>217</v>
      </c>
      <c r="P4722">
        <v>138</v>
      </c>
    </row>
    <row r="4723" spans="1:16" x14ac:dyDescent="0.25">
      <c r="A4723">
        <v>41300225</v>
      </c>
      <c r="B4723" t="s">
        <v>26</v>
      </c>
      <c r="C4723" t="s">
        <v>16</v>
      </c>
      <c r="D4723" t="s">
        <v>19</v>
      </c>
      <c r="E4723">
        <v>43</v>
      </c>
      <c r="F4723">
        <v>30</v>
      </c>
      <c r="G4723">
        <v>2</v>
      </c>
      <c r="H4723" s="1">
        <v>3.3217592592592591E-3</v>
      </c>
      <c r="I4723" t="s">
        <v>18</v>
      </c>
      <c r="J4723" s="2" t="str">
        <f>HYPERLINK("https://www.nba.com/stats/events?CFID=&amp;CFPARAMS=&amp;GameEventID=207&amp;GameID=0041300225&amp;Season=2013-14&amp;flag=1&amp;title=Leonard%2026'%203PT%20Jump%20Shot%20(13%20PTS)%20(Green%201%20AST)", "Leonard 26' 3PT Jump Shot (13 PTS) (Green 1 AST)")</f>
        <v>Leonard 26' 3PT Jump Shot (13 PTS) (Green 1 AST)</v>
      </c>
      <c r="K4723" s="2" t="str">
        <f>HYPERLINK("https://www.nba.com/game/...-vs-...-0041300225/play-by-play?watchFullGame=true", "SAS vs POR - Q2 04:47.00")</f>
        <v>SAS vs POR - Q2 04:47.00</v>
      </c>
      <c r="L4723">
        <v>26</v>
      </c>
      <c r="M4723">
        <v>218</v>
      </c>
      <c r="N4723">
        <v>138</v>
      </c>
      <c r="O4723">
        <v>218</v>
      </c>
      <c r="P4723">
        <v>138</v>
      </c>
    </row>
    <row r="4724" spans="1:16" x14ac:dyDescent="0.25">
      <c r="A4724">
        <v>22300304</v>
      </c>
      <c r="B4724">
        <v>2023</v>
      </c>
      <c r="C4724" t="s">
        <v>16</v>
      </c>
      <c r="D4724" t="s">
        <v>19</v>
      </c>
      <c r="E4724">
        <v>86</v>
      </c>
      <c r="F4724">
        <v>85</v>
      </c>
      <c r="G4724">
        <v>3</v>
      </c>
      <c r="H4724" s="1">
        <v>4.1898148148148146E-3</v>
      </c>
      <c r="I4724" t="s">
        <v>23</v>
      </c>
      <c r="J4724" s="2" t="str">
        <f>HYPERLINK("https://www.nba.com/stats/events?CFID=&amp;CFPARAMS=&amp;GameEventID=367&amp;GameID=0022300304&amp;Season=2023-24&amp;flag=1&amp;title=Leonard%2024'%203PT%20%20(14%20PTS)%20(P.%20George%206%20AST)", "24' 3PT  (14 PTS) (P. George 6 AST)")</f>
        <v>24' 3PT  (14 PTS) (P. George 6 AST)</v>
      </c>
      <c r="K4724" s="2" t="str">
        <f>HYPERLINK("https://www.nba.com/game/...-vs-...-0022300304/play-by-play?watchFullGame=true", "LAC vs POR - Q3 06:02.00")</f>
        <v>LAC vs POR - Q3 06:02.00</v>
      </c>
      <c r="L4724">
        <v>24.93</v>
      </c>
      <c r="M4724">
        <v>18.18</v>
      </c>
      <c r="N4724">
        <v>6.13</v>
      </c>
      <c r="O4724">
        <v>219</v>
      </c>
      <c r="P4724">
        <v>118</v>
      </c>
    </row>
    <row r="4725" spans="1:16" x14ac:dyDescent="0.25">
      <c r="A4725">
        <v>21600016</v>
      </c>
      <c r="B4725">
        <v>2016</v>
      </c>
      <c r="C4725" t="s">
        <v>16</v>
      </c>
      <c r="D4725" t="s">
        <v>19</v>
      </c>
      <c r="E4725">
        <v>18</v>
      </c>
      <c r="F4725">
        <v>15</v>
      </c>
      <c r="G4725">
        <v>1</v>
      </c>
      <c r="H4725" s="1">
        <v>3.2291666666666666E-3</v>
      </c>
      <c r="I4725" t="s">
        <v>18</v>
      </c>
      <c r="J4725" s="2" t="str">
        <f>HYPERLINK("https://www.nba.com/stats/events?CFID=&amp;CFPARAMS=&amp;GameEventID=70&amp;GameID=0021600016&amp;Season=2016-17&amp;flag=1&amp;title=Leonard%2026'%203PT%20Jump%20Shot%20(12%20PTS)%20(Ginobili%201%20AST)", "Leonard 26' 3PT Jump Shot (12 PTS) (Ginobili 1 AST)")</f>
        <v>Leonard 26' 3PT Jump Shot (12 PTS) (Ginobili 1 AST)</v>
      </c>
      <c r="K4725" s="2" t="str">
        <f>HYPERLINK("https://www.nba.com/game/...-vs-...-0021600016/play-by-play?watchFullGame=true", "SAS vs SAC - Q1 04:39.00")</f>
        <v>SAS vs SAC - Q1 04:39.00</v>
      </c>
      <c r="L4725">
        <v>26</v>
      </c>
      <c r="M4725">
        <v>222</v>
      </c>
      <c r="N4725">
        <v>126</v>
      </c>
      <c r="O4725">
        <v>222</v>
      </c>
      <c r="P4725">
        <v>126</v>
      </c>
    </row>
    <row r="4726" spans="1:16" x14ac:dyDescent="0.25">
      <c r="A4726">
        <v>41200405</v>
      </c>
      <c r="B4726" t="s">
        <v>27</v>
      </c>
      <c r="C4726" t="s">
        <v>16</v>
      </c>
      <c r="D4726" t="s">
        <v>19</v>
      </c>
      <c r="E4726">
        <v>92</v>
      </c>
      <c r="F4726">
        <v>75</v>
      </c>
      <c r="G4726">
        <v>4</v>
      </c>
      <c r="H4726" s="1">
        <v>7.0717592592592594E-3</v>
      </c>
      <c r="I4726" t="s">
        <v>18</v>
      </c>
      <c r="J4726" s="2" t="str">
        <f>HYPERLINK("https://www.nba.com/stats/events?CFID=&amp;CFPARAMS=&amp;GameEventID=417&amp;GameID=0041200405&amp;Season=2012-13&amp;flag=1&amp;title=Leonard%20%203PT%20Jump%20Shot%20(14%20PTS)%20(Parker%204%20AST)", "Leonard  3PT Jump Shot (14 PTS) (Parker 4 AST)")</f>
        <v>Leonard  3PT Jump Shot (14 PTS) (Parker 4 AST)</v>
      </c>
      <c r="K4726" s="2" t="str">
        <f>HYPERLINK("https://www.nba.com/game/...-vs-...-0041200405/play-by-play?watchFullGame=true", "SAS vs MIA - Q4 10:11.00")</f>
        <v>SAS vs MIA - Q4 10:11.00</v>
      </c>
      <c r="L4726">
        <v>0</v>
      </c>
      <c r="M4726">
        <v>223</v>
      </c>
      <c r="N4726">
        <v>0</v>
      </c>
      <c r="O4726">
        <v>223</v>
      </c>
      <c r="P4726">
        <v>0</v>
      </c>
    </row>
    <row r="4727" spans="1:16" x14ac:dyDescent="0.25">
      <c r="A4727">
        <v>21500481</v>
      </c>
      <c r="B4727">
        <v>2015</v>
      </c>
      <c r="C4727" t="s">
        <v>16</v>
      </c>
      <c r="D4727" t="s">
        <v>19</v>
      </c>
      <c r="E4727">
        <v>48</v>
      </c>
      <c r="F4727">
        <v>20</v>
      </c>
      <c r="G4727">
        <v>2</v>
      </c>
      <c r="H4727" s="1">
        <v>3.2291666666666666E-3</v>
      </c>
      <c r="I4727" t="s">
        <v>18</v>
      </c>
      <c r="J4727" s="2" t="str">
        <f>HYPERLINK("https://www.nba.com/stats/events?CFID=&amp;CFPARAMS=&amp;GameEventID=204&amp;GameID=0021500481&amp;Season=2015-16&amp;flag=1&amp;title=Leonard%20%203PT%20Jump%20Shot%20(10%20PTS)%20(West%201%20AST)", "Leonard  3PT Jump Shot (10 PTS) (West 1 AST)")</f>
        <v>Leonard  3PT Jump Shot (10 PTS) (West 1 AST)</v>
      </c>
      <c r="K4727" s="2" t="str">
        <f>HYPERLINK("https://www.nba.com/game/...-vs-...-0021500481/play-by-play?watchFullGame=true", "SAS vs PHX - Q2 04:39.00")</f>
        <v>SAS vs PHX - Q2 04:39.00</v>
      </c>
      <c r="L4727">
        <v>0</v>
      </c>
      <c r="M4727">
        <v>223</v>
      </c>
      <c r="N4727">
        <v>11</v>
      </c>
      <c r="O4727">
        <v>223</v>
      </c>
      <c r="P4727">
        <v>11</v>
      </c>
    </row>
    <row r="4728" spans="1:16" x14ac:dyDescent="0.25">
      <c r="A4728">
        <v>21500726</v>
      </c>
      <c r="B4728">
        <v>2015</v>
      </c>
      <c r="C4728" t="s">
        <v>16</v>
      </c>
      <c r="D4728" t="s">
        <v>19</v>
      </c>
      <c r="E4728">
        <v>3</v>
      </c>
      <c r="F4728">
        <v>0</v>
      </c>
      <c r="G4728">
        <v>1</v>
      </c>
      <c r="H4728" s="1">
        <v>8.1250000000000003E-3</v>
      </c>
      <c r="I4728" t="s">
        <v>18</v>
      </c>
      <c r="J4728" s="2" t="str">
        <f>HYPERLINK("https://www.nba.com/stats/events?CFID=&amp;CFPARAMS=&amp;GameEventID=2&amp;GameID=0021500726&amp;Season=2015-16&amp;flag=1&amp;title=Leonard%20%203PT%20Jump%20Shot%20(3%20PTS)%20(Green%201%20AST)", "Leonard  3PT Jump Shot (3 PTS) (Green 1 AST)")</f>
        <v>Leonard  3PT Jump Shot (3 PTS) (Green 1 AST)</v>
      </c>
      <c r="K4728" s="2" t="str">
        <f>HYPERLINK("https://www.nba.com/game/...-vs-...-0021500726/play-by-play?watchFullGame=true", "SAS vs ORL - Q1 11:42.00")</f>
        <v>SAS vs ORL - Q1 11:42.00</v>
      </c>
      <c r="L4728">
        <v>0</v>
      </c>
      <c r="M4728">
        <v>223</v>
      </c>
      <c r="N4728">
        <v>11</v>
      </c>
      <c r="O4728">
        <v>223</v>
      </c>
      <c r="P4728">
        <v>11</v>
      </c>
    </row>
    <row r="4729" spans="1:16" x14ac:dyDescent="0.25">
      <c r="A4729">
        <v>22200918</v>
      </c>
      <c r="B4729">
        <v>2022</v>
      </c>
      <c r="C4729" t="s">
        <v>16</v>
      </c>
      <c r="D4729" t="s">
        <v>19</v>
      </c>
      <c r="E4729">
        <v>27</v>
      </c>
      <c r="F4729">
        <v>17</v>
      </c>
      <c r="G4729">
        <v>1</v>
      </c>
      <c r="H4729" s="1">
        <v>1.6203703703703703E-3</v>
      </c>
      <c r="I4729" t="s">
        <v>23</v>
      </c>
      <c r="J4729" s="2" t="str">
        <f>HYPERLINK("https://www.nba.com/stats/events?CFID=&amp;CFPARAMS=&amp;GameEventID=119&amp;GameID=0022200918&amp;Season=2022-23&amp;flag=1&amp;title=Leonard%203PT%20%20(7%20PTS)%20(T.%20Mann%201%20AST)", "3PT  (7 PTS) (T. Mann 1 AST)")</f>
        <v>3PT  (7 PTS) (T. Mann 1 AST)</v>
      </c>
      <c r="K4729" s="2" t="str">
        <f>HYPERLINK("https://www.nba.com/game/...-vs-...-0022200918/play-by-play?watchFullGame=true", "LAC vs DEN - Q1 02:20.00")</f>
        <v>LAC vs DEN - Q1 02:20.00</v>
      </c>
      <c r="L4729">
        <v>22.51</v>
      </c>
      <c r="M4729">
        <v>91.15</v>
      </c>
      <c r="N4729">
        <v>94.61</v>
      </c>
      <c r="O4729">
        <v>223</v>
      </c>
      <c r="P4729">
        <v>31</v>
      </c>
    </row>
    <row r="4730" spans="1:16" x14ac:dyDescent="0.25">
      <c r="A4730">
        <v>21500347</v>
      </c>
      <c r="B4730">
        <v>2015</v>
      </c>
      <c r="C4730" t="s">
        <v>16</v>
      </c>
      <c r="D4730" t="s">
        <v>31</v>
      </c>
      <c r="E4730">
        <v>67</v>
      </c>
      <c r="F4730">
        <v>90</v>
      </c>
      <c r="G4730">
        <v>4</v>
      </c>
      <c r="H4730" s="1">
        <v>5.3125000000000004E-3</v>
      </c>
      <c r="I4730" t="s">
        <v>18</v>
      </c>
      <c r="J4730" s="2" t="str">
        <f>HYPERLINK("https://www.nba.com/stats/events?CFID=&amp;CFPARAMS=&amp;GameEventID=444&amp;GameID=0021500347&amp;Season=2015-16&amp;flag=1&amp;title=Leonard%20%203PT%20Step%20Back%20Jump%20Shot%20(22%20PTS)", "Leonard  3PT Step Back Jump Shot (22 PTS)")</f>
        <v>Leonard  3PT Step Back Jump Shot (22 PTS)</v>
      </c>
      <c r="K4730" s="2" t="str">
        <f>HYPERLINK("https://www.nba.com/game/...-vs-...-0021500347/play-by-play?watchFullGame=true", "SAS vs ATL - Q4 07:39.00")</f>
        <v>SAS vs ATL - Q4 07:39.00</v>
      </c>
      <c r="L4730">
        <v>0</v>
      </c>
      <c r="M4730">
        <v>223</v>
      </c>
      <c r="N4730">
        <v>51</v>
      </c>
      <c r="O4730">
        <v>223</v>
      </c>
      <c r="P4730">
        <v>51</v>
      </c>
    </row>
    <row r="4731" spans="1:16" x14ac:dyDescent="0.25">
      <c r="A4731">
        <v>22201004</v>
      </c>
      <c r="B4731">
        <v>2022</v>
      </c>
      <c r="C4731" t="s">
        <v>16</v>
      </c>
      <c r="D4731" t="s">
        <v>19</v>
      </c>
      <c r="E4731">
        <v>55</v>
      </c>
      <c r="F4731">
        <v>55</v>
      </c>
      <c r="G4731">
        <v>3</v>
      </c>
      <c r="H4731" s="1">
        <v>6.4814814814814813E-3</v>
      </c>
      <c r="I4731" t="s">
        <v>23</v>
      </c>
      <c r="J4731" s="2" t="str">
        <f>HYPERLINK("https://www.nba.com/stats/events?CFID=&amp;CFPARAMS=&amp;GameEventID=346&amp;GameID=0022201004&amp;Season=2022-23&amp;flag=1&amp;title=Leonard%203PT%20%20(16%20PTS)", "3PT  (16 PTS)")</f>
        <v>3PT  (16 PTS)</v>
      </c>
      <c r="K4731" s="2" t="str">
        <f>HYPERLINK("https://www.nba.com/game/...-vs-...-0022201004/play-by-play?watchFullGame=true", "LAC vs NYK - Q3 09:20.00")</f>
        <v>LAC vs NYK - Q3 09:20.00</v>
      </c>
      <c r="L4731">
        <v>23.24</v>
      </c>
      <c r="M4731">
        <v>12.53</v>
      </c>
      <c r="N4731">
        <v>5.39</v>
      </c>
      <c r="O4731">
        <v>223</v>
      </c>
      <c r="P4731">
        <v>65</v>
      </c>
    </row>
    <row r="4732" spans="1:16" x14ac:dyDescent="0.25">
      <c r="A4732">
        <v>22300553</v>
      </c>
      <c r="B4732">
        <v>2023</v>
      </c>
      <c r="C4732" t="s">
        <v>16</v>
      </c>
      <c r="D4732" t="s">
        <v>19</v>
      </c>
      <c r="E4732">
        <v>41</v>
      </c>
      <c r="F4732">
        <v>41</v>
      </c>
      <c r="G4732">
        <v>2</v>
      </c>
      <c r="H4732" s="1">
        <v>1.25E-3</v>
      </c>
      <c r="I4732" t="s">
        <v>23</v>
      </c>
      <c r="J4732" s="2" t="str">
        <f>HYPERLINK("https://www.nba.com/stats/events?CFID=&amp;CFPARAMS=&amp;GameEventID=264&amp;GameID=0022300553&amp;Season=2023-24&amp;flag=1&amp;title=Leonard%203PT%20%20(14%20PTS)%20(R.%20Westbrook%206%20AST)", "3PT  (14 PTS) (R. Westbrook 6 AST)")</f>
        <v>3PT  (14 PTS) (R. Westbrook 6 AST)</v>
      </c>
      <c r="K4732" s="2" t="str">
        <f>HYPERLINK("https://www.nba.com/game/...-vs-...-0022300553/play-by-play?watchFullGame=true", "LAC vs MIN - Q2 01:48.00")</f>
        <v>LAC vs MIN - Q2 01:48.00</v>
      </c>
      <c r="L4732">
        <v>23.66</v>
      </c>
      <c r="M4732">
        <v>14.01</v>
      </c>
      <c r="N4732">
        <v>5.39</v>
      </c>
      <c r="O4732">
        <v>223</v>
      </c>
      <c r="P4732">
        <v>79</v>
      </c>
    </row>
    <row r="4733" spans="1:16" x14ac:dyDescent="0.25">
      <c r="A4733">
        <v>21500431</v>
      </c>
      <c r="B4733">
        <v>2015</v>
      </c>
      <c r="C4733" t="s">
        <v>16</v>
      </c>
      <c r="D4733" t="s">
        <v>19</v>
      </c>
      <c r="E4733">
        <v>65</v>
      </c>
      <c r="F4733">
        <v>85</v>
      </c>
      <c r="G4733">
        <v>4</v>
      </c>
      <c r="H4733" s="1">
        <v>6.5972222222222222E-3</v>
      </c>
      <c r="I4733" t="s">
        <v>18</v>
      </c>
      <c r="J4733" s="2" t="str">
        <f>HYPERLINK("https://www.nba.com/stats/events?CFID=&amp;CFPARAMS=&amp;GameEventID=388&amp;GameID=0021500431&amp;Season=2015-16&amp;flag=1&amp;title=Leonard%2024'%203PT%20Jump%20Shot%20(10%20PTS)%20(Parker%204%20AST)", "Leonard 24' 3PT Jump Shot (10 PTS) (Parker 4 AST)")</f>
        <v>Leonard 24' 3PT Jump Shot (10 PTS) (Parker 4 AST)</v>
      </c>
      <c r="K4733" s="2" t="str">
        <f>HYPERLINK("https://www.nba.com/game/...-vs-...-0021500431/play-by-play?watchFullGame=true", "SAS vs MIN - Q4 09:30.00")</f>
        <v>SAS vs MIN - Q4 09:30.00</v>
      </c>
      <c r="L4733">
        <v>24</v>
      </c>
      <c r="M4733">
        <v>223</v>
      </c>
      <c r="N4733">
        <v>85</v>
      </c>
      <c r="O4733">
        <v>223</v>
      </c>
      <c r="P4733">
        <v>85</v>
      </c>
    </row>
    <row r="4734" spans="1:16" x14ac:dyDescent="0.25">
      <c r="A4734">
        <v>21400648</v>
      </c>
      <c r="B4734">
        <v>2014</v>
      </c>
      <c r="C4734" t="s">
        <v>16</v>
      </c>
      <c r="D4734" t="s">
        <v>19</v>
      </c>
      <c r="E4734">
        <v>71</v>
      </c>
      <c r="F4734">
        <v>53</v>
      </c>
      <c r="G4734">
        <v>3</v>
      </c>
      <c r="H4734" s="1">
        <v>2.7777777777777779E-3</v>
      </c>
      <c r="I4734" t="s">
        <v>18</v>
      </c>
      <c r="J4734" s="2" t="str">
        <f>HYPERLINK("https://www.nba.com/stats/events?CFID=&amp;CFPARAMS=&amp;GameEventID=336&amp;GameID=0021400648&amp;Season=2014-15&amp;flag=1&amp;title=Leonard%2024'%203PT%20Jump%20Shot%20(13%20PTS)%20(Baynes%201%20AST)", "Leonard 24' 3PT Jump Shot (13 PTS) (Baynes 1 AST)")</f>
        <v>Leonard 24' 3PT Jump Shot (13 PTS) (Baynes 1 AST)</v>
      </c>
      <c r="K4734" s="2" t="str">
        <f>HYPERLINK("https://www.nba.com/game/...-vs-...-0021400648/play-by-play?watchFullGame=true", "SAS vs LAL - Q3 04:00.00")</f>
        <v>SAS vs LAL - Q3 04:00.00</v>
      </c>
      <c r="L4734">
        <v>24</v>
      </c>
      <c r="M4734">
        <v>223</v>
      </c>
      <c r="N4734">
        <v>99</v>
      </c>
      <c r="O4734">
        <v>223</v>
      </c>
      <c r="P4734">
        <v>99</v>
      </c>
    </row>
    <row r="4735" spans="1:16" x14ac:dyDescent="0.25">
      <c r="A4735">
        <v>22200617</v>
      </c>
      <c r="B4735">
        <v>2022</v>
      </c>
      <c r="C4735" t="s">
        <v>16</v>
      </c>
      <c r="D4735" t="s">
        <v>19</v>
      </c>
      <c r="E4735">
        <v>107</v>
      </c>
      <c r="F4735">
        <v>96</v>
      </c>
      <c r="G4735">
        <v>4</v>
      </c>
      <c r="H4735" s="1">
        <v>1.5856481481481481E-3</v>
      </c>
      <c r="I4735" t="s">
        <v>23</v>
      </c>
      <c r="J4735" s="2" t="str">
        <f>HYPERLINK("https://www.nba.com/stats/events?CFID=&amp;CFPARAMS=&amp;GameEventID=586&amp;GameID=0022200617&amp;Season=2022-23&amp;flag=1&amp;title=Leonard%2025'%203PT%20pullup%20(30%20PTS)", "25' 3PT pullup (30 PTS)")</f>
        <v>25' 3PT pullup (30 PTS)</v>
      </c>
      <c r="K4735" s="2" t="str">
        <f>HYPERLINK("https://www.nba.com/game/...-vs-...-0022200617/play-by-play?watchFullGame=true", "LAC vs DAL - Q4 02:17.00")</f>
        <v>LAC vs DAL - Q4 02:17.00</v>
      </c>
      <c r="L4735">
        <v>25.54</v>
      </c>
      <c r="M4735">
        <v>18.579999999999998</v>
      </c>
      <c r="N4735">
        <v>5.15</v>
      </c>
      <c r="O4735">
        <v>224</v>
      </c>
      <c r="P4735">
        <v>122</v>
      </c>
    </row>
    <row r="4736" spans="1:16" x14ac:dyDescent="0.25">
      <c r="A4736">
        <v>22300257</v>
      </c>
      <c r="B4736">
        <v>2023</v>
      </c>
      <c r="C4736" t="s">
        <v>16</v>
      </c>
      <c r="D4736" t="s">
        <v>19</v>
      </c>
      <c r="E4736">
        <v>22</v>
      </c>
      <c r="F4736">
        <v>21</v>
      </c>
      <c r="G4736">
        <v>1</v>
      </c>
      <c r="H4736" s="1">
        <v>2.0254629629629629E-3</v>
      </c>
      <c r="I4736" t="s">
        <v>23</v>
      </c>
      <c r="J4736" s="2" t="str">
        <f>HYPERLINK("https://www.nba.com/stats/events?CFID=&amp;CFPARAMS=&amp;GameEventID=115&amp;GameID=0022300257&amp;Season=2023-24&amp;flag=1&amp;title=Leonard%2026'%203PT%20%20(9%20PTS)", "26' 3PT  (9 PTS)")</f>
        <v>26' 3PT  (9 PTS)</v>
      </c>
      <c r="K4736" s="2" t="str">
        <f>HYPERLINK("https://www.nba.com/game/...-vs-...-0022300257/play-by-play?watchFullGame=true", "LAC vs DEN - Q1 02:55.00")</f>
        <v>LAC vs DEN - Q1 02:55.00</v>
      </c>
      <c r="L4736">
        <v>26.69</v>
      </c>
      <c r="M4736">
        <v>79.02</v>
      </c>
      <c r="N4736">
        <v>94.85</v>
      </c>
      <c r="O4736">
        <v>224</v>
      </c>
      <c r="P4736">
        <v>145</v>
      </c>
    </row>
    <row r="4737" spans="1:16" x14ac:dyDescent="0.25">
      <c r="A4737">
        <v>22300099</v>
      </c>
      <c r="B4737">
        <v>2023</v>
      </c>
      <c r="C4737" t="s">
        <v>16</v>
      </c>
      <c r="D4737" t="s">
        <v>19</v>
      </c>
      <c r="E4737">
        <v>8</v>
      </c>
      <c r="F4737">
        <v>3</v>
      </c>
      <c r="G4737">
        <v>1</v>
      </c>
      <c r="H4737" s="1">
        <v>5.7407407407407407E-3</v>
      </c>
      <c r="I4737" t="s">
        <v>23</v>
      </c>
      <c r="J4737" s="2" t="str">
        <f>HYPERLINK("https://www.nba.com/stats/events?CFID=&amp;CFPARAMS=&amp;GameEventID=56&amp;GameID=0022300099&amp;Season=2023-24&amp;flag=1&amp;title=Leonard%203PT%20%20(3%20PTS)%20(P.%20George%201%20AST)", "3PT  (3 PTS) (P. George 1 AST)")</f>
        <v>3PT  (3 PTS) (P. George 1 AST)</v>
      </c>
      <c r="K4737" s="2" t="str">
        <f>HYPERLINK("https://www.nba.com/game/...-vs-...-0022300099/play-by-play?watchFullGame=true", "LAC vs SAS - Q1 08:16.00")</f>
        <v>LAC vs SAS - Q1 08:16.00</v>
      </c>
      <c r="L4737">
        <v>22.64</v>
      </c>
      <c r="M4737">
        <v>92.3</v>
      </c>
      <c r="N4737">
        <v>95.1</v>
      </c>
      <c r="O4737">
        <v>225</v>
      </c>
      <c r="P4737">
        <v>20</v>
      </c>
    </row>
    <row r="4738" spans="1:16" x14ac:dyDescent="0.25">
      <c r="A4738">
        <v>41800306</v>
      </c>
      <c r="B4738" t="s">
        <v>20</v>
      </c>
      <c r="C4738" t="s">
        <v>16</v>
      </c>
      <c r="D4738" t="s">
        <v>19</v>
      </c>
      <c r="E4738">
        <v>95</v>
      </c>
      <c r="F4738">
        <v>90</v>
      </c>
      <c r="G4738">
        <v>4</v>
      </c>
      <c r="H4738" s="1">
        <v>2.1296296296296298E-3</v>
      </c>
      <c r="I4738" t="s">
        <v>21</v>
      </c>
      <c r="J4738" s="2" t="str">
        <f>HYPERLINK("https://www.nba.com/stats/events?CFID=&amp;CFPARAMS=&amp;GameEventID=599&amp;GameID=0041800306&amp;Season=2018-19&amp;flag=1&amp;title=Leonard%203PT%20Jump%20Shot%20(25%20PTS)%20(Lowry%208%20AST)", "Leonard 3PT Jump Shot (25 PTS) (Lowry 8 AST)")</f>
        <v>Leonard 3PT Jump Shot (25 PTS) (Lowry 8 AST)</v>
      </c>
      <c r="K4738" s="2" t="str">
        <f>HYPERLINK("https://www.nba.com/game/...-vs-...-0041800306/play-by-play?watchFullGame=true", "TOR vs MIL - Q4 03:04.00")</f>
        <v>TOR vs MIL - Q4 03:04.00</v>
      </c>
      <c r="L4738">
        <v>0</v>
      </c>
      <c r="M4738">
        <v>225</v>
      </c>
      <c r="N4738">
        <v>22</v>
      </c>
      <c r="O4738">
        <v>225</v>
      </c>
      <c r="P4738">
        <v>22</v>
      </c>
    </row>
    <row r="4739" spans="1:16" x14ac:dyDescent="0.25">
      <c r="A4739">
        <v>21600525</v>
      </c>
      <c r="B4739">
        <v>2016</v>
      </c>
      <c r="C4739" t="s">
        <v>16</v>
      </c>
      <c r="D4739" t="s">
        <v>19</v>
      </c>
      <c r="E4739">
        <v>54</v>
      </c>
      <c r="F4739">
        <v>32</v>
      </c>
      <c r="G4739">
        <v>2</v>
      </c>
      <c r="H4739" s="1">
        <v>1.712962962962963E-3</v>
      </c>
      <c r="I4739" t="s">
        <v>18</v>
      </c>
      <c r="J4739" s="2" t="str">
        <f>HYPERLINK("https://www.nba.com/stats/events?CFID=&amp;CFPARAMS=&amp;GameEventID=220&amp;GameID=0021600525&amp;Season=2016-17&amp;flag=1&amp;title=Leonard%2024'%203PT%20Jump%20Shot%20(21%20PTS)%20(Aldridge%204%20AST)", "Leonard 24' 3PT Jump Shot (21 PTS) (Aldridge 4 AST)")</f>
        <v>Leonard 24' 3PT Jump Shot (21 PTS) (Aldridge 4 AST)</v>
      </c>
      <c r="K4739" s="2" t="str">
        <f>HYPERLINK("https://www.nba.com/game/...-vs-...-0021600525/play-by-play?watchFullGame=true", "SAS vs TOR - Q2 02:28.00")</f>
        <v>SAS vs TOR - Q2 02:28.00</v>
      </c>
      <c r="L4739">
        <v>24</v>
      </c>
      <c r="M4739">
        <v>225</v>
      </c>
      <c r="N4739">
        <v>92</v>
      </c>
      <c r="O4739">
        <v>225</v>
      </c>
      <c r="P4739">
        <v>92</v>
      </c>
    </row>
    <row r="4740" spans="1:16" x14ac:dyDescent="0.25">
      <c r="A4740">
        <v>21300013</v>
      </c>
      <c r="B4740">
        <v>2013</v>
      </c>
      <c r="C4740" t="s">
        <v>16</v>
      </c>
      <c r="D4740" t="s">
        <v>19</v>
      </c>
      <c r="E4740">
        <v>3</v>
      </c>
      <c r="F4740">
        <v>2</v>
      </c>
      <c r="G4740">
        <v>1</v>
      </c>
      <c r="H4740" s="1">
        <v>7.8472222222222224E-3</v>
      </c>
      <c r="I4740" t="s">
        <v>18</v>
      </c>
      <c r="J4740" s="2" t="str">
        <f>HYPERLINK("https://www.nba.com/stats/events?CFID=&amp;CFPARAMS=&amp;GameEventID=4&amp;GameID=0021300013&amp;Season=2013-14&amp;flag=1&amp;title=Leonard%20%203PT%20Jump%20Shot%20(3%20PTS)%20(Parker%201%20AST)", "Leonard  3PT Jump Shot (3 PTS) (Parker 1 AST)")</f>
        <v>Leonard  3PT Jump Shot (3 PTS) (Parker 1 AST)</v>
      </c>
      <c r="K4740" s="2" t="str">
        <f>HYPERLINK("https://www.nba.com/game/...-vs-...-0021300013/play-by-play?watchFullGame=true", "SAS vs MEM - Q1 11:18.00")</f>
        <v>SAS vs MEM - Q1 11:18.00</v>
      </c>
      <c r="L4740">
        <v>0</v>
      </c>
      <c r="M4740">
        <v>226</v>
      </c>
      <c r="N4740">
        <v>4</v>
      </c>
      <c r="O4740">
        <v>226</v>
      </c>
      <c r="P4740">
        <v>4</v>
      </c>
    </row>
    <row r="4741" spans="1:16" x14ac:dyDescent="0.25">
      <c r="A4741">
        <v>41200312</v>
      </c>
      <c r="B4741" t="s">
        <v>27</v>
      </c>
      <c r="C4741" t="s">
        <v>16</v>
      </c>
      <c r="D4741" t="s">
        <v>19</v>
      </c>
      <c r="E4741">
        <v>41</v>
      </c>
      <c r="F4741">
        <v>30</v>
      </c>
      <c r="G4741">
        <v>2</v>
      </c>
      <c r="H4741" s="1">
        <v>2.1412037037037038E-3</v>
      </c>
      <c r="I4741" t="s">
        <v>18</v>
      </c>
      <c r="J4741" s="2" t="str">
        <f>HYPERLINK("https://www.nba.com/stats/events?CFID=&amp;CFPARAMS=&amp;GameEventID=189&amp;GameID=0041200312&amp;Season=2012-13&amp;flag=1&amp;title=Leonard%20%203PT%20Jump%20Shot%20(7%20PTS)%20(Ginobili%202%20AST)", "Leonard  3PT Jump Shot (7 PTS) (Ginobili 2 AST)")</f>
        <v>Leonard  3PT Jump Shot (7 PTS) (Ginobili 2 AST)</v>
      </c>
      <c r="K4741" s="2" t="str">
        <f>HYPERLINK("https://www.nba.com/game/...-vs-...-0041200312/play-by-play?watchFullGame=true", "SAS vs MEM - Q2 03:05.00")</f>
        <v>SAS vs MEM - Q2 03:05.00</v>
      </c>
      <c r="L4741">
        <v>0</v>
      </c>
      <c r="M4741">
        <v>226</v>
      </c>
      <c r="N4741">
        <v>42</v>
      </c>
      <c r="O4741">
        <v>226</v>
      </c>
      <c r="P4741">
        <v>42</v>
      </c>
    </row>
    <row r="4742" spans="1:16" x14ac:dyDescent="0.25">
      <c r="A4742">
        <v>22300014</v>
      </c>
      <c r="B4742">
        <v>2023</v>
      </c>
      <c r="C4742" t="s">
        <v>16</v>
      </c>
      <c r="D4742" t="s">
        <v>19</v>
      </c>
      <c r="E4742">
        <v>18</v>
      </c>
      <c r="F4742">
        <v>19</v>
      </c>
      <c r="G4742">
        <v>1</v>
      </c>
      <c r="H4742" s="1">
        <v>3.3796296296296296E-3</v>
      </c>
      <c r="I4742" t="s">
        <v>23</v>
      </c>
      <c r="J4742" s="2" t="str">
        <f>HYPERLINK("https://www.nba.com/stats/events?CFID=&amp;CFPARAMS=&amp;GameEventID=84&amp;GameID=0022300014&amp;Season=2023-24&amp;flag=1&amp;title=Leonard%203PT%20%20(12%20PTS)%20(I.%20Zubac%201%20AST)", "3PT  (12 PTS) (I. Zubac 1 AST)")</f>
        <v>3PT  (12 PTS) (I. Zubac 1 AST)</v>
      </c>
      <c r="K4742" s="2" t="str">
        <f>HYPERLINK("https://www.nba.com/game/...-vs-...-0022300014/play-by-play?watchFullGame=true", "LAC vs DAL - Q1 04:52.00")</f>
        <v>LAC vs DAL - Q1 04:52.00</v>
      </c>
      <c r="L4742">
        <v>22.68</v>
      </c>
      <c r="M4742">
        <v>93.64</v>
      </c>
      <c r="N4742">
        <v>95.34</v>
      </c>
      <c r="O4742">
        <v>227</v>
      </c>
      <c r="P4742">
        <v>7</v>
      </c>
    </row>
    <row r="4743" spans="1:16" x14ac:dyDescent="0.25">
      <c r="A4743">
        <v>21500224</v>
      </c>
      <c r="B4743">
        <v>2015</v>
      </c>
      <c r="C4743" t="s">
        <v>16</v>
      </c>
      <c r="D4743" t="s">
        <v>19</v>
      </c>
      <c r="E4743">
        <v>8</v>
      </c>
      <c r="F4743">
        <v>4</v>
      </c>
      <c r="G4743">
        <v>1</v>
      </c>
      <c r="H4743" s="1">
        <v>6.5740740740740742E-3</v>
      </c>
      <c r="I4743" t="s">
        <v>18</v>
      </c>
      <c r="J4743" s="2" t="str">
        <f>HYPERLINK("https://www.nba.com/stats/events?CFID=&amp;CFPARAMS=&amp;GameEventID=14&amp;GameID=0021500224&amp;Season=2015-16&amp;flag=1&amp;title=Leonard%20%203PT%20Jump%20Shot%20(6%20PTS)%20(Parker%202%20AST)", "Leonard  3PT Jump Shot (6 PTS) (Parker 2 AST)")</f>
        <v>Leonard  3PT Jump Shot (6 PTS) (Parker 2 AST)</v>
      </c>
      <c r="K4743" s="2" t="str">
        <f>HYPERLINK("https://www.nba.com/game/...-vs-...-0021500224/play-by-play?watchFullGame=true", "SAS vs DAL - Q1 09:28.00")</f>
        <v>SAS vs DAL - Q1 09:28.00</v>
      </c>
      <c r="L4743">
        <v>0</v>
      </c>
      <c r="M4743">
        <v>227</v>
      </c>
      <c r="N4743">
        <v>21</v>
      </c>
      <c r="O4743">
        <v>227</v>
      </c>
      <c r="P4743">
        <v>21</v>
      </c>
    </row>
    <row r="4744" spans="1:16" x14ac:dyDescent="0.25">
      <c r="A4744">
        <v>22201069</v>
      </c>
      <c r="B4744">
        <v>2022</v>
      </c>
      <c r="C4744" t="s">
        <v>16</v>
      </c>
      <c r="D4744" t="s">
        <v>19</v>
      </c>
      <c r="E4744">
        <v>23</v>
      </c>
      <c r="F4744">
        <v>33</v>
      </c>
      <c r="G4744">
        <v>1</v>
      </c>
      <c r="H4744" s="1">
        <v>1.4004629629629629E-3</v>
      </c>
      <c r="I4744" t="s">
        <v>23</v>
      </c>
      <c r="J4744" s="2" t="str">
        <f>HYPERLINK("https://www.nba.com/stats/events?CFID=&amp;CFPARAMS=&amp;GameEventID=127&amp;GameID=0022201069&amp;Season=2022-23&amp;flag=1&amp;title=Leonard%203PT%20%20(11%20PTS)%20(E.%20Gordon%201%20AST)", "3PT  (11 PTS) (E. Gordon 1 AST)")</f>
        <v>3PT  (11 PTS) (E. Gordon 1 AST)</v>
      </c>
      <c r="K4744" s="2" t="str">
        <f>HYPERLINK("https://www.nba.com/game/...-vs-...-0022201069/play-by-play?watchFullGame=true", "LAC vs POR - Q1 02:01.00")</f>
        <v>LAC vs POR - Q1 02:01.00</v>
      </c>
      <c r="L4744">
        <v>22.83</v>
      </c>
      <c r="M4744">
        <v>91.54</v>
      </c>
      <c r="N4744">
        <v>95.34</v>
      </c>
      <c r="O4744">
        <v>227</v>
      </c>
      <c r="P4744">
        <v>27</v>
      </c>
    </row>
    <row r="4745" spans="1:16" x14ac:dyDescent="0.25">
      <c r="A4745">
        <v>21500416</v>
      </c>
      <c r="B4745">
        <v>2015</v>
      </c>
      <c r="C4745" t="s">
        <v>16</v>
      </c>
      <c r="D4745" t="s">
        <v>19</v>
      </c>
      <c r="E4745">
        <v>66</v>
      </c>
      <c r="F4745">
        <v>62</v>
      </c>
      <c r="G4745">
        <v>3</v>
      </c>
      <c r="H4745" s="1">
        <v>3.1828703703703702E-3</v>
      </c>
      <c r="I4745" t="s">
        <v>18</v>
      </c>
      <c r="J4745" s="2" t="str">
        <f>HYPERLINK("https://www.nba.com/stats/events?CFID=&amp;CFPARAMS=&amp;GameEventID=309&amp;GameID=0021500416&amp;Season=2015-16&amp;flag=1&amp;title=Leonard%2025'%203PT%20Jump%20Shot%20(21%20PTS)%20(Ginobili%204%20AST)", "Leonard 25' 3PT Jump Shot (21 PTS) (Ginobili 4 AST)")</f>
        <v>Leonard 25' 3PT Jump Shot (21 PTS) (Ginobili 4 AST)</v>
      </c>
      <c r="K4745" s="2" t="str">
        <f>HYPERLINK("https://www.nba.com/game/...-vs-...-0021500416/play-by-play?watchFullGame=true", "SAS vs IND - Q3 04:35.00")</f>
        <v>SAS vs IND - Q3 04:35.00</v>
      </c>
      <c r="L4745">
        <v>25</v>
      </c>
      <c r="M4745">
        <v>227</v>
      </c>
      <c r="N4745">
        <v>110</v>
      </c>
      <c r="O4745">
        <v>227</v>
      </c>
      <c r="P4745">
        <v>110</v>
      </c>
    </row>
    <row r="4746" spans="1:16" x14ac:dyDescent="0.25">
      <c r="A4746">
        <v>22300304</v>
      </c>
      <c r="B4746">
        <v>2023</v>
      </c>
      <c r="C4746" t="s">
        <v>16</v>
      </c>
      <c r="D4746" t="s">
        <v>19</v>
      </c>
      <c r="E4746">
        <v>89</v>
      </c>
      <c r="F4746">
        <v>88</v>
      </c>
      <c r="G4746">
        <v>3</v>
      </c>
      <c r="H4746" s="1">
        <v>3.449074074074074E-3</v>
      </c>
      <c r="I4746" t="s">
        <v>23</v>
      </c>
      <c r="J4746" s="2" t="str">
        <f>HYPERLINK("https://www.nba.com/stats/events?CFID=&amp;CFPARAMS=&amp;GameEventID=379&amp;GameID=0022300304&amp;Season=2023-24&amp;flag=1&amp;title=Leonard%2025'%203PT%20pullup%20(17%20PTS)%20(R.%20Westbrook%205%20AST)", "25' 3PT pullup (17 PTS) (R. Westbrook 5 AST)")</f>
        <v>25' 3PT pullup (17 PTS) (R. Westbrook 5 AST)</v>
      </c>
      <c r="K4746" s="2" t="str">
        <f>HYPERLINK("https://www.nba.com/game/...-vs-...-0022300304/play-by-play?watchFullGame=true", "LAC vs POR - Q3 04:58.00")</f>
        <v>LAC vs POR - Q3 04:58.00</v>
      </c>
      <c r="L4746">
        <v>25.58</v>
      </c>
      <c r="M4746">
        <v>18.18</v>
      </c>
      <c r="N4746">
        <v>4.66</v>
      </c>
      <c r="O4746">
        <v>227</v>
      </c>
      <c r="P4746">
        <v>118</v>
      </c>
    </row>
    <row r="4747" spans="1:16" x14ac:dyDescent="0.25">
      <c r="A4747">
        <v>41200154</v>
      </c>
      <c r="B4747" t="s">
        <v>27</v>
      </c>
      <c r="C4747" t="s">
        <v>16</v>
      </c>
      <c r="D4747" t="s">
        <v>19</v>
      </c>
      <c r="E4747">
        <v>34</v>
      </c>
      <c r="F4747">
        <v>55</v>
      </c>
      <c r="G4747">
        <v>3</v>
      </c>
      <c r="H4747" s="1">
        <v>7.013888888888889E-3</v>
      </c>
      <c r="I4747" t="s">
        <v>18</v>
      </c>
      <c r="J4747" s="2" t="str">
        <f>HYPERLINK("https://www.nba.com/stats/events?CFID=&amp;CFPARAMS=&amp;GameEventID=266&amp;GameID=0041200154&amp;Season=2012-13&amp;flag=1&amp;title=Leonard%20%203PT%20Jump%20Shot%20(7%20PTS)%20(Duncan%201%20AST)", "Leonard  3PT Jump Shot (7 PTS) (Duncan 1 AST)")</f>
        <v>Leonard  3PT Jump Shot (7 PTS) (Duncan 1 AST)</v>
      </c>
      <c r="K4747" s="2" t="str">
        <f>HYPERLINK("https://www.nba.com/game/...-vs-...-0041200154/play-by-play?watchFullGame=true", "SAS vs LAL - Q3 10:06.00")</f>
        <v>SAS vs LAL - Q3 10:06.00</v>
      </c>
      <c r="L4747">
        <v>0</v>
      </c>
      <c r="M4747">
        <v>228</v>
      </c>
      <c r="N4747">
        <v>-8</v>
      </c>
      <c r="O4747">
        <v>228</v>
      </c>
      <c r="P4747">
        <v>-8</v>
      </c>
    </row>
    <row r="4748" spans="1:16" x14ac:dyDescent="0.25">
      <c r="A4748">
        <v>21600825</v>
      </c>
      <c r="B4748">
        <v>2016</v>
      </c>
      <c r="C4748" t="s">
        <v>16</v>
      </c>
      <c r="D4748" t="s">
        <v>19</v>
      </c>
      <c r="E4748">
        <v>72</v>
      </c>
      <c r="F4748">
        <v>75</v>
      </c>
      <c r="G4748">
        <v>3</v>
      </c>
      <c r="H4748" s="1">
        <v>1.8287037037037037E-3</v>
      </c>
      <c r="I4748" t="s">
        <v>18</v>
      </c>
      <c r="J4748" s="2" t="str">
        <f>HYPERLINK("https://www.nba.com/stats/events?CFID=&amp;CFPARAMS=&amp;GameEventID=336&amp;GameID=0021600825&amp;Season=2016-17&amp;flag=1&amp;title=Leonard%20%203PT%20Jump%20Shot%20(25%20PTS)%20(Simmons%201%20AST)", "Leonard  3PT Jump Shot (25 PTS) (Simmons 1 AST)")</f>
        <v>Leonard  3PT Jump Shot (25 PTS) (Simmons 1 AST)</v>
      </c>
      <c r="K4748" s="2" t="str">
        <f>HYPERLINK("https://www.nba.com/game/...-vs-...-0021600825/play-by-play?watchFullGame=true", "SAS vs IND - Q3 02:38.00")</f>
        <v>SAS vs IND - Q3 02:38.00</v>
      </c>
      <c r="L4748">
        <v>0</v>
      </c>
      <c r="M4748">
        <v>228</v>
      </c>
      <c r="N4748">
        <v>0</v>
      </c>
      <c r="O4748">
        <v>228</v>
      </c>
      <c r="P4748">
        <v>0</v>
      </c>
    </row>
    <row r="4749" spans="1:16" x14ac:dyDescent="0.25">
      <c r="A4749">
        <v>21300224</v>
      </c>
      <c r="B4749">
        <v>2013</v>
      </c>
      <c r="C4749" t="s">
        <v>16</v>
      </c>
      <c r="D4749" t="s">
        <v>19</v>
      </c>
      <c r="E4749">
        <v>14</v>
      </c>
      <c r="F4749">
        <v>19</v>
      </c>
      <c r="G4749">
        <v>1</v>
      </c>
      <c r="H4749" s="1">
        <v>1.8055555555555555E-3</v>
      </c>
      <c r="I4749" t="s">
        <v>18</v>
      </c>
      <c r="J4749" s="2" t="str">
        <f>HYPERLINK("https://www.nba.com/stats/events?CFID=&amp;CFPARAMS=&amp;GameEventID=84&amp;GameID=0021300224&amp;Season=2013-14&amp;flag=1&amp;title=Leonard%20%203PT%20Jump%20Shot%20(5%20PTS)%20(Parker%203%20AST)", "Leonard  3PT Jump Shot (5 PTS) (Parker 3 AST)")</f>
        <v>Leonard  3PT Jump Shot (5 PTS) (Parker 3 AST)</v>
      </c>
      <c r="K4749" s="2" t="str">
        <f>HYPERLINK("https://www.nba.com/game/...-vs-...-0021300224/play-by-play?watchFullGame=true", "SAS vs OKC - Q1 02:36.00")</f>
        <v>SAS vs OKC - Q1 02:36.00</v>
      </c>
      <c r="L4749">
        <v>0</v>
      </c>
      <c r="M4749">
        <v>228</v>
      </c>
      <c r="N4749">
        <v>0</v>
      </c>
      <c r="O4749">
        <v>228</v>
      </c>
      <c r="P4749">
        <v>0</v>
      </c>
    </row>
    <row r="4750" spans="1:16" x14ac:dyDescent="0.25">
      <c r="A4750">
        <v>41300401</v>
      </c>
      <c r="B4750" t="s">
        <v>26</v>
      </c>
      <c r="C4750" t="s">
        <v>16</v>
      </c>
      <c r="D4750" t="s">
        <v>19</v>
      </c>
      <c r="E4750">
        <v>110</v>
      </c>
      <c r="F4750">
        <v>95</v>
      </c>
      <c r="G4750">
        <v>4</v>
      </c>
      <c r="H4750" s="1">
        <v>2.0254629629629629E-4</v>
      </c>
      <c r="I4750" t="s">
        <v>18</v>
      </c>
      <c r="J4750" s="2" t="str">
        <f>HYPERLINK("https://www.nba.com/stats/events?CFID=&amp;CFPARAMS=&amp;GameEventID=463&amp;GameID=0041300401&amp;Season=2013-14&amp;flag=1&amp;title=Leonard%20%203PT%20Jump%20Shot%20(9%20PTS)%20(Ginobili%2011%20AST)", "Leonard  3PT Jump Shot (9 PTS) (Ginobili 11 AST)")</f>
        <v>Leonard  3PT Jump Shot (9 PTS) (Ginobili 11 AST)</v>
      </c>
      <c r="K4750" s="2" t="str">
        <f>HYPERLINK("https://www.nba.com/game/...-vs-...-0041300401/play-by-play?watchFullGame=true", "SAS vs MIA - Q4 00:17.50")</f>
        <v>SAS vs MIA - Q4 00:17.50</v>
      </c>
      <c r="L4750">
        <v>0</v>
      </c>
      <c r="M4750">
        <v>228</v>
      </c>
      <c r="N4750">
        <v>0</v>
      </c>
      <c r="O4750">
        <v>228</v>
      </c>
      <c r="P4750">
        <v>0</v>
      </c>
    </row>
    <row r="4751" spans="1:16" x14ac:dyDescent="0.25">
      <c r="A4751">
        <v>21400772</v>
      </c>
      <c r="B4751">
        <v>2014</v>
      </c>
      <c r="C4751" t="s">
        <v>16</v>
      </c>
      <c r="D4751" t="s">
        <v>19</v>
      </c>
      <c r="E4751">
        <v>47</v>
      </c>
      <c r="F4751">
        <v>51</v>
      </c>
      <c r="G4751">
        <v>3</v>
      </c>
      <c r="H4751" s="1">
        <v>6.9791666666666665E-3</v>
      </c>
      <c r="I4751" t="s">
        <v>18</v>
      </c>
      <c r="J4751" s="2" t="str">
        <f>HYPERLINK("https://www.nba.com/stats/events?CFID=&amp;CFPARAMS=&amp;GameEventID=290&amp;GameID=0021400772&amp;Season=2014-15&amp;flag=1&amp;title=Leonard%203PT%20Jump%20Shot%20(9%20PTS)%20(Duncan%204%20AST)", "Leonard 3PT Jump Shot (9 PTS) (Duncan 4 AST)")</f>
        <v>Leonard 3PT Jump Shot (9 PTS) (Duncan 4 AST)</v>
      </c>
      <c r="K4751" s="2" t="str">
        <f>HYPERLINK("https://www.nba.com/game/...-vs-...-0021400772/play-by-play?watchFullGame=true", "SAS vs TOR - Q3 10:03.00")</f>
        <v>SAS vs TOR - Q3 10:03.00</v>
      </c>
      <c r="L4751">
        <v>0</v>
      </c>
      <c r="M4751">
        <v>228</v>
      </c>
      <c r="N4751">
        <v>7</v>
      </c>
      <c r="O4751">
        <v>228</v>
      </c>
      <c r="P4751">
        <v>7</v>
      </c>
    </row>
    <row r="4752" spans="1:16" x14ac:dyDescent="0.25">
      <c r="A4752">
        <v>21500172</v>
      </c>
      <c r="B4752">
        <v>2015</v>
      </c>
      <c r="C4752" t="s">
        <v>16</v>
      </c>
      <c r="D4752" t="s">
        <v>19</v>
      </c>
      <c r="E4752">
        <v>104</v>
      </c>
      <c r="F4752">
        <v>91</v>
      </c>
      <c r="G4752">
        <v>4</v>
      </c>
      <c r="H4752" s="1">
        <v>3.1597222222222222E-3</v>
      </c>
      <c r="I4752" t="s">
        <v>18</v>
      </c>
      <c r="J4752" s="2" t="str">
        <f>HYPERLINK("https://www.nba.com/stats/events?CFID=&amp;CFPARAMS=&amp;GameEventID=463&amp;GameID=0021500172&amp;Season=2015-16&amp;flag=1&amp;title=Leonard%20%203PT%20Jump%20Shot%20(20%20PTS)%20(Parker%209%20AST)", "Leonard  3PT Jump Shot (20 PTS) (Parker 9 AST)")</f>
        <v>Leonard  3PT Jump Shot (20 PTS) (Parker 9 AST)</v>
      </c>
      <c r="K4752" s="2" t="str">
        <f>HYPERLINK("https://www.nba.com/game/...-vs-...-0021500172/play-by-play?watchFullGame=true", "SAS vs DEN - Q4 04:33.00")</f>
        <v>SAS vs DEN - Q4 04:33.00</v>
      </c>
      <c r="L4752">
        <v>0</v>
      </c>
      <c r="M4752">
        <v>228</v>
      </c>
      <c r="N4752">
        <v>7</v>
      </c>
      <c r="O4752">
        <v>228</v>
      </c>
      <c r="P4752">
        <v>7</v>
      </c>
    </row>
    <row r="4753" spans="1:16" x14ac:dyDescent="0.25">
      <c r="A4753">
        <v>41200235</v>
      </c>
      <c r="B4753" t="s">
        <v>27</v>
      </c>
      <c r="C4753" t="s">
        <v>16</v>
      </c>
      <c r="D4753" t="s">
        <v>19</v>
      </c>
      <c r="E4753">
        <v>81</v>
      </c>
      <c r="F4753">
        <v>67</v>
      </c>
      <c r="G4753">
        <v>3</v>
      </c>
      <c r="H4753" s="1">
        <v>6.8171296296296296E-4</v>
      </c>
      <c r="I4753" t="s">
        <v>18</v>
      </c>
      <c r="J4753" s="2" t="str">
        <f>HYPERLINK("https://www.nba.com/stats/events?CFID=&amp;CFPARAMS=&amp;GameEventID=359&amp;GameID=0041200235&amp;Season=2012-13&amp;flag=1&amp;title=Leonard%20%203PT%20Jump%20Shot%20(14%20PTS)%20(Joseph%202%20AST)", "Leonard  3PT Jump Shot (14 PTS) (Joseph 2 AST)")</f>
        <v>Leonard  3PT Jump Shot (14 PTS) (Joseph 2 AST)</v>
      </c>
      <c r="K4753" s="2" t="str">
        <f>HYPERLINK("https://www.nba.com/game/...-vs-...-0041200235/play-by-play?watchFullGame=true", "SAS vs GSW - Q3 00:58.90")</f>
        <v>SAS vs GSW - Q3 00:58.90</v>
      </c>
      <c r="L4753">
        <v>0</v>
      </c>
      <c r="M4753">
        <v>228</v>
      </c>
      <c r="N4753">
        <v>9</v>
      </c>
      <c r="O4753">
        <v>228</v>
      </c>
      <c r="P4753">
        <v>9</v>
      </c>
    </row>
    <row r="4754" spans="1:16" x14ac:dyDescent="0.25">
      <c r="A4754">
        <v>22000251</v>
      </c>
      <c r="B4754">
        <v>2020</v>
      </c>
      <c r="C4754" t="s">
        <v>16</v>
      </c>
      <c r="D4754" t="s">
        <v>19</v>
      </c>
      <c r="E4754">
        <v>56</v>
      </c>
      <c r="F4754">
        <v>45</v>
      </c>
      <c r="G4754">
        <v>2</v>
      </c>
      <c r="H4754" s="1">
        <v>2.8125000000000003E-4</v>
      </c>
      <c r="I4754" t="s">
        <v>23</v>
      </c>
      <c r="J4754" s="2" t="str">
        <f>HYPERLINK("https://www.nba.com/stats/events?CFID=&amp;CFPARAMS=&amp;GameEventID=304&amp;GameID=0022000251&amp;Season=2020-21&amp;flag=1&amp;title=Leonard%203PT%20%20(21%20PTS)%20(L.%20Kennard%201%20AST)", "3PT  (21 PTS) (L. Kennard 1 AST)")</f>
        <v>3PT  (21 PTS) (L. Kennard 1 AST)</v>
      </c>
      <c r="K4754" s="2" t="str">
        <f>HYPERLINK("https://www.nba.com/game/...-vs-...-0022000251/play-by-play?watchFullGame=true", "LAC vs OKC - Q2 00:24.30")</f>
        <v>LAC vs OKC - Q2 00:24.30</v>
      </c>
      <c r="L4754">
        <v>22.86</v>
      </c>
      <c r="M4754">
        <v>93.25</v>
      </c>
      <c r="N4754">
        <v>95.66</v>
      </c>
      <c r="O4754">
        <v>228</v>
      </c>
      <c r="P4754">
        <v>11</v>
      </c>
    </row>
    <row r="4755" spans="1:16" x14ac:dyDescent="0.25">
      <c r="A4755">
        <v>22300223</v>
      </c>
      <c r="B4755">
        <v>2023</v>
      </c>
      <c r="C4755" t="s">
        <v>16</v>
      </c>
      <c r="D4755" t="s">
        <v>19</v>
      </c>
      <c r="E4755">
        <v>9</v>
      </c>
      <c r="F4755">
        <v>10</v>
      </c>
      <c r="G4755">
        <v>1</v>
      </c>
      <c r="H4755" s="1">
        <v>4.7569444444444447E-3</v>
      </c>
      <c r="I4755" t="s">
        <v>23</v>
      </c>
      <c r="J4755" s="2" t="str">
        <f>HYPERLINK("https://www.nba.com/stats/events?CFID=&amp;CFPARAMS=&amp;GameEventID=55&amp;GameID=0022300223&amp;Season=2023-24&amp;flag=1&amp;title=Leonard%203PT%20%20(3%20PTS)%20(J.%20Harden%201%20AST)", "3PT  (3 PTS) (J. Harden 1 AST)")</f>
        <v>3PT  (3 PTS) (J. Harden 1 AST)</v>
      </c>
      <c r="K4755" s="2" t="str">
        <f>HYPERLINK("https://www.nba.com/game/...-vs-...-0022300223/play-by-play?watchFullGame=true", "LAC vs SAS - Q1 06:51.00")</f>
        <v>LAC vs SAS - Q1 06:51.00</v>
      </c>
      <c r="L4755">
        <v>22.85</v>
      </c>
      <c r="M4755">
        <v>92.72</v>
      </c>
      <c r="N4755">
        <v>95.59</v>
      </c>
      <c r="O4755">
        <v>228</v>
      </c>
      <c r="P4755">
        <v>16</v>
      </c>
    </row>
    <row r="4756" spans="1:16" x14ac:dyDescent="0.25">
      <c r="A4756">
        <v>22000328</v>
      </c>
      <c r="B4756">
        <v>2020</v>
      </c>
      <c r="C4756" t="s">
        <v>16</v>
      </c>
      <c r="D4756" t="s">
        <v>19</v>
      </c>
      <c r="E4756">
        <v>9</v>
      </c>
      <c r="F4756">
        <v>16</v>
      </c>
      <c r="G4756">
        <v>1</v>
      </c>
      <c r="H4756" s="1">
        <v>5.324074074074074E-3</v>
      </c>
      <c r="I4756" t="s">
        <v>23</v>
      </c>
      <c r="J4756" s="2" t="str">
        <f>HYPERLINK("https://www.nba.com/stats/events?CFID=&amp;CFPARAMS=&amp;GameEventID=46&amp;GameID=0022000328&amp;Season=2020-21&amp;flag=1&amp;title=Leonard%203PT%20%20(6%20PTS)%20(P.%20George%202%20AST)", "3PT  (6 PTS) (P. George 2 AST)")</f>
        <v>3PT  (6 PTS) (P. George 2 AST)</v>
      </c>
      <c r="K4756" s="2" t="str">
        <f>HYPERLINK("https://www.nba.com/game/...-vs-...-0022000328/play-by-play?watchFullGame=true", "LAC vs CLE - Q1 07:40.00")</f>
        <v>LAC vs CLE - Q1 07:40.00</v>
      </c>
      <c r="L4756">
        <v>22.86</v>
      </c>
      <c r="M4756">
        <v>7.84</v>
      </c>
      <c r="N4756">
        <v>4.4800000000000004</v>
      </c>
      <c r="O4756">
        <v>228</v>
      </c>
      <c r="P4756">
        <v>21</v>
      </c>
    </row>
    <row r="4757" spans="1:16" x14ac:dyDescent="0.25">
      <c r="A4757">
        <v>22300099</v>
      </c>
      <c r="B4757">
        <v>2023</v>
      </c>
      <c r="C4757" t="s">
        <v>16</v>
      </c>
      <c r="D4757" t="s">
        <v>19</v>
      </c>
      <c r="E4757">
        <v>63</v>
      </c>
      <c r="F4757">
        <v>37</v>
      </c>
      <c r="G4757">
        <v>3</v>
      </c>
      <c r="H4757" s="1">
        <v>7.6273148148148151E-3</v>
      </c>
      <c r="I4757" t="s">
        <v>23</v>
      </c>
      <c r="J4757" s="2" t="str">
        <f>HYPERLINK("https://www.nba.com/stats/events?CFID=&amp;CFPARAMS=&amp;GameEventID=362&amp;GameID=0022300099&amp;Season=2023-24&amp;flag=1&amp;title=Leonard%203PT%20%20(16%20PTS)%20(P.%20George%203%20AST)", "3PT  (16 PTS) (P. George 3 AST)")</f>
        <v>3PT  (16 PTS) (P. George 3 AST)</v>
      </c>
      <c r="K4757" s="2" t="str">
        <f>HYPERLINK("https://www.nba.com/game/...-vs-...-0022300099/play-by-play?watchFullGame=true", "LAC vs SAS - Q3 10:59.00")</f>
        <v>LAC vs SAS - Q3 10:59.00</v>
      </c>
      <c r="L4757">
        <v>22.94</v>
      </c>
      <c r="M4757">
        <v>8.33</v>
      </c>
      <c r="N4757">
        <v>4.41</v>
      </c>
      <c r="O4757">
        <v>228</v>
      </c>
      <c r="P4757">
        <v>26</v>
      </c>
    </row>
    <row r="4758" spans="1:16" x14ac:dyDescent="0.25">
      <c r="A4758">
        <v>22201156</v>
      </c>
      <c r="B4758">
        <v>2022</v>
      </c>
      <c r="C4758" t="s">
        <v>16</v>
      </c>
      <c r="D4758" t="s">
        <v>19</v>
      </c>
      <c r="E4758">
        <v>2</v>
      </c>
      <c r="F4758">
        <v>9</v>
      </c>
      <c r="G4758">
        <v>1</v>
      </c>
      <c r="H4758" s="1">
        <v>7.1759259259259259E-3</v>
      </c>
      <c r="I4758" t="s">
        <v>23</v>
      </c>
      <c r="J4758" s="2" t="str">
        <f>HYPERLINK("https://www.nba.com/stats/events?CFID=&amp;CFPARAMS=&amp;GameEventID=18&amp;GameID=0022201156&amp;Season=2022-23&amp;flag=1&amp;title=Leonard%203PT%20%20(5%20PTS)%20(E.%20Gordon%201%20AST)", "3PT  (5 PTS) (E. Gordon 1 AST)")</f>
        <v>3PT  (5 PTS) (E. Gordon 1 AST)</v>
      </c>
      <c r="K4758" s="2" t="str">
        <f>HYPERLINK("https://www.nba.com/game/...-vs-...-0022201156/play-by-play?watchFullGame=true", "LAC vs MEM - Q1 10:20.00")</f>
        <v>LAC vs MEM - Q1 10:20.00</v>
      </c>
      <c r="L4758">
        <v>22.94</v>
      </c>
      <c r="M4758">
        <v>8.36</v>
      </c>
      <c r="N4758">
        <v>4.41</v>
      </c>
      <c r="O4758">
        <v>228</v>
      </c>
      <c r="P4758">
        <v>26</v>
      </c>
    </row>
    <row r="4759" spans="1:16" x14ac:dyDescent="0.25">
      <c r="A4759">
        <v>21500905</v>
      </c>
      <c r="B4759">
        <v>2015</v>
      </c>
      <c r="C4759" t="s">
        <v>16</v>
      </c>
      <c r="D4759" t="s">
        <v>19</v>
      </c>
      <c r="E4759">
        <v>3</v>
      </c>
      <c r="F4759">
        <v>2</v>
      </c>
      <c r="G4759">
        <v>1</v>
      </c>
      <c r="H4759" s="1">
        <v>7.858796296296296E-3</v>
      </c>
      <c r="I4759" t="s">
        <v>18</v>
      </c>
      <c r="J4759" s="2" t="str">
        <f>HYPERLINK("https://www.nba.com/stats/events?CFID=&amp;CFPARAMS=&amp;GameEventID=5&amp;GameID=0021500905&amp;Season=2015-16&amp;flag=1&amp;title=Leonard%20%203PT%20Jump%20Shot%20(3%20PTS)%20(Parker%201%20AST)", "Leonard  3PT Jump Shot (3 PTS) (Parker 1 AST)")</f>
        <v>Leonard  3PT Jump Shot (3 PTS) (Parker 1 AST)</v>
      </c>
      <c r="K4759" s="2" t="str">
        <f>HYPERLINK("https://www.nba.com/game/...-vs-...-0021500905/play-by-play?watchFullGame=true", "SAS vs DET - Q1 11:19.00")</f>
        <v>SAS vs DET - Q1 11:19.00</v>
      </c>
      <c r="L4759">
        <v>0</v>
      </c>
      <c r="M4759">
        <v>228</v>
      </c>
      <c r="N4759">
        <v>38</v>
      </c>
      <c r="O4759">
        <v>228</v>
      </c>
      <c r="P4759">
        <v>38</v>
      </c>
    </row>
    <row r="4760" spans="1:16" x14ac:dyDescent="0.25">
      <c r="A4760">
        <v>21500979</v>
      </c>
      <c r="B4760">
        <v>2015</v>
      </c>
      <c r="C4760" t="s">
        <v>16</v>
      </c>
      <c r="D4760" t="s">
        <v>31</v>
      </c>
      <c r="E4760">
        <v>82</v>
      </c>
      <c r="F4760">
        <v>76</v>
      </c>
      <c r="G4760">
        <v>4</v>
      </c>
      <c r="H4760" s="1">
        <v>4.5138888888888885E-3</v>
      </c>
      <c r="I4760" t="s">
        <v>18</v>
      </c>
      <c r="J4760" s="2" t="str">
        <f>HYPERLINK("https://www.nba.com/stats/events?CFID=&amp;CFPARAMS=&amp;GameEventID=448&amp;GameID=0021500979&amp;Season=2015-16&amp;flag=1&amp;title=Leonard%20%203PT%20Step%20Back%20Jump%20Shot%20(22%20PTS)%20(Mills%203%20AST)", "Leonard  3PT Step Back Jump Shot (22 PTS) (Mills 3 AST)")</f>
        <v>Leonard  3PT Step Back Jump Shot (22 PTS) (Mills 3 AST)</v>
      </c>
      <c r="K4760" s="2" t="str">
        <f>HYPERLINK("https://www.nba.com/game/...-vs-...-0021500979/play-by-play?watchFullGame=true", "SAS vs OKC - Q4 06:30.00")</f>
        <v>SAS vs OKC - Q4 06:30.00</v>
      </c>
      <c r="L4760">
        <v>0</v>
      </c>
      <c r="M4760">
        <v>228</v>
      </c>
      <c r="N4760">
        <v>51</v>
      </c>
      <c r="O4760">
        <v>228</v>
      </c>
      <c r="P4760">
        <v>51</v>
      </c>
    </row>
    <row r="4761" spans="1:16" x14ac:dyDescent="0.25">
      <c r="A4761">
        <v>22000720</v>
      </c>
      <c r="B4761">
        <v>2020</v>
      </c>
      <c r="C4761" t="s">
        <v>16</v>
      </c>
      <c r="D4761" t="s">
        <v>19</v>
      </c>
      <c r="E4761">
        <v>15</v>
      </c>
      <c r="F4761">
        <v>6</v>
      </c>
      <c r="G4761">
        <v>1</v>
      </c>
      <c r="H4761" s="1">
        <v>4.8032407407407407E-3</v>
      </c>
      <c r="I4761" t="s">
        <v>23</v>
      </c>
      <c r="J4761" s="2" t="str">
        <f>HYPERLINK("https://www.nba.com/stats/events?CFID=&amp;CFPARAMS=&amp;GameEventID=53&amp;GameID=0022000720&amp;Season=2020-21&amp;flag=1&amp;title=Leonard%203PT%20%20(5%20PTS)%20(R.%20Jackson%201%20AST)", "3PT  (5 PTS) (R. Jackson 1 AST)")</f>
        <v>3PT  (5 PTS) (R. Jackson 1 AST)</v>
      </c>
      <c r="K4761" s="2" t="str">
        <f>HYPERLINK("https://www.nba.com/game/...-vs-...-0022000720/play-by-play?watchFullGame=true", "LAC vs ORL - Q1 06:55.00")</f>
        <v>LAC vs ORL - Q1 06:55.00</v>
      </c>
      <c r="L4761">
        <v>23.43</v>
      </c>
      <c r="M4761">
        <v>11.51</v>
      </c>
      <c r="N4761">
        <v>4.4800000000000004</v>
      </c>
      <c r="O4761">
        <v>228</v>
      </c>
      <c r="P4761">
        <v>56</v>
      </c>
    </row>
    <row r="4762" spans="1:16" x14ac:dyDescent="0.25">
      <c r="A4762">
        <v>21600168</v>
      </c>
      <c r="B4762">
        <v>2016</v>
      </c>
      <c r="C4762" t="s">
        <v>16</v>
      </c>
      <c r="D4762" t="s">
        <v>19</v>
      </c>
      <c r="E4762">
        <v>8</v>
      </c>
      <c r="F4762">
        <v>19</v>
      </c>
      <c r="G4762">
        <v>1</v>
      </c>
      <c r="H4762" s="1">
        <v>4.0046296296296297E-3</v>
      </c>
      <c r="I4762" t="s">
        <v>18</v>
      </c>
      <c r="J4762" s="2" t="str">
        <f>HYPERLINK("https://www.nba.com/stats/events?CFID=&amp;CFPARAMS=&amp;GameEventID=63&amp;GameID=0021600168&amp;Season=2016-17&amp;flag=1&amp;title=Leonard%2024'%203PT%20Jump%20Shot%20(6%20PTS)%20(Mills%201%20AST)", "Leonard 24' 3PT Jump Shot (6 PTS) (Mills 1 AST)")</f>
        <v>Leonard 24' 3PT Jump Shot (6 PTS) (Mills 1 AST)</v>
      </c>
      <c r="K4762" s="2" t="str">
        <f>HYPERLINK("https://www.nba.com/game/...-vs-...-0021600168/play-by-play?watchFullGame=true", "SAS vs SAC - Q1 05:46.00")</f>
        <v>SAS vs SAC - Q1 05:46.00</v>
      </c>
      <c r="L4762">
        <v>24</v>
      </c>
      <c r="M4762">
        <v>228</v>
      </c>
      <c r="N4762">
        <v>70</v>
      </c>
      <c r="O4762">
        <v>228</v>
      </c>
      <c r="P4762">
        <v>70</v>
      </c>
    </row>
    <row r="4763" spans="1:16" x14ac:dyDescent="0.25">
      <c r="A4763">
        <v>41800217</v>
      </c>
      <c r="B4763" t="s">
        <v>20</v>
      </c>
      <c r="C4763" t="s">
        <v>16</v>
      </c>
      <c r="D4763" t="s">
        <v>19</v>
      </c>
      <c r="E4763">
        <v>57</v>
      </c>
      <c r="F4763">
        <v>58</v>
      </c>
      <c r="G4763">
        <v>3</v>
      </c>
      <c r="H4763" s="1">
        <v>1.9560185185185184E-3</v>
      </c>
      <c r="I4763" t="s">
        <v>21</v>
      </c>
      <c r="J4763" s="2" t="str">
        <f>HYPERLINK("https://www.nba.com/stats/events?CFID=&amp;CFPARAMS=&amp;GameEventID=424&amp;GameID=0041800217&amp;Season=2018-19&amp;flag=1&amp;title=Leonard%2024'%203PT%20Jump%20Shot%20(24%20PTS)%20(Ibaka%203%20AST)", "Leonard 24' 3PT Jump Shot (24 PTS) (Ibaka 3 AST)")</f>
        <v>Leonard 24' 3PT Jump Shot (24 PTS) (Ibaka 3 AST)</v>
      </c>
      <c r="K4763" s="2" t="str">
        <f>HYPERLINK("https://www.nba.com/game/...-vs-...-0041800217/play-by-play?watchFullGame=true", "TOR vs PHI - Q3 02:49.00")</f>
        <v>TOR vs PHI - Q3 02:49.00</v>
      </c>
      <c r="L4763">
        <v>24</v>
      </c>
      <c r="M4763">
        <v>228</v>
      </c>
      <c r="N4763">
        <v>84</v>
      </c>
      <c r="O4763">
        <v>228</v>
      </c>
      <c r="P4763">
        <v>84</v>
      </c>
    </row>
    <row r="4764" spans="1:16" x14ac:dyDescent="0.25">
      <c r="A4764">
        <v>21600150</v>
      </c>
      <c r="B4764">
        <v>2016</v>
      </c>
      <c r="C4764" t="s">
        <v>16</v>
      </c>
      <c r="D4764" t="s">
        <v>19</v>
      </c>
      <c r="E4764">
        <v>24</v>
      </c>
      <c r="F4764">
        <v>12</v>
      </c>
      <c r="G4764">
        <v>1</v>
      </c>
      <c r="H4764" s="1">
        <v>1.6319444444444445E-3</v>
      </c>
      <c r="I4764" t="s">
        <v>18</v>
      </c>
      <c r="J4764" s="2" t="str">
        <f>HYPERLINK("https://www.nba.com/stats/events?CFID=&amp;CFPARAMS=&amp;GameEventID=87&amp;GameID=0021600150&amp;Season=2016-17&amp;flag=1&amp;title=Leonard%2025'%203PT%20Jump%20Shot%20(9%20PTS)%20(Lee%201%20AST)", "Leonard 25' 3PT Jump Shot (9 PTS) (Lee 1 AST)")</f>
        <v>Leonard 25' 3PT Jump Shot (9 PTS) (Lee 1 AST)</v>
      </c>
      <c r="K4764" s="2" t="str">
        <f>HYPERLINK("https://www.nba.com/game/...-vs-...-0021600150/play-by-play?watchFullGame=true", "SAS vs MIA - Q1 02:21.00")</f>
        <v>SAS vs MIA - Q1 02:21.00</v>
      </c>
      <c r="L4764">
        <v>25</v>
      </c>
      <c r="M4764">
        <v>228</v>
      </c>
      <c r="N4764">
        <v>105</v>
      </c>
      <c r="O4764">
        <v>228</v>
      </c>
      <c r="P4764">
        <v>105</v>
      </c>
    </row>
    <row r="4765" spans="1:16" x14ac:dyDescent="0.25">
      <c r="A4765">
        <v>22000142</v>
      </c>
      <c r="B4765">
        <v>2020</v>
      </c>
      <c r="C4765" t="s">
        <v>16</v>
      </c>
      <c r="D4765" t="s">
        <v>19</v>
      </c>
      <c r="E4765">
        <v>10</v>
      </c>
      <c r="F4765">
        <v>19</v>
      </c>
      <c r="G4765">
        <v>1</v>
      </c>
      <c r="H4765" s="1">
        <v>4.0625000000000001E-3</v>
      </c>
      <c r="I4765" t="s">
        <v>23</v>
      </c>
      <c r="J4765" s="2" t="str">
        <f>HYPERLINK("https://www.nba.com/stats/events?CFID=&amp;CFPARAMS=&amp;GameEventID=73&amp;GameID=0022000142&amp;Season=2020-21&amp;flag=1&amp;title=Leonard%203PT%20%20(7%20PTS)%20(P.%20George%201%20AST)", "3PT  (7 PTS) (P. George 1 AST)")</f>
        <v>3PT  (7 PTS) (P. George 1 AST)</v>
      </c>
      <c r="K4765" s="2" t="str">
        <f>HYPERLINK("https://www.nba.com/game/...-vs-...-0022000142/play-by-play?watchFullGame=true", "LAC vs CHI - Q1 05:51.00")</f>
        <v>LAC vs CHI - Q1 05:51.00</v>
      </c>
      <c r="L4765">
        <v>23.07</v>
      </c>
      <c r="M4765">
        <v>8.75</v>
      </c>
      <c r="N4765">
        <v>4.24</v>
      </c>
      <c r="O4765">
        <v>229</v>
      </c>
      <c r="P4765">
        <v>30</v>
      </c>
    </row>
    <row r="4766" spans="1:16" x14ac:dyDescent="0.25">
      <c r="A4766">
        <v>22201196</v>
      </c>
      <c r="B4766">
        <v>2022</v>
      </c>
      <c r="C4766" t="s">
        <v>16</v>
      </c>
      <c r="D4766" t="s">
        <v>19</v>
      </c>
      <c r="E4766">
        <v>71</v>
      </c>
      <c r="F4766">
        <v>52</v>
      </c>
      <c r="G4766">
        <v>2</v>
      </c>
      <c r="H4766" s="1">
        <v>4.5138888888888887E-5</v>
      </c>
      <c r="I4766" t="s">
        <v>23</v>
      </c>
      <c r="J4766" s="2" t="str">
        <f>HYPERLINK("https://www.nba.com/stats/events?CFID=&amp;CFPARAMS=&amp;GameEventID=298&amp;GameID=0022201196&amp;Season=2022-23&amp;flag=1&amp;title=Leonard%2024'%203PT%20step%20back%20(17%20PTS)", "24' 3PT step back (17 PTS)")</f>
        <v>24' 3PT step back (17 PTS)</v>
      </c>
      <c r="K4766" s="2" t="str">
        <f>HYPERLINK("https://www.nba.com/game/...-vs-...-0022201196/play-by-play?watchFullGame=true", "LAC vs LAL - Q2 00:03.90")</f>
        <v>LAC vs LAL - Q2 00:03.90</v>
      </c>
      <c r="L4766">
        <v>24.17</v>
      </c>
      <c r="M4766">
        <v>86.25</v>
      </c>
      <c r="N4766">
        <v>95.83</v>
      </c>
      <c r="O4766">
        <v>229</v>
      </c>
      <c r="P4766">
        <v>77</v>
      </c>
    </row>
    <row r="4767" spans="1:16" x14ac:dyDescent="0.25">
      <c r="A4767">
        <v>21600383</v>
      </c>
      <c r="B4767">
        <v>2016</v>
      </c>
      <c r="C4767" t="s">
        <v>16</v>
      </c>
      <c r="D4767" t="s">
        <v>19</v>
      </c>
      <c r="E4767">
        <v>52</v>
      </c>
      <c r="F4767">
        <v>45</v>
      </c>
      <c r="G4767">
        <v>2</v>
      </c>
      <c r="H4767" s="1">
        <v>6.4004629629629622E-4</v>
      </c>
      <c r="I4767" t="s">
        <v>18</v>
      </c>
      <c r="J4767" s="2" t="str">
        <f>HYPERLINK("https://www.nba.com/stats/events?CFID=&amp;CFPARAMS=&amp;GameEventID=219&amp;GameID=0021600383&amp;Season=2016-17&amp;flag=1&amp;title=Leonard%20%203PT%20Jump%20Shot%20(14%20PTS)%20(Ginobili%202%20AST)", "Leonard  3PT Jump Shot (14 PTS) (Ginobili 2 AST)")</f>
        <v>Leonard  3PT Jump Shot (14 PTS) (Ginobili 2 AST)</v>
      </c>
      <c r="K4767" s="2" t="str">
        <f>HYPERLINK("https://www.nba.com/game/...-vs-...-0021600383/play-by-play?watchFullGame=true", "SAS vs BOS - Q2 00:55.30")</f>
        <v>SAS vs BOS - Q2 00:55.30</v>
      </c>
      <c r="L4767">
        <v>0</v>
      </c>
      <c r="M4767">
        <v>230</v>
      </c>
      <c r="N4767">
        <v>-5</v>
      </c>
      <c r="O4767">
        <v>230</v>
      </c>
      <c r="P4767">
        <v>-5</v>
      </c>
    </row>
    <row r="4768" spans="1:16" x14ac:dyDescent="0.25">
      <c r="A4768">
        <v>21500090</v>
      </c>
      <c r="B4768">
        <v>2015</v>
      </c>
      <c r="C4768" t="s">
        <v>16</v>
      </c>
      <c r="D4768" t="s">
        <v>19</v>
      </c>
      <c r="E4768">
        <v>56</v>
      </c>
      <c r="F4768">
        <v>54</v>
      </c>
      <c r="G4768">
        <v>3</v>
      </c>
      <c r="H4768" s="1">
        <v>6.7708333333333336E-3</v>
      </c>
      <c r="I4768" t="s">
        <v>18</v>
      </c>
      <c r="J4768" s="2" t="str">
        <f>HYPERLINK("https://www.nba.com/stats/events?CFID=&amp;CFPARAMS=&amp;GameEventID=275&amp;GameID=0021500090&amp;Season=2015-16&amp;flag=1&amp;title=Leonard%20%203PT%20Jump%20Shot%20(10%20PTS)%20(Green%204%20AST)", "Leonard  3PT Jump Shot (10 PTS) (Green 4 AST)")</f>
        <v>Leonard  3PT Jump Shot (10 PTS) (Green 4 AST)</v>
      </c>
      <c r="K4768" s="2" t="str">
        <f>HYPERLINK("https://www.nba.com/game/...-vs-...-0021500090/play-by-play?watchFullGame=true", "SAS vs CHA - Q3 09:45.00")</f>
        <v>SAS vs CHA - Q3 09:45.00</v>
      </c>
      <c r="L4768">
        <v>0</v>
      </c>
      <c r="M4768">
        <v>230</v>
      </c>
      <c r="N4768">
        <v>3</v>
      </c>
      <c r="O4768">
        <v>230</v>
      </c>
      <c r="P4768">
        <v>3</v>
      </c>
    </row>
    <row r="4769" spans="1:16" x14ac:dyDescent="0.25">
      <c r="A4769">
        <v>41500233</v>
      </c>
      <c r="B4769" t="s">
        <v>25</v>
      </c>
      <c r="C4769" t="s">
        <v>16</v>
      </c>
      <c r="D4769" t="s">
        <v>19</v>
      </c>
      <c r="E4769">
        <v>11</v>
      </c>
      <c r="F4769">
        <v>15</v>
      </c>
      <c r="G4769">
        <v>1</v>
      </c>
      <c r="H4769" s="1">
        <v>4.6643518518518518E-3</v>
      </c>
      <c r="I4769" t="s">
        <v>18</v>
      </c>
      <c r="J4769" s="2" t="str">
        <f>HYPERLINK("https://www.nba.com/stats/events?CFID=&amp;CFPARAMS=&amp;GameEventID=40&amp;GameID=0041500233&amp;Season=2015-16&amp;flag=1&amp;title=Leonard%20%203PT%20Jump%20Shot%20(6%20PTS)%20(Parker%203%20AST)", "Leonard  3PT Jump Shot (6 PTS) (Parker 3 AST)")</f>
        <v>Leonard  3PT Jump Shot (6 PTS) (Parker 3 AST)</v>
      </c>
      <c r="K4769" s="2" t="str">
        <f>HYPERLINK("https://www.nba.com/game/...-vs-...-0041500233/play-by-play?watchFullGame=true", "SAS vs OKC - Q1 06:43.00")</f>
        <v>SAS vs OKC - Q1 06:43.00</v>
      </c>
      <c r="L4769">
        <v>0</v>
      </c>
      <c r="M4769">
        <v>230</v>
      </c>
      <c r="N4769">
        <v>3</v>
      </c>
      <c r="O4769">
        <v>230</v>
      </c>
      <c r="P4769">
        <v>3</v>
      </c>
    </row>
    <row r="4770" spans="1:16" x14ac:dyDescent="0.25">
      <c r="A4770">
        <v>22200745</v>
      </c>
      <c r="B4770">
        <v>2022</v>
      </c>
      <c r="C4770" t="s">
        <v>16</v>
      </c>
      <c r="D4770" t="s">
        <v>19</v>
      </c>
      <c r="E4770">
        <v>46</v>
      </c>
      <c r="F4770">
        <v>50</v>
      </c>
      <c r="G4770">
        <v>2</v>
      </c>
      <c r="H4770" s="1">
        <v>2.4074074074074076E-3</v>
      </c>
      <c r="I4770" t="s">
        <v>23</v>
      </c>
      <c r="J4770" s="2" t="str">
        <f>HYPERLINK("https://www.nba.com/stats/events?CFID=&amp;CFPARAMS=&amp;GameEventID=248&amp;GameID=0022200745&amp;Season=2022-23&amp;flag=1&amp;title=Leonard%203PT%20%20(10%20PTS)%20(P.%20George%204%20AST)", "3PT  (10 PTS) (P. George 4 AST)")</f>
        <v>3PT  (10 PTS) (P. George 4 AST)</v>
      </c>
      <c r="K4770" s="2" t="str">
        <f>HYPERLINK("https://www.nba.com/game/...-vs-...-0022200745/play-by-play?watchFullGame=true", "LAC vs ATL - Q2 03:28.00")</f>
        <v>LAC vs ATL - Q2 03:28.00</v>
      </c>
      <c r="L4770">
        <v>23.04</v>
      </c>
      <c r="M4770">
        <v>93.91</v>
      </c>
      <c r="N4770">
        <v>96.08</v>
      </c>
      <c r="O4770">
        <v>230</v>
      </c>
      <c r="P4770">
        <v>5</v>
      </c>
    </row>
    <row r="4771" spans="1:16" x14ac:dyDescent="0.25">
      <c r="A4771">
        <v>21300573</v>
      </c>
      <c r="B4771">
        <v>2013</v>
      </c>
      <c r="C4771" t="s">
        <v>16</v>
      </c>
      <c r="D4771" t="s">
        <v>19</v>
      </c>
      <c r="E4771">
        <v>91</v>
      </c>
      <c r="F4771">
        <v>79</v>
      </c>
      <c r="G4771">
        <v>4</v>
      </c>
      <c r="H4771" s="1">
        <v>5.4050925925925924E-3</v>
      </c>
      <c r="I4771" t="s">
        <v>18</v>
      </c>
      <c r="J4771" s="2" t="str">
        <f>HYPERLINK("https://www.nba.com/stats/events?CFID=&amp;CFPARAMS=&amp;GameEventID=386&amp;GameID=0021300573&amp;Season=2013-14&amp;flag=1&amp;title=Leonard%20%203PT%20Jump%20Shot%20(15%20PTS)%20(Ayres%202%20AST)", "Leonard  3PT Jump Shot (15 PTS) (Ayres 2 AST)")</f>
        <v>Leonard  3PT Jump Shot (15 PTS) (Ayres 2 AST)</v>
      </c>
      <c r="K4771" s="2" t="str">
        <f>HYPERLINK("https://www.nba.com/game/...-vs-...-0021300573/play-by-play?watchFullGame=true", "SAS vs UTA - Q4 07:47.00")</f>
        <v>SAS vs UTA - Q4 07:47.00</v>
      </c>
      <c r="L4771">
        <v>0</v>
      </c>
      <c r="M4771">
        <v>230</v>
      </c>
      <c r="N4771">
        <v>19</v>
      </c>
      <c r="O4771">
        <v>230</v>
      </c>
      <c r="P4771">
        <v>19</v>
      </c>
    </row>
    <row r="4772" spans="1:16" x14ac:dyDescent="0.25">
      <c r="A4772">
        <v>22300897</v>
      </c>
      <c r="B4772">
        <v>2023</v>
      </c>
      <c r="C4772" t="s">
        <v>16</v>
      </c>
      <c r="D4772" t="s">
        <v>19</v>
      </c>
      <c r="E4772">
        <v>101</v>
      </c>
      <c r="F4772">
        <v>99</v>
      </c>
      <c r="G4772">
        <v>4</v>
      </c>
      <c r="H4772" s="1">
        <v>4.3518518518518515E-3</v>
      </c>
      <c r="I4772" t="s">
        <v>23</v>
      </c>
      <c r="J4772" s="2" t="str">
        <f>HYPERLINK("https://www.nba.com/stats/events?CFID=&amp;CFPARAMS=&amp;GameEventID=515&amp;GameID=0022300897&amp;Season=2023-24&amp;flag=1&amp;title=Leonard%203PT%20%20(21%20PTS)%20(J.%20Harden%205%20AST)", "3PT  (21 PTS) (J. Harden 5 AST)")</f>
        <v>3PT  (21 PTS) (J. Harden 5 AST)</v>
      </c>
      <c r="K4772" s="2" t="str">
        <f>HYPERLINK("https://www.nba.com/game/...-vs-...-0022300897/play-by-play?watchFullGame=true", "LAC vs HOU - Q4 06:16.00")</f>
        <v>LAC vs HOU - Q4 06:16.00</v>
      </c>
      <c r="L4772">
        <v>23.14</v>
      </c>
      <c r="M4772">
        <v>7.84</v>
      </c>
      <c r="N4772">
        <v>3.92</v>
      </c>
      <c r="O4772">
        <v>230</v>
      </c>
      <c r="P4772">
        <v>21</v>
      </c>
    </row>
    <row r="4773" spans="1:16" x14ac:dyDescent="0.25">
      <c r="A4773">
        <v>21300382</v>
      </c>
      <c r="B4773">
        <v>2013</v>
      </c>
      <c r="C4773" t="s">
        <v>16</v>
      </c>
      <c r="D4773" t="s">
        <v>29</v>
      </c>
      <c r="E4773">
        <v>51</v>
      </c>
      <c r="F4773">
        <v>53</v>
      </c>
      <c r="G4773">
        <v>2</v>
      </c>
      <c r="H4773" s="1">
        <v>8.2175925925925917E-5</v>
      </c>
      <c r="I4773" t="s">
        <v>18</v>
      </c>
      <c r="J4773" s="2" t="str">
        <f>HYPERLINK("https://www.nba.com/stats/events?CFID=&amp;CFPARAMS=&amp;GameEventID=235&amp;GameID=0021300382&amp;Season=2013-14&amp;flag=1&amp;title=Leonard%20%203PT%20Pullup%20Jump%20Shot%20(16%20PTS)%20(Diaw%206%20AST)", "Leonard  3PT Pullup Jump Shot (16 PTS) (Diaw 6 AST)")</f>
        <v>Leonard  3PT Pullup Jump Shot (16 PTS) (Diaw 6 AST)</v>
      </c>
      <c r="K4773" s="2" t="str">
        <f>HYPERLINK("https://www.nba.com/game/...-vs-...-0021300382/play-by-play?watchFullGame=true", "SAS vs GSW - Q2 00:07.10")</f>
        <v>SAS vs GSW - Q2 00:07.10</v>
      </c>
      <c r="L4773">
        <v>0</v>
      </c>
      <c r="M4773">
        <v>230</v>
      </c>
      <c r="N4773">
        <v>22</v>
      </c>
      <c r="O4773">
        <v>230</v>
      </c>
      <c r="P4773">
        <v>22</v>
      </c>
    </row>
    <row r="4774" spans="1:16" x14ac:dyDescent="0.25">
      <c r="A4774">
        <v>21500182</v>
      </c>
      <c r="B4774">
        <v>2015</v>
      </c>
      <c r="C4774" t="s">
        <v>16</v>
      </c>
      <c r="D4774" t="s">
        <v>19</v>
      </c>
      <c r="E4774">
        <v>3</v>
      </c>
      <c r="F4774">
        <v>11</v>
      </c>
      <c r="G4774">
        <v>1</v>
      </c>
      <c r="H4774" s="1">
        <v>5.8449074074074072E-3</v>
      </c>
      <c r="I4774" t="s">
        <v>18</v>
      </c>
      <c r="J4774" s="2" t="str">
        <f>HYPERLINK("https://www.nba.com/stats/events?CFID=&amp;CFPARAMS=&amp;GameEventID=39&amp;GameID=0021500182&amp;Season=2015-16&amp;flag=1&amp;title=Leonard%20%203PT%20Jump%20Shot%20(5%20PTS)%20(Duncan%201%20AST)", "Leonard  3PT Jump Shot (5 PTS) (Duncan 1 AST)")</f>
        <v>Leonard  3PT Jump Shot (5 PTS) (Duncan 1 AST)</v>
      </c>
      <c r="K4774" s="2" t="str">
        <f>HYPERLINK("https://www.nba.com/game/...-vs-...-0021500182/play-by-play?watchFullGame=true", "SAS vs NOP - Q1 08:25.00")</f>
        <v>SAS vs NOP - Q1 08:25.00</v>
      </c>
      <c r="L4774">
        <v>0</v>
      </c>
      <c r="M4774">
        <v>230</v>
      </c>
      <c r="N4774">
        <v>31</v>
      </c>
      <c r="O4774">
        <v>230</v>
      </c>
      <c r="P4774">
        <v>31</v>
      </c>
    </row>
    <row r="4775" spans="1:16" x14ac:dyDescent="0.25">
      <c r="A4775">
        <v>21600458</v>
      </c>
      <c r="B4775">
        <v>2016</v>
      </c>
      <c r="C4775" t="s">
        <v>16</v>
      </c>
      <c r="D4775" t="s">
        <v>19</v>
      </c>
      <c r="E4775">
        <v>14</v>
      </c>
      <c r="F4775">
        <v>2</v>
      </c>
      <c r="G4775">
        <v>1</v>
      </c>
      <c r="H4775" s="1">
        <v>5.6597222222222222E-3</v>
      </c>
      <c r="I4775" t="s">
        <v>18</v>
      </c>
      <c r="J4775" s="2" t="str">
        <f>HYPERLINK("https://www.nba.com/stats/events?CFID=&amp;CFPARAMS=&amp;GameEventID=25&amp;GameID=0021600458&amp;Season=2016-17&amp;flag=1&amp;title=Leonard%2024'%203PT%20Jump%20Shot%20(6%20PTS)%20(Parker%205%20AST)", "Leonard 24' 3PT Jump Shot (6 PTS) (Parker 5 AST)")</f>
        <v>Leonard 24' 3PT Jump Shot (6 PTS) (Parker 5 AST)</v>
      </c>
      <c r="K4775" s="2" t="str">
        <f>HYPERLINK("https://www.nba.com/game/...-vs-...-0021600458/play-by-play?watchFullGame=true", "SAS vs CHI - Q1 08:09.00")</f>
        <v>SAS vs CHI - Q1 08:09.00</v>
      </c>
      <c r="L4775">
        <v>24</v>
      </c>
      <c r="M4775">
        <v>230</v>
      </c>
      <c r="N4775">
        <v>51</v>
      </c>
      <c r="O4775">
        <v>230</v>
      </c>
      <c r="P4775">
        <v>51</v>
      </c>
    </row>
    <row r="4776" spans="1:16" x14ac:dyDescent="0.25">
      <c r="A4776">
        <v>22000142</v>
      </c>
      <c r="B4776">
        <v>2020</v>
      </c>
      <c r="C4776" t="s">
        <v>16</v>
      </c>
      <c r="D4776" t="s">
        <v>19</v>
      </c>
      <c r="E4776">
        <v>46</v>
      </c>
      <c r="F4776">
        <v>47</v>
      </c>
      <c r="G4776">
        <v>2</v>
      </c>
      <c r="H4776" s="1">
        <v>3.0671296296296297E-3</v>
      </c>
      <c r="I4776" t="s">
        <v>23</v>
      </c>
      <c r="J4776" s="2" t="str">
        <f>HYPERLINK("https://www.nba.com/stats/events?CFID=&amp;CFPARAMS=&amp;GameEventID=264&amp;GameID=0022000142&amp;Season=2020-21&amp;flag=1&amp;title=Leonard%2024'%203PT%20%20(10%20PTS)%20(P.%20George%204%20AST)", "24' 3PT  (10 PTS) (P. George 4 AST)")</f>
        <v>24' 3PT  (10 PTS) (P. George 4 AST)</v>
      </c>
      <c r="K4776" s="2" t="str">
        <f>HYPERLINK("https://www.nba.com/game/...-vs-...-0022000142/play-by-play?watchFullGame=true", "LAC vs CHI - Q2 04:25.00")</f>
        <v>LAC vs CHI - Q2 04:25.00</v>
      </c>
      <c r="L4776">
        <v>24.41</v>
      </c>
      <c r="M4776">
        <v>14.27</v>
      </c>
      <c r="N4776">
        <v>3.99</v>
      </c>
      <c r="O4776">
        <v>230</v>
      </c>
      <c r="P4776">
        <v>82</v>
      </c>
    </row>
    <row r="4777" spans="1:16" x14ac:dyDescent="0.25">
      <c r="A4777">
        <v>21301102</v>
      </c>
      <c r="B4777">
        <v>2013</v>
      </c>
      <c r="C4777" t="s">
        <v>16</v>
      </c>
      <c r="D4777" t="s">
        <v>19</v>
      </c>
      <c r="E4777">
        <v>35</v>
      </c>
      <c r="F4777">
        <v>51</v>
      </c>
      <c r="G4777">
        <v>3</v>
      </c>
      <c r="H4777" s="1">
        <v>8.0787037037037043E-3</v>
      </c>
      <c r="I4777" t="s">
        <v>18</v>
      </c>
      <c r="J4777" s="2" t="str">
        <f>HYPERLINK("https://www.nba.com/stats/events?CFID=&amp;CFPARAMS=&amp;GameEventID=246&amp;GameID=0021301102&amp;Season=2013-14&amp;flag=1&amp;title=Leonard%2026'%203PT%20Jump%20Shot%20(7%20PTS)%20(Duncan%202%20AST)", "Leonard 26' 3PT Jump Shot (7 PTS) (Duncan 2 AST)")</f>
        <v>Leonard 26' 3PT Jump Shot (7 PTS) (Duncan 2 AST)</v>
      </c>
      <c r="K4777" s="2" t="str">
        <f>HYPERLINK("https://www.nba.com/game/...-vs-...-0021301102/play-by-play?watchFullGame=true", "SAS vs IND - Q3 11:38.00")</f>
        <v>SAS vs IND - Q3 11:38.00</v>
      </c>
      <c r="L4777">
        <v>26</v>
      </c>
      <c r="M4777">
        <v>230</v>
      </c>
      <c r="N4777">
        <v>116</v>
      </c>
      <c r="O4777">
        <v>230</v>
      </c>
      <c r="P4777">
        <v>116</v>
      </c>
    </row>
    <row r="4778" spans="1:16" x14ac:dyDescent="0.25">
      <c r="A4778">
        <v>41600232</v>
      </c>
      <c r="B4778" t="s">
        <v>30</v>
      </c>
      <c r="C4778" t="s">
        <v>16</v>
      </c>
      <c r="D4778" t="s">
        <v>19</v>
      </c>
      <c r="E4778">
        <v>10</v>
      </c>
      <c r="F4778">
        <v>4</v>
      </c>
      <c r="G4778">
        <v>1</v>
      </c>
      <c r="H4778" s="1">
        <v>6.8402777777777776E-3</v>
      </c>
      <c r="I4778" t="s">
        <v>18</v>
      </c>
      <c r="J4778" s="2" t="str">
        <f>HYPERLINK("https://www.nba.com/stats/events?CFID=&amp;CFPARAMS=&amp;GameEventID=13&amp;GameID=0041600232&amp;Season=2016-17&amp;flag=1&amp;title=Leonard%2026'%203PT%20Jump%20Shot%20(8%20PTS)%20(Parker%202%20AST)", "Leonard 26' 3PT Jump Shot (8 PTS) (Parker 2 AST)")</f>
        <v>Leonard 26' 3PT Jump Shot (8 PTS) (Parker 2 AST)</v>
      </c>
      <c r="K4778" s="2" t="str">
        <f>HYPERLINK("https://www.nba.com/game/...-vs-...-0041600232/play-by-play?watchFullGame=true", "SAS vs HOU - Q1 09:51.00")</f>
        <v>SAS vs HOU - Q1 09:51.00</v>
      </c>
      <c r="L4778">
        <v>26</v>
      </c>
      <c r="M4778">
        <v>230</v>
      </c>
      <c r="N4778">
        <v>120</v>
      </c>
      <c r="O4778">
        <v>230</v>
      </c>
      <c r="P4778">
        <v>120</v>
      </c>
    </row>
    <row r="4779" spans="1:16" x14ac:dyDescent="0.25">
      <c r="A4779">
        <v>21301038</v>
      </c>
      <c r="B4779">
        <v>2013</v>
      </c>
      <c r="C4779" t="s">
        <v>16</v>
      </c>
      <c r="D4779" t="s">
        <v>29</v>
      </c>
      <c r="E4779">
        <v>84</v>
      </c>
      <c r="F4779">
        <v>97</v>
      </c>
      <c r="G4779">
        <v>4</v>
      </c>
      <c r="H4779" s="1">
        <v>1.1226851851851851E-3</v>
      </c>
      <c r="I4779" t="s">
        <v>18</v>
      </c>
      <c r="J4779" s="2" t="str">
        <f>HYPERLINK("https://www.nba.com/stats/events?CFID=&amp;CFPARAMS=&amp;GameEventID=527&amp;GameID=0021301038&amp;Season=2013-14&amp;flag=1&amp;title=Leonard%20%203PT%20Pullup%20Jump%20Shot%20(16%20PTS)%20(Splitter%203%20AST)", "Leonard  3PT Pullup Jump Shot (16 PTS) (Splitter 3 AST)")</f>
        <v>Leonard  3PT Pullup Jump Shot (16 PTS) (Splitter 3 AST)</v>
      </c>
      <c r="K4779" s="2" t="str">
        <f>HYPERLINK("https://www.nba.com/game/...-vs-...-0021301038/play-by-play?watchFullGame=true", "SAS vs GSW - Q4 01:37.00")</f>
        <v>SAS vs GSW - Q4 01:37.00</v>
      </c>
      <c r="L4779">
        <v>0</v>
      </c>
      <c r="M4779">
        <v>231</v>
      </c>
      <c r="N4779">
        <v>-10</v>
      </c>
      <c r="O4779">
        <v>231</v>
      </c>
      <c r="P4779">
        <v>-10</v>
      </c>
    </row>
    <row r="4780" spans="1:16" x14ac:dyDescent="0.25">
      <c r="A4780">
        <v>21400108</v>
      </c>
      <c r="B4780">
        <v>2014</v>
      </c>
      <c r="C4780" t="s">
        <v>16</v>
      </c>
      <c r="D4780" t="s">
        <v>29</v>
      </c>
      <c r="E4780">
        <v>91</v>
      </c>
      <c r="F4780">
        <v>102</v>
      </c>
      <c r="G4780">
        <v>4</v>
      </c>
      <c r="H4780" s="1">
        <v>2.0486111111111113E-3</v>
      </c>
      <c r="I4780" t="s">
        <v>18</v>
      </c>
      <c r="J4780" s="2" t="str">
        <f>HYPERLINK("https://www.nba.com/stats/events?CFID=&amp;CFPARAMS=&amp;GameEventID=459&amp;GameID=0021400108&amp;Season=2014-15&amp;flag=1&amp;title=Leonard%20%203PT%20Pullup%20Jump%20Shot%20(16%20PTS)%20(Parker%207%20AST)", "Leonard  3PT Pullup Jump Shot (16 PTS) (Parker 7 AST)")</f>
        <v>Leonard  3PT Pullup Jump Shot (16 PTS) (Parker 7 AST)</v>
      </c>
      <c r="K4780" s="2" t="str">
        <f>HYPERLINK("https://www.nba.com/game/...-vs-...-0021400108/play-by-play?watchFullGame=true", "SAS vs GSW - Q4 02:57.00")</f>
        <v>SAS vs GSW - Q4 02:57.00</v>
      </c>
      <c r="L4780">
        <v>0</v>
      </c>
      <c r="M4780">
        <v>231</v>
      </c>
      <c r="N4780">
        <v>3</v>
      </c>
      <c r="O4780">
        <v>231</v>
      </c>
      <c r="P4780">
        <v>3</v>
      </c>
    </row>
    <row r="4781" spans="1:16" x14ac:dyDescent="0.25">
      <c r="A4781">
        <v>22000224</v>
      </c>
      <c r="B4781">
        <v>2020</v>
      </c>
      <c r="C4781" t="s">
        <v>16</v>
      </c>
      <c r="D4781" t="s">
        <v>19</v>
      </c>
      <c r="E4781">
        <v>69</v>
      </c>
      <c r="F4781">
        <v>61</v>
      </c>
      <c r="G4781">
        <v>3</v>
      </c>
      <c r="H4781" s="1">
        <v>6.9097222222222225E-3</v>
      </c>
      <c r="I4781" t="s">
        <v>23</v>
      </c>
      <c r="J4781" s="2" t="str">
        <f>HYPERLINK("https://www.nba.com/stats/events?CFID=&amp;CFPARAMS=&amp;GameEventID=339&amp;GameID=0022000224&amp;Season=2020-21&amp;flag=1&amp;title=Leonard%203PT%20%20(19%20PTS)%20(Ibaka%201%20AST)", "3PT  (19 PTS) (S. Ibaka 1 AST)")</f>
        <v>3PT  (19 PTS) (S. Ibaka 1 AST)</v>
      </c>
      <c r="K4781" s="2" t="str">
        <f>HYPERLINK("https://www.nba.com/game/...-vs-...-0022000224/play-by-play?watchFullGame=true", "LAC vs SAC - Q3 09:57.00")</f>
        <v>LAC vs SAC - Q3 09:57.00</v>
      </c>
      <c r="L4781">
        <v>23.13</v>
      </c>
      <c r="M4781">
        <v>5.86</v>
      </c>
      <c r="N4781">
        <v>3.75</v>
      </c>
      <c r="O4781">
        <v>231</v>
      </c>
      <c r="P4781">
        <v>3</v>
      </c>
    </row>
    <row r="4782" spans="1:16" x14ac:dyDescent="0.25">
      <c r="A4782">
        <v>22001047</v>
      </c>
      <c r="B4782">
        <v>2020</v>
      </c>
      <c r="C4782" t="s">
        <v>16</v>
      </c>
      <c r="D4782" t="s">
        <v>19</v>
      </c>
      <c r="E4782">
        <v>36</v>
      </c>
      <c r="F4782">
        <v>39</v>
      </c>
      <c r="G4782">
        <v>2</v>
      </c>
      <c r="H4782" s="1">
        <v>4.7685185185185183E-3</v>
      </c>
      <c r="I4782" t="s">
        <v>23</v>
      </c>
      <c r="J4782" s="2" t="str">
        <f>HYPERLINK("https://www.nba.com/stats/events?CFID=&amp;CFPARAMS=&amp;GameEventID=211&amp;GameID=0022001047&amp;Season=2020-21&amp;flag=1&amp;title=Leonard%203PT%20%20(5%20PTS)%20(P.%20George%202%20AST)", "3PT  (5 PTS) (P. George 2 AST)")</f>
        <v>3PT  (5 PTS) (P. George 2 AST)</v>
      </c>
      <c r="K4782" s="2" t="str">
        <f>HYPERLINK("https://www.nba.com/game/...-vs-...-0022001047/play-by-play?watchFullGame=true", "LAC vs CHA - Q2 06:52.00")</f>
        <v>LAC vs CHA - Q2 06:52.00</v>
      </c>
      <c r="L4782">
        <v>23.14</v>
      </c>
      <c r="M4782">
        <v>6.13</v>
      </c>
      <c r="N4782">
        <v>3.75</v>
      </c>
      <c r="O4782">
        <v>231</v>
      </c>
      <c r="P4782">
        <v>5</v>
      </c>
    </row>
    <row r="4783" spans="1:16" x14ac:dyDescent="0.25">
      <c r="A4783">
        <v>21301054</v>
      </c>
      <c r="B4783">
        <v>2013</v>
      </c>
      <c r="C4783" t="s">
        <v>16</v>
      </c>
      <c r="D4783" t="s">
        <v>19</v>
      </c>
      <c r="E4783">
        <v>79</v>
      </c>
      <c r="F4783">
        <v>63</v>
      </c>
      <c r="G4783">
        <v>3</v>
      </c>
      <c r="H4783" s="1">
        <v>2.0833333333333333E-3</v>
      </c>
      <c r="I4783" t="s">
        <v>18</v>
      </c>
      <c r="J4783" s="2" t="str">
        <f>HYPERLINK("https://www.nba.com/stats/events?CFID=&amp;CFPARAMS=&amp;GameEventID=332&amp;GameID=0021301054&amp;Season=2013-14&amp;flag=1&amp;title=Leonard%20%203PT%20Jump%20Shot%20(15%20PTS)%20(Mills%201%20AST)", "Leonard  3PT Jump Shot (15 PTS) (Mills 1 AST)")</f>
        <v>Leonard  3PT Jump Shot (15 PTS) (Mills 1 AST)</v>
      </c>
      <c r="K4783" s="2" t="str">
        <f>HYPERLINK("https://www.nba.com/game/...-vs-...-0021301054/play-by-play?watchFullGame=true", "SAS vs PHI - Q3 03:00.00")</f>
        <v>SAS vs PHI - Q3 03:00.00</v>
      </c>
      <c r="L4783">
        <v>0</v>
      </c>
      <c r="M4783">
        <v>231</v>
      </c>
      <c r="N4783">
        <v>9</v>
      </c>
      <c r="O4783">
        <v>231</v>
      </c>
      <c r="P4783">
        <v>9</v>
      </c>
    </row>
    <row r="4784" spans="1:16" x14ac:dyDescent="0.25">
      <c r="A4784">
        <v>21400757</v>
      </c>
      <c r="B4784">
        <v>2014</v>
      </c>
      <c r="C4784" t="s">
        <v>16</v>
      </c>
      <c r="D4784" t="s">
        <v>19</v>
      </c>
      <c r="E4784">
        <v>21</v>
      </c>
      <c r="F4784">
        <v>17</v>
      </c>
      <c r="G4784">
        <v>1</v>
      </c>
      <c r="H4784" s="1">
        <v>1.9907407407407408E-3</v>
      </c>
      <c r="I4784" t="s">
        <v>18</v>
      </c>
      <c r="J4784" s="2" t="str">
        <f>HYPERLINK("https://www.nba.com/stats/events?CFID=&amp;CFPARAMS=&amp;GameEventID=76&amp;GameID=0021400757&amp;Season=2014-15&amp;flag=1&amp;title=Leonard%20%203PT%20Jump%20Shot%20(5%20PTS)%20(Diaw%203%20AST)", "Leonard  3PT Jump Shot (5 PTS) (Diaw 3 AST)")</f>
        <v>Leonard  3PT Jump Shot (5 PTS) (Diaw 3 AST)</v>
      </c>
      <c r="K4784" s="2" t="str">
        <f>HYPERLINK("https://www.nba.com/game/...-vs-...-0021400757/play-by-play?watchFullGame=true", "SAS vs MIA - Q1 02:52.00")</f>
        <v>SAS vs MIA - Q1 02:52.00</v>
      </c>
      <c r="L4784">
        <v>0</v>
      </c>
      <c r="M4784">
        <v>231</v>
      </c>
      <c r="N4784">
        <v>20</v>
      </c>
      <c r="O4784">
        <v>231</v>
      </c>
      <c r="P4784">
        <v>20</v>
      </c>
    </row>
    <row r="4785" spans="1:16" x14ac:dyDescent="0.25">
      <c r="A4785">
        <v>21401157</v>
      </c>
      <c r="B4785">
        <v>2014</v>
      </c>
      <c r="C4785" t="s">
        <v>16</v>
      </c>
      <c r="D4785" t="s">
        <v>19</v>
      </c>
      <c r="E4785">
        <v>21</v>
      </c>
      <c r="F4785">
        <v>38</v>
      </c>
      <c r="G4785">
        <v>2</v>
      </c>
      <c r="H4785" s="1">
        <v>5.3819444444444444E-3</v>
      </c>
      <c r="I4785" t="s">
        <v>18</v>
      </c>
      <c r="J4785" s="2" t="str">
        <f>HYPERLINK("https://www.nba.com/stats/events?CFID=&amp;CFPARAMS=&amp;GameEventID=185&amp;GameID=0021401157&amp;Season=2014-15&amp;flag=1&amp;title=Leonard%20%203PT%20Jump%20Shot%20(15%20PTS)%20(Diaw%203%20AST)", "Leonard  3PT Jump Shot (15 PTS) (Diaw 3 AST)")</f>
        <v>Leonard  3PT Jump Shot (15 PTS) (Diaw 3 AST)</v>
      </c>
      <c r="K4785" s="2" t="str">
        <f>HYPERLINK("https://www.nba.com/game/...-vs-...-0021401157/play-by-play?watchFullGame=true", "SAS vs OKC - Q2 07:45.00")</f>
        <v>SAS vs OKC - Q2 07:45.00</v>
      </c>
      <c r="L4785">
        <v>0</v>
      </c>
      <c r="M4785">
        <v>231</v>
      </c>
      <c r="N4785">
        <v>23</v>
      </c>
      <c r="O4785">
        <v>231</v>
      </c>
      <c r="P4785">
        <v>23</v>
      </c>
    </row>
    <row r="4786" spans="1:16" x14ac:dyDescent="0.25">
      <c r="A4786">
        <v>41300315</v>
      </c>
      <c r="B4786" t="s">
        <v>26</v>
      </c>
      <c r="C4786" t="s">
        <v>16</v>
      </c>
      <c r="D4786" t="s">
        <v>19</v>
      </c>
      <c r="E4786">
        <v>60</v>
      </c>
      <c r="F4786">
        <v>49</v>
      </c>
      <c r="G4786">
        <v>2</v>
      </c>
      <c r="H4786" s="1">
        <v>6.9444444444444447E-4</v>
      </c>
      <c r="I4786" t="s">
        <v>18</v>
      </c>
      <c r="J4786" s="2" t="str">
        <f>HYPERLINK("https://www.nba.com/stats/events?CFID=&amp;CFPARAMS=&amp;GameEventID=222&amp;GameID=0041300315&amp;Season=2013-14&amp;flag=1&amp;title=Leonard%20%203PT%20Jump%20Shot%20(10%20PTS)%20(Diaw%203%20AST)", "Leonard  3PT Jump Shot (10 PTS) (Diaw 3 AST)")</f>
        <v>Leonard  3PT Jump Shot (10 PTS) (Diaw 3 AST)</v>
      </c>
      <c r="K4786" s="2" t="str">
        <f>HYPERLINK("https://www.nba.com/game/...-vs-...-0041300315/play-by-play?watchFullGame=true", "SAS vs OKC - Q2 01:00.00")</f>
        <v>SAS vs OKC - Q2 01:00.00</v>
      </c>
      <c r="L4786">
        <v>0</v>
      </c>
      <c r="M4786">
        <v>231</v>
      </c>
      <c r="N4786">
        <v>23</v>
      </c>
      <c r="O4786">
        <v>231</v>
      </c>
      <c r="P4786">
        <v>23</v>
      </c>
    </row>
    <row r="4787" spans="1:16" x14ac:dyDescent="0.25">
      <c r="A4787">
        <v>41800212</v>
      </c>
      <c r="B4787" t="s">
        <v>20</v>
      </c>
      <c r="C4787" t="s">
        <v>16</v>
      </c>
      <c r="D4787" t="s">
        <v>19</v>
      </c>
      <c r="E4787">
        <v>51</v>
      </c>
      <c r="F4787">
        <v>55</v>
      </c>
      <c r="G4787">
        <v>3</v>
      </c>
      <c r="H4787" s="1">
        <v>4.6527777777777774E-3</v>
      </c>
      <c r="I4787" t="s">
        <v>21</v>
      </c>
      <c r="J4787" s="2" t="str">
        <f>HYPERLINK("https://www.nba.com/stats/events?CFID=&amp;CFPARAMS=&amp;GameEventID=385&amp;GameID=0041800212&amp;Season=2018-19&amp;flag=1&amp;title=Leonard%203PT%20Jump%20Shot%20(23%20PTS)", "Leonard 3PT Jump Shot (23 PTS)")</f>
        <v>Leonard 3PT Jump Shot (23 PTS)</v>
      </c>
      <c r="K4787" s="2" t="str">
        <f>HYPERLINK("https://www.nba.com/game/...-vs-...-0041800212/play-by-play?watchFullGame=true", "TOR vs PHI - Q3 06:42.00")</f>
        <v>TOR vs PHI - Q3 06:42.00</v>
      </c>
      <c r="L4787">
        <v>0</v>
      </c>
      <c r="M4787">
        <v>231</v>
      </c>
      <c r="N4787">
        <v>23</v>
      </c>
      <c r="O4787">
        <v>231</v>
      </c>
      <c r="P4787">
        <v>23</v>
      </c>
    </row>
    <row r="4788" spans="1:16" x14ac:dyDescent="0.25">
      <c r="A4788">
        <v>41800404</v>
      </c>
      <c r="B4788" t="s">
        <v>20</v>
      </c>
      <c r="C4788" t="s">
        <v>16</v>
      </c>
      <c r="D4788" t="s">
        <v>19</v>
      </c>
      <c r="E4788">
        <v>72</v>
      </c>
      <c r="F4788">
        <v>88</v>
      </c>
      <c r="G4788">
        <v>4</v>
      </c>
      <c r="H4788" s="1">
        <v>6.0648148148148145E-3</v>
      </c>
      <c r="I4788" t="s">
        <v>21</v>
      </c>
      <c r="J4788" s="2" t="str">
        <f>HYPERLINK("https://www.nba.com/stats/events?CFID=&amp;CFPARAMS=&amp;GameEventID=551&amp;GameID=0041800404&amp;Season=2018-19&amp;flag=1&amp;title=Leonard%203PT%20Jump%20Shot%20(34%20PTS)%20(Lowry%204%20AST)", "Leonard 3PT Jump Shot (34 PTS) (Lowry 4 AST)")</f>
        <v>Leonard 3PT Jump Shot (34 PTS) (Lowry 4 AST)</v>
      </c>
      <c r="K4788" s="2" t="str">
        <f>HYPERLINK("https://www.nba.com/game/...-vs-...-0041800404/play-by-play?watchFullGame=true", "TOR vs GSW - Q4 08:44.00")</f>
        <v>TOR vs GSW - Q4 08:44.00</v>
      </c>
      <c r="L4788">
        <v>0</v>
      </c>
      <c r="M4788">
        <v>231</v>
      </c>
      <c r="N4788">
        <v>31</v>
      </c>
      <c r="O4788">
        <v>231</v>
      </c>
      <c r="P4788">
        <v>31</v>
      </c>
    </row>
    <row r="4789" spans="1:16" x14ac:dyDescent="0.25">
      <c r="A4789">
        <v>22001019</v>
      </c>
      <c r="B4789">
        <v>2020</v>
      </c>
      <c r="C4789" t="s">
        <v>16</v>
      </c>
      <c r="D4789" t="s">
        <v>19</v>
      </c>
      <c r="E4789">
        <v>3</v>
      </c>
      <c r="F4789">
        <v>0</v>
      </c>
      <c r="G4789">
        <v>1</v>
      </c>
      <c r="H4789" s="1">
        <v>7.5578703703703702E-3</v>
      </c>
      <c r="I4789" t="s">
        <v>23</v>
      </c>
      <c r="J4789" s="2" t="str">
        <f>HYPERLINK("https://www.nba.com/stats/events?CFID=&amp;CFPARAMS=&amp;GameEventID=15&amp;GameID=0022001019&amp;Season=2020-21&amp;flag=1&amp;title=Leonard%203PT%20step%20back%20(3%20PTS)%20(R.%20Jackson%201%20AST)", "3PT step back (3 PTS) (R. Jackson 1 AST)")</f>
        <v>3PT step back (3 PTS) (R. Jackson 1 AST)</v>
      </c>
      <c r="K4789" s="2" t="str">
        <f>HYPERLINK("https://www.nba.com/game/...-vs-...-0022001019/play-by-play?watchFullGame=true", "LAC vs NYK - Q1 10:53.00")</f>
        <v>LAC vs NYK - Q1 10:53.00</v>
      </c>
      <c r="L4789">
        <v>23.59</v>
      </c>
      <c r="M4789">
        <v>89.18</v>
      </c>
      <c r="N4789">
        <v>96.15</v>
      </c>
      <c r="O4789">
        <v>231</v>
      </c>
      <c r="P4789">
        <v>49</v>
      </c>
    </row>
    <row r="4790" spans="1:16" x14ac:dyDescent="0.25">
      <c r="A4790">
        <v>22000576</v>
      </c>
      <c r="B4790">
        <v>2020</v>
      </c>
      <c r="C4790" t="s">
        <v>16</v>
      </c>
      <c r="D4790" t="s">
        <v>19</v>
      </c>
      <c r="E4790">
        <v>25</v>
      </c>
      <c r="F4790">
        <v>25</v>
      </c>
      <c r="G4790">
        <v>1</v>
      </c>
      <c r="H4790" s="1">
        <v>4.3865740740740741E-4</v>
      </c>
      <c r="I4790" t="s">
        <v>23</v>
      </c>
      <c r="J4790" s="2" t="str">
        <f>HYPERLINK("https://www.nba.com/stats/events?CFID=&amp;CFPARAMS=&amp;GameEventID=149&amp;GameID=0022000576&amp;Season=2020-21&amp;flag=1&amp;title=Leonard%203PT%20%20(11%20PTS)%20(R.%20Jackson%201%20AST)", "3PT  (11 PTS) (R. Jackson 1 AST)")</f>
        <v>3PT  (11 PTS) (R. Jackson 1 AST)</v>
      </c>
      <c r="K4790" s="2" t="str">
        <f>HYPERLINK("https://www.nba.com/game/...-vs-...-0022000576/play-by-play?watchFullGame=true", "LAC vs GSW - Q1 00:37.90")</f>
        <v>LAC vs GSW - Q1 00:37.90</v>
      </c>
      <c r="L4790">
        <v>23.79</v>
      </c>
      <c r="M4790">
        <v>88.26</v>
      </c>
      <c r="N4790">
        <v>96.15</v>
      </c>
      <c r="O4790">
        <v>231</v>
      </c>
      <c r="P4790">
        <v>58</v>
      </c>
    </row>
    <row r="4791" spans="1:16" x14ac:dyDescent="0.25">
      <c r="A4791">
        <v>21401028</v>
      </c>
      <c r="B4791">
        <v>2014</v>
      </c>
      <c r="C4791" t="s">
        <v>16</v>
      </c>
      <c r="D4791" t="s">
        <v>19</v>
      </c>
      <c r="E4791">
        <v>80</v>
      </c>
      <c r="F4791">
        <v>58</v>
      </c>
      <c r="G4791">
        <v>3</v>
      </c>
      <c r="H4791" s="1">
        <v>2.2685185185185187E-3</v>
      </c>
      <c r="I4791" t="s">
        <v>18</v>
      </c>
      <c r="J4791" s="2" t="str">
        <f>HYPERLINK("https://www.nba.com/stats/events?CFID=&amp;CFPARAMS=&amp;GameEventID=335&amp;GameID=0021401028&amp;Season=2014-15&amp;flag=1&amp;title=Leonard%2026'%203PT%20Jump%20Shot%20(22%20PTS)%20(Diaw%203%20AST)", "Leonard 26' 3PT Jump Shot (22 PTS) (Diaw 3 AST)")</f>
        <v>Leonard 26' 3PT Jump Shot (22 PTS) (Diaw 3 AST)</v>
      </c>
      <c r="K4791" s="2" t="str">
        <f>HYPERLINK("https://www.nba.com/game/...-vs-...-0021401028/play-by-play?watchFullGame=true", "SAS vs BOS - Q3 03:16.00")</f>
        <v>SAS vs BOS - Q3 03:16.00</v>
      </c>
      <c r="L4791">
        <v>26</v>
      </c>
      <c r="M4791">
        <v>231</v>
      </c>
      <c r="N4791">
        <v>112</v>
      </c>
      <c r="O4791">
        <v>231</v>
      </c>
      <c r="P4791">
        <v>112</v>
      </c>
    </row>
    <row r="4792" spans="1:16" x14ac:dyDescent="0.25">
      <c r="A4792">
        <v>22200687</v>
      </c>
      <c r="B4792">
        <v>2022</v>
      </c>
      <c r="C4792" t="s">
        <v>16</v>
      </c>
      <c r="D4792" t="s">
        <v>19</v>
      </c>
      <c r="E4792">
        <v>90</v>
      </c>
      <c r="F4792">
        <v>93</v>
      </c>
      <c r="G4792">
        <v>3</v>
      </c>
      <c r="H4792" s="1">
        <v>2.4652777777777776E-3</v>
      </c>
      <c r="I4792" t="s">
        <v>23</v>
      </c>
      <c r="J4792" s="2" t="str">
        <f>HYPERLINK("https://www.nba.com/stats/events?CFID=&amp;CFPARAMS=&amp;GameEventID=375&amp;GameID=0022200687&amp;Season=2022-23&amp;flag=1&amp;title=Leonard%203PT%20%20(30%20PTS)%20(P.%20George%209%20AST)", "3PT  (30 PTS) (P. George 9 AST)")</f>
        <v>3PT  (30 PTS) (P. George 9 AST)</v>
      </c>
      <c r="K4792" s="2" t="str">
        <f>HYPERLINK("https://www.nba.com/game/...-vs-...-0022200687/play-by-play?watchFullGame=true", "LAC vs SAS - Q3 03:33.00")</f>
        <v>LAC vs SAS - Q3 03:33.00</v>
      </c>
      <c r="L4792">
        <v>23.16</v>
      </c>
      <c r="M4792">
        <v>6</v>
      </c>
      <c r="N4792">
        <v>3.68</v>
      </c>
      <c r="O4792">
        <v>232</v>
      </c>
      <c r="P4792">
        <v>4</v>
      </c>
    </row>
    <row r="4793" spans="1:16" x14ac:dyDescent="0.25">
      <c r="A4793">
        <v>22200363</v>
      </c>
      <c r="B4793">
        <v>2022</v>
      </c>
      <c r="C4793" t="s">
        <v>16</v>
      </c>
      <c r="D4793" t="s">
        <v>19</v>
      </c>
      <c r="E4793">
        <v>6</v>
      </c>
      <c r="F4793">
        <v>21</v>
      </c>
      <c r="G4793">
        <v>1</v>
      </c>
      <c r="H4793" s="1">
        <v>3.6342592592592594E-3</v>
      </c>
      <c r="I4793" t="s">
        <v>23</v>
      </c>
      <c r="J4793" s="2" t="str">
        <f>HYPERLINK("https://www.nba.com/stats/events?CFID=&amp;CFPARAMS=&amp;GameEventID=86&amp;GameID=0022200363&amp;Season=2022-23&amp;flag=1&amp;title=Leonard%203PT%20%20(5%20PTS)", "3PT  (5 PTS)")</f>
        <v>3PT  (5 PTS)</v>
      </c>
      <c r="K4793" s="2" t="str">
        <f>HYPERLINK("https://www.nba.com/game/...-vs-...-0022200363/play-by-play?watchFullGame=true", "LAC vs ORL - Q1 05:14.00")</f>
        <v>LAC vs ORL - Q1 05:14.00</v>
      </c>
      <c r="L4793">
        <v>23.26</v>
      </c>
      <c r="M4793">
        <v>7.84</v>
      </c>
      <c r="N4793">
        <v>3.68</v>
      </c>
      <c r="O4793">
        <v>232</v>
      </c>
      <c r="P4793">
        <v>21</v>
      </c>
    </row>
    <row r="4794" spans="1:16" x14ac:dyDescent="0.25">
      <c r="A4794">
        <v>41500153</v>
      </c>
      <c r="B4794" t="s">
        <v>25</v>
      </c>
      <c r="C4794" t="s">
        <v>16</v>
      </c>
      <c r="D4794" t="s">
        <v>19</v>
      </c>
      <c r="E4794">
        <v>87</v>
      </c>
      <c r="F4794">
        <v>96</v>
      </c>
      <c r="G4794">
        <v>4</v>
      </c>
      <c r="H4794" s="1">
        <v>8.2175925925925927E-4</v>
      </c>
      <c r="I4794" t="s">
        <v>18</v>
      </c>
      <c r="J4794" s="2" t="str">
        <f>HYPERLINK("https://www.nba.com/stats/events?CFID=&amp;CFPARAMS=&amp;GameEventID=488&amp;GameID=0041500153&amp;Season=2015-16&amp;flag=1&amp;title=Leonard%2024'%203PT%20Jump%20Shot%20(32%20PTS)%20(Ginobili%205%20AST)", "Leonard 24' 3PT Jump Shot (32 PTS) (Ginobili 5 AST)")</f>
        <v>Leonard 24' 3PT Jump Shot (32 PTS) (Ginobili 5 AST)</v>
      </c>
      <c r="K4794" s="2" t="str">
        <f>HYPERLINK("https://www.nba.com/game/...-vs-...-0041500153/play-by-play?watchFullGame=true", "SAS vs MEM - Q4 01:11.00")</f>
        <v>SAS vs MEM - Q4 01:11.00</v>
      </c>
      <c r="L4794">
        <v>24</v>
      </c>
      <c r="M4794">
        <v>232</v>
      </c>
      <c r="N4794">
        <v>41</v>
      </c>
      <c r="O4794">
        <v>232</v>
      </c>
      <c r="P4794">
        <v>41</v>
      </c>
    </row>
    <row r="4795" spans="1:16" x14ac:dyDescent="0.25">
      <c r="A4795">
        <v>41500153</v>
      </c>
      <c r="B4795" t="s">
        <v>25</v>
      </c>
      <c r="C4795" t="s">
        <v>16</v>
      </c>
      <c r="D4795" t="s">
        <v>19</v>
      </c>
      <c r="E4795">
        <v>57</v>
      </c>
      <c r="F4795">
        <v>60</v>
      </c>
      <c r="G4795">
        <v>3</v>
      </c>
      <c r="H4795" s="1">
        <v>3.2407407407407406E-3</v>
      </c>
      <c r="I4795" t="s">
        <v>18</v>
      </c>
      <c r="J4795" s="2" t="str">
        <f>HYPERLINK("https://www.nba.com/stats/events?CFID=&amp;CFPARAMS=&amp;GameEventID=325&amp;GameID=0041500153&amp;Season=2015-16&amp;flag=1&amp;title=Leonard%2024'%203PT%20Jump%20Shot%20(17%20PTS)%20(Parker%207%20AST)", "Leonard 24' 3PT Jump Shot (17 PTS) (Parker 7 AST)")</f>
        <v>Leonard 24' 3PT Jump Shot (17 PTS) (Parker 7 AST)</v>
      </c>
      <c r="K4795" s="2" t="str">
        <f>HYPERLINK("https://www.nba.com/game/...-vs-...-0041500153/play-by-play?watchFullGame=true", "SAS vs MEM - Q3 04:40.00")</f>
        <v>SAS vs MEM - Q3 04:40.00</v>
      </c>
      <c r="L4795">
        <v>24</v>
      </c>
      <c r="M4795">
        <v>232</v>
      </c>
      <c r="N4795">
        <v>52</v>
      </c>
      <c r="O4795">
        <v>232</v>
      </c>
      <c r="P4795">
        <v>52</v>
      </c>
    </row>
    <row r="4796" spans="1:16" x14ac:dyDescent="0.25">
      <c r="A4796">
        <v>22300486</v>
      </c>
      <c r="B4796">
        <v>2023</v>
      </c>
      <c r="C4796" t="s">
        <v>16</v>
      </c>
      <c r="D4796" t="s">
        <v>19</v>
      </c>
      <c r="E4796">
        <v>49</v>
      </c>
      <c r="F4796">
        <v>70</v>
      </c>
      <c r="G4796">
        <v>3</v>
      </c>
      <c r="H4796" s="1">
        <v>5.0810185185185186E-3</v>
      </c>
      <c r="I4796" t="s">
        <v>23</v>
      </c>
      <c r="J4796" s="2" t="str">
        <f>HYPERLINK("https://www.nba.com/stats/events?CFID=&amp;CFPARAMS=&amp;GameEventID=394&amp;GameID=0022300486&amp;Season=2023-24&amp;flag=1&amp;title=Leonard%203PT%20%20(13%20PTS)%20(I.%20Zubac%202%20AST)", "3PT  (13 PTS) (I. Zubac 2 AST)")</f>
        <v>3PT  (13 PTS) (I. Zubac 2 AST)</v>
      </c>
      <c r="K4796" s="2" t="str">
        <f>HYPERLINK("https://www.nba.com/game/...-vs-...-0022300486/play-by-play?watchFullGame=true", "LAC vs NOP - Q3 07:19.00")</f>
        <v>LAC vs NOP - Q3 07:19.00</v>
      </c>
      <c r="L4796">
        <v>23.91</v>
      </c>
      <c r="M4796">
        <v>11.91</v>
      </c>
      <c r="N4796">
        <v>3.68</v>
      </c>
      <c r="O4796">
        <v>232</v>
      </c>
      <c r="P4796">
        <v>59</v>
      </c>
    </row>
    <row r="4797" spans="1:16" x14ac:dyDescent="0.25">
      <c r="A4797">
        <v>22300257</v>
      </c>
      <c r="B4797">
        <v>2023</v>
      </c>
      <c r="C4797" t="s">
        <v>16</v>
      </c>
      <c r="D4797" t="s">
        <v>19</v>
      </c>
      <c r="E4797">
        <v>47</v>
      </c>
      <c r="F4797">
        <v>47</v>
      </c>
      <c r="G4797">
        <v>2</v>
      </c>
      <c r="H4797" s="1">
        <v>3.2291666666666666E-3</v>
      </c>
      <c r="I4797" t="s">
        <v>23</v>
      </c>
      <c r="J4797" s="2" t="str">
        <f>HYPERLINK("https://www.nba.com/stats/events?CFID=&amp;CFPARAMS=&amp;GameEventID=272&amp;GameID=0022300257&amp;Season=2023-24&amp;flag=1&amp;title=Leonard%203PT%20%20(12%20PTS)%20(P.%20George%203%20AST)", "3PT  (12 PTS) (P. George 3 AST)")</f>
        <v>3PT  (12 PTS) (P. George 3 AST)</v>
      </c>
      <c r="K4797" s="2" t="str">
        <f>HYPERLINK("https://www.nba.com/game/...-vs-...-0022300257/play-by-play?watchFullGame=true", "LAC vs DEN - Q2 04:39.00")</f>
        <v>LAC vs DEN - Q2 04:39.00</v>
      </c>
      <c r="L4797">
        <v>23.94</v>
      </c>
      <c r="M4797">
        <v>87.96</v>
      </c>
      <c r="N4797">
        <v>96.32</v>
      </c>
      <c r="O4797">
        <v>232</v>
      </c>
      <c r="P4797">
        <v>61</v>
      </c>
    </row>
    <row r="4798" spans="1:16" x14ac:dyDescent="0.25">
      <c r="A4798">
        <v>41600153</v>
      </c>
      <c r="B4798" t="s">
        <v>30</v>
      </c>
      <c r="C4798" t="s">
        <v>16</v>
      </c>
      <c r="D4798" t="s">
        <v>19</v>
      </c>
      <c r="E4798">
        <v>23</v>
      </c>
      <c r="F4798">
        <v>24</v>
      </c>
      <c r="G4798">
        <v>2</v>
      </c>
      <c r="H4798" s="1">
        <v>7.5578703703703702E-3</v>
      </c>
      <c r="I4798" t="s">
        <v>18</v>
      </c>
      <c r="J4798" s="2" t="str">
        <f>HYPERLINK("https://www.nba.com/stats/events?CFID=&amp;CFPARAMS=&amp;GameEventID=132&amp;GameID=0041600153&amp;Season=2016-17&amp;flag=1&amp;title=Leonard%20%203PT%20Jump%20Shot%20(9%20PTS)%20(Mills%201%20AST)", "Leonard  3PT Jump Shot (9 PTS) (Mills 1 AST)")</f>
        <v>Leonard  3PT Jump Shot (9 PTS) (Mills 1 AST)</v>
      </c>
      <c r="K4798" s="2" t="str">
        <f>HYPERLINK("https://www.nba.com/game/...-vs-...-0041600153/play-by-play?watchFullGame=true", "SAS vs MEM - Q2 10:53.00")</f>
        <v>SAS vs MEM - Q2 10:53.00</v>
      </c>
      <c r="L4798">
        <v>0</v>
      </c>
      <c r="M4798">
        <v>233</v>
      </c>
      <c r="N4798">
        <v>-6</v>
      </c>
      <c r="O4798">
        <v>233</v>
      </c>
      <c r="P4798">
        <v>-6</v>
      </c>
    </row>
    <row r="4799" spans="1:16" x14ac:dyDescent="0.25">
      <c r="A4799">
        <v>41200405</v>
      </c>
      <c r="B4799" t="s">
        <v>27</v>
      </c>
      <c r="C4799" t="s">
        <v>16</v>
      </c>
      <c r="D4799" t="s">
        <v>19</v>
      </c>
      <c r="E4799">
        <v>32</v>
      </c>
      <c r="F4799">
        <v>19</v>
      </c>
      <c r="G4799">
        <v>1</v>
      </c>
      <c r="H4799" s="1">
        <v>5.4398148148148151E-5</v>
      </c>
      <c r="I4799" t="s">
        <v>18</v>
      </c>
      <c r="J4799" s="2" t="str">
        <f>HYPERLINK("https://www.nba.com/stats/events?CFID=&amp;CFPARAMS=&amp;GameEventID=122&amp;GameID=0041200405&amp;Season=2012-13&amp;flag=1&amp;title=Leonard%20%203PT%20Jump%20Shot%20(7%20PTS)%20(Ginobili%204%20AST)", "Leonard  3PT Jump Shot (7 PTS) (Ginobili 4 AST)")</f>
        <v>Leonard  3PT Jump Shot (7 PTS) (Ginobili 4 AST)</v>
      </c>
      <c r="K4799" s="2" t="str">
        <f>HYPERLINK("https://www.nba.com/game/...-vs-...-0041200405/play-by-play?watchFullGame=true", "SAS vs MIA - Q1 00:04.70")</f>
        <v>SAS vs MIA - Q1 00:04.70</v>
      </c>
      <c r="L4799">
        <v>0</v>
      </c>
      <c r="M4799">
        <v>233</v>
      </c>
      <c r="N4799">
        <v>-3</v>
      </c>
      <c r="O4799">
        <v>233</v>
      </c>
      <c r="P4799">
        <v>-3</v>
      </c>
    </row>
    <row r="4800" spans="1:16" x14ac:dyDescent="0.25">
      <c r="A4800">
        <v>21500235</v>
      </c>
      <c r="B4800">
        <v>2015</v>
      </c>
      <c r="C4800" t="s">
        <v>16</v>
      </c>
      <c r="D4800" t="s">
        <v>19</v>
      </c>
      <c r="E4800">
        <v>42</v>
      </c>
      <c r="F4800">
        <v>39</v>
      </c>
      <c r="G4800">
        <v>2</v>
      </c>
      <c r="H4800" s="1">
        <v>1.1574074074074073E-3</v>
      </c>
      <c r="I4800" t="s">
        <v>18</v>
      </c>
      <c r="J4800" s="2" t="str">
        <f>HYPERLINK("https://www.nba.com/stats/events?CFID=&amp;CFPARAMS=&amp;GameEventID=227&amp;GameID=0021500235&amp;Season=2015-16&amp;flag=1&amp;title=Leonard%20%203PT%20Jump%20Shot%20(12%20PTS)%20(Anderson%201%20AST)", "Leonard  3PT Jump Shot (12 PTS) (Anderson 1 AST)")</f>
        <v>Leonard  3PT Jump Shot (12 PTS) (Anderson 1 AST)</v>
      </c>
      <c r="K4800" s="2" t="str">
        <f>HYPERLINK("https://www.nba.com/game/...-vs-...-0021500235/play-by-play?watchFullGame=true", "SAS vs DEN - Q2 01:40.00")</f>
        <v>SAS vs DEN - Q2 01:40.00</v>
      </c>
      <c r="L4800">
        <v>0</v>
      </c>
      <c r="M4800">
        <v>233</v>
      </c>
      <c r="N4800">
        <v>2</v>
      </c>
      <c r="O4800">
        <v>233</v>
      </c>
      <c r="P4800">
        <v>2</v>
      </c>
    </row>
    <row r="4801" spans="1:16" x14ac:dyDescent="0.25">
      <c r="A4801">
        <v>21600762</v>
      </c>
      <c r="B4801">
        <v>2016</v>
      </c>
      <c r="C4801" t="s">
        <v>16</v>
      </c>
      <c r="D4801" t="s">
        <v>19</v>
      </c>
      <c r="E4801">
        <v>7</v>
      </c>
      <c r="F4801">
        <v>5</v>
      </c>
      <c r="G4801">
        <v>1</v>
      </c>
      <c r="H4801" s="1">
        <v>6.5624999999999998E-3</v>
      </c>
      <c r="I4801" t="s">
        <v>18</v>
      </c>
      <c r="J4801" s="2" t="str">
        <f>HYPERLINK("https://www.nba.com/stats/events?CFID=&amp;CFPARAMS=&amp;GameEventID=26&amp;GameID=0021600762&amp;Season=2016-17&amp;flag=1&amp;title=Leonard%20%203PT%20Jump%20Shot%20(3%20PTS)%20(Lee%201%20AST)", "Leonard  3PT Jump Shot (3 PTS) (Lee 1 AST)")</f>
        <v>Leonard  3PT Jump Shot (3 PTS) (Lee 1 AST)</v>
      </c>
      <c r="K4801" s="2" t="str">
        <f>HYPERLINK("https://www.nba.com/game/...-vs-...-0021600762/play-by-play?watchFullGame=true", "SAS vs DEN - Q1 09:27.00")</f>
        <v>SAS vs DEN - Q1 09:27.00</v>
      </c>
      <c r="L4801">
        <v>0</v>
      </c>
      <c r="M4801">
        <v>233</v>
      </c>
      <c r="N4801">
        <v>11</v>
      </c>
      <c r="O4801">
        <v>233</v>
      </c>
      <c r="P4801">
        <v>11</v>
      </c>
    </row>
    <row r="4802" spans="1:16" x14ac:dyDescent="0.25">
      <c r="A4802">
        <v>21400266</v>
      </c>
      <c r="B4802">
        <v>2014</v>
      </c>
      <c r="C4802" t="s">
        <v>16</v>
      </c>
      <c r="D4802" t="s">
        <v>19</v>
      </c>
      <c r="E4802">
        <v>9</v>
      </c>
      <c r="F4802">
        <v>7</v>
      </c>
      <c r="G4802">
        <v>1</v>
      </c>
      <c r="H4802" s="1">
        <v>4.9074074074074072E-3</v>
      </c>
      <c r="I4802" t="s">
        <v>18</v>
      </c>
      <c r="J4802" s="2" t="str">
        <f>HYPERLINK("https://www.nba.com/stats/events?CFID=&amp;CFPARAMS=&amp;GameEventID=51&amp;GameID=0021400266&amp;Season=2014-15&amp;flag=1&amp;title=Leonard%20%203PT%20Jump%20Shot%20(4%20PTS)%20(Parker%201%20AST)", "Leonard  3PT Jump Shot (4 PTS) (Parker 1 AST)")</f>
        <v>Leonard  3PT Jump Shot (4 PTS) (Parker 1 AST)</v>
      </c>
      <c r="K4802" s="2" t="str">
        <f>HYPERLINK("https://www.nba.com/game/...-vs-...-0021400266/play-by-play?watchFullGame=true", "SAS vs BKN - Q1 07:04.00")</f>
        <v>SAS vs BKN - Q1 07:04.00</v>
      </c>
      <c r="L4802">
        <v>0</v>
      </c>
      <c r="M4802">
        <v>233</v>
      </c>
      <c r="N4802">
        <v>22</v>
      </c>
      <c r="O4802">
        <v>233</v>
      </c>
      <c r="P4802">
        <v>22</v>
      </c>
    </row>
    <row r="4803" spans="1:16" x14ac:dyDescent="0.25">
      <c r="A4803">
        <v>21601085</v>
      </c>
      <c r="B4803">
        <v>2016</v>
      </c>
      <c r="C4803" t="s">
        <v>16</v>
      </c>
      <c r="D4803" t="s">
        <v>19</v>
      </c>
      <c r="E4803">
        <v>70</v>
      </c>
      <c r="F4803">
        <v>55</v>
      </c>
      <c r="G4803">
        <v>3</v>
      </c>
      <c r="H4803" s="1">
        <v>3.6342592592592594E-3</v>
      </c>
      <c r="I4803" t="s">
        <v>18</v>
      </c>
      <c r="J4803" s="2" t="str">
        <f>HYPERLINK("https://www.nba.com/stats/events?CFID=&amp;CFPARAMS=&amp;GameEventID=322&amp;GameID=0021601085&amp;Season=2016-17&amp;flag=1&amp;title=Leonard%2024'%203PT%20Jump%20Shot%20(21%20PTS)%20(Mills%206%20AST)", "Leonard 24' 3PT Jump Shot (21 PTS) (Mills 6 AST)")</f>
        <v>Leonard 24' 3PT Jump Shot (21 PTS) (Mills 6 AST)</v>
      </c>
      <c r="K4803" s="2" t="str">
        <f>HYPERLINK("https://www.nba.com/game/...-vs-...-0021601085/play-by-play?watchFullGame=true", "SAS vs NYK - Q3 05:14.00")</f>
        <v>SAS vs NYK - Q3 05:14.00</v>
      </c>
      <c r="L4803">
        <v>24</v>
      </c>
      <c r="M4803">
        <v>233</v>
      </c>
      <c r="N4803">
        <v>33</v>
      </c>
      <c r="O4803">
        <v>233</v>
      </c>
      <c r="P4803">
        <v>33</v>
      </c>
    </row>
    <row r="4804" spans="1:16" x14ac:dyDescent="0.25">
      <c r="A4804">
        <v>21301092</v>
      </c>
      <c r="B4804">
        <v>2013</v>
      </c>
      <c r="C4804" t="s">
        <v>16</v>
      </c>
      <c r="D4804" t="s">
        <v>19</v>
      </c>
      <c r="E4804">
        <v>44</v>
      </c>
      <c r="F4804">
        <v>29</v>
      </c>
      <c r="G4804">
        <v>2</v>
      </c>
      <c r="H4804" s="1">
        <v>2.673611111111111E-3</v>
      </c>
      <c r="I4804" t="s">
        <v>18</v>
      </c>
      <c r="J4804" s="2" t="str">
        <f>HYPERLINK("https://www.nba.com/stats/events?CFID=&amp;CFPARAMS=&amp;GameEventID=177&amp;GameID=0021301092&amp;Season=2013-14&amp;flag=1&amp;title=Leonard%2024'%203PT%20Jump%20Shot%20(12%20PTS)%20(Duncan%203%20AST)", "Leonard 24' 3PT Jump Shot (12 PTS) (Duncan 3 AST)")</f>
        <v>Leonard 24' 3PT Jump Shot (12 PTS) (Duncan 3 AST)</v>
      </c>
      <c r="K4804" s="2" t="str">
        <f>HYPERLINK("https://www.nba.com/game/...-vs-...-0021301092/play-by-play?watchFullGame=true", "SAS vs NOP - Q2 03:51.00")</f>
        <v>SAS vs NOP - Q2 03:51.00</v>
      </c>
      <c r="L4804">
        <v>24</v>
      </c>
      <c r="M4804">
        <v>233</v>
      </c>
      <c r="N4804">
        <v>48</v>
      </c>
      <c r="O4804">
        <v>233</v>
      </c>
      <c r="P4804">
        <v>48</v>
      </c>
    </row>
    <row r="4805" spans="1:16" x14ac:dyDescent="0.25">
      <c r="A4805">
        <v>22300982</v>
      </c>
      <c r="B4805">
        <v>2023</v>
      </c>
      <c r="C4805" t="s">
        <v>16</v>
      </c>
      <c r="D4805" t="s">
        <v>19</v>
      </c>
      <c r="E4805">
        <v>12</v>
      </c>
      <c r="F4805">
        <v>11</v>
      </c>
      <c r="G4805">
        <v>1</v>
      </c>
      <c r="H4805" s="1">
        <v>4.5833333333333334E-3</v>
      </c>
      <c r="I4805" t="s">
        <v>23</v>
      </c>
      <c r="J4805" s="2" t="str">
        <f>HYPERLINK("https://www.nba.com/stats/events?CFID=&amp;CFPARAMS=&amp;GameEventID=65&amp;GameID=0022300982&amp;Season=2023-24&amp;flag=1&amp;title=Leonard%203PT%20%20(10%20PTS)%20(J.%20Harden%202%20AST)", "3PT  (10 PTS) (J. Harden 2 AST)")</f>
        <v>3PT  (10 PTS) (J. Harden 2 AST)</v>
      </c>
      <c r="K4805" s="2" t="str">
        <f>HYPERLINK("https://www.nba.com/game/...-vs-...-0022300982/play-by-play?watchFullGame=true", "LAC vs ATL - Q1 06:36.00")</f>
        <v>LAC vs ATL - Q1 06:36.00</v>
      </c>
      <c r="L4805">
        <v>23.85</v>
      </c>
      <c r="M4805">
        <v>88.88</v>
      </c>
      <c r="N4805">
        <v>96.57</v>
      </c>
      <c r="O4805">
        <v>233</v>
      </c>
      <c r="P4805">
        <v>52</v>
      </c>
    </row>
    <row r="4806" spans="1:16" x14ac:dyDescent="0.25">
      <c r="A4806">
        <v>21500280</v>
      </c>
      <c r="B4806">
        <v>2015</v>
      </c>
      <c r="C4806" t="s">
        <v>16</v>
      </c>
      <c r="D4806" t="s">
        <v>19</v>
      </c>
      <c r="E4806">
        <v>49</v>
      </c>
      <c r="F4806">
        <v>68</v>
      </c>
      <c r="G4806">
        <v>3</v>
      </c>
      <c r="H4806" s="1">
        <v>2.1180555555555558E-3</v>
      </c>
      <c r="I4806" t="s">
        <v>18</v>
      </c>
      <c r="J4806" s="2" t="str">
        <f>HYPERLINK("https://www.nba.com/stats/events?CFID=&amp;CFPARAMS=&amp;GameEventID=327&amp;GameID=0021500280&amp;Season=2015-16&amp;flag=1&amp;title=Leonard%2025'%203PT%20Jump%20Shot%20(18%20PTS)%20(Mills%201%20AST)", "Leonard 25' 3PT Jump Shot (18 PTS) (Mills 1 AST)")</f>
        <v>Leonard 25' 3PT Jump Shot (18 PTS) (Mills 1 AST)</v>
      </c>
      <c r="K4806" s="2" t="str">
        <f>HYPERLINK("https://www.nba.com/game/...-vs-...-0021500280/play-by-play?watchFullGame=true", "SAS vs MEM - Q3 03:03.00")</f>
        <v>SAS vs MEM - Q3 03:03.00</v>
      </c>
      <c r="L4806">
        <v>25</v>
      </c>
      <c r="M4806">
        <v>233</v>
      </c>
      <c r="N4806">
        <v>82</v>
      </c>
      <c r="O4806">
        <v>233</v>
      </c>
      <c r="P4806">
        <v>82</v>
      </c>
    </row>
    <row r="4807" spans="1:16" x14ac:dyDescent="0.25">
      <c r="A4807">
        <v>21401110</v>
      </c>
      <c r="B4807">
        <v>2014</v>
      </c>
      <c r="C4807" t="s">
        <v>16</v>
      </c>
      <c r="D4807" t="s">
        <v>19</v>
      </c>
      <c r="E4807">
        <v>10</v>
      </c>
      <c r="F4807">
        <v>13</v>
      </c>
      <c r="G4807">
        <v>1</v>
      </c>
      <c r="H4807" s="1">
        <v>2.5694444444444445E-3</v>
      </c>
      <c r="I4807" t="s">
        <v>18</v>
      </c>
      <c r="J4807" s="2" t="str">
        <f>HYPERLINK("https://www.nba.com/stats/events?CFID=&amp;CFPARAMS=&amp;GameEventID=81&amp;GameID=0021401110&amp;Season=2014-15&amp;flag=1&amp;title=Leonard%203PT%20Jump%20Shot%20(5%20PTS)%20(Diaw%201%20AST)", "Leonard 3PT Jump Shot (5 PTS) (Diaw 1 AST)")</f>
        <v>Leonard 3PT Jump Shot (5 PTS) (Diaw 1 AST)</v>
      </c>
      <c r="K4807" s="2" t="str">
        <f>HYPERLINK("https://www.nba.com/game/...-vs-...-0021401110/play-by-play?watchFullGame=true", "SAS vs MIA - Q1 03:42.00")</f>
        <v>SAS vs MIA - Q1 03:42.00</v>
      </c>
      <c r="L4807">
        <v>0</v>
      </c>
      <c r="M4807">
        <v>234</v>
      </c>
      <c r="N4807">
        <v>19</v>
      </c>
      <c r="O4807">
        <v>234</v>
      </c>
      <c r="P4807">
        <v>19</v>
      </c>
    </row>
    <row r="4808" spans="1:16" x14ac:dyDescent="0.25">
      <c r="A4808">
        <v>21400231</v>
      </c>
      <c r="B4808">
        <v>2014</v>
      </c>
      <c r="C4808" t="s">
        <v>16</v>
      </c>
      <c r="D4808" t="s">
        <v>19</v>
      </c>
      <c r="E4808">
        <v>107</v>
      </c>
      <c r="F4808">
        <v>94</v>
      </c>
      <c r="G4808">
        <v>4</v>
      </c>
      <c r="H4808" s="1">
        <v>1.7013888888888888E-3</v>
      </c>
      <c r="I4808" t="s">
        <v>18</v>
      </c>
      <c r="J4808" s="2" t="str">
        <f>HYPERLINK("https://www.nba.com/stats/events?CFID=&amp;CFPARAMS=&amp;GameEventID=465&amp;GameID=0021400231&amp;Season=2014-15&amp;flag=1&amp;title=Leonard%20%203PT%20Jump%20Shot%20(16%20PTS)%20(Duncan%203%20AST)", "Leonard  3PT Jump Shot (16 PTS) (Duncan 3 AST)")</f>
        <v>Leonard  3PT Jump Shot (16 PTS) (Duncan 3 AST)</v>
      </c>
      <c r="K4808" s="2" t="str">
        <f>HYPERLINK("https://www.nba.com/game/...-vs-...-0021400231/play-by-play?watchFullGame=true", "SAS vs SAC - Q4 02:27.00")</f>
        <v>SAS vs SAC - Q4 02:27.00</v>
      </c>
      <c r="L4808">
        <v>0</v>
      </c>
      <c r="M4808">
        <v>234</v>
      </c>
      <c r="N4808">
        <v>20</v>
      </c>
      <c r="O4808">
        <v>234</v>
      </c>
      <c r="P4808">
        <v>20</v>
      </c>
    </row>
    <row r="4809" spans="1:16" x14ac:dyDescent="0.25">
      <c r="A4809">
        <v>41200311</v>
      </c>
      <c r="B4809" t="s">
        <v>27</v>
      </c>
      <c r="C4809" t="s">
        <v>16</v>
      </c>
      <c r="D4809" t="s">
        <v>19</v>
      </c>
      <c r="E4809">
        <v>90</v>
      </c>
      <c r="F4809">
        <v>68</v>
      </c>
      <c r="G4809">
        <v>4</v>
      </c>
      <c r="H4809" s="1">
        <v>5.1967592592592595E-3</v>
      </c>
      <c r="I4809" t="s">
        <v>18</v>
      </c>
      <c r="J4809" s="2" t="str">
        <f>HYPERLINK("https://www.nba.com/stats/events?CFID=&amp;CFPARAMS=&amp;GameEventID=380&amp;GameID=0041200311&amp;Season=2012-13&amp;flag=1&amp;title=Leonard%2024'%203PT%20Jump%20Shot%20(18%20PTS)%20(Parker%209%20AST)", "Leonard 24' 3PT Jump Shot (18 PTS) (Parker 9 AST)")</f>
        <v>Leonard 24' 3PT Jump Shot (18 PTS) (Parker 9 AST)</v>
      </c>
      <c r="K4809" s="2" t="str">
        <f>HYPERLINK("https://www.nba.com/game/...-vs-...-0041200311/play-by-play?watchFullGame=true", "SAS vs MEM - Q4 07:29.00")</f>
        <v>SAS vs MEM - Q4 07:29.00</v>
      </c>
      <c r="L4809">
        <v>24</v>
      </c>
      <c r="M4809">
        <v>234</v>
      </c>
      <c r="N4809">
        <v>42</v>
      </c>
      <c r="O4809">
        <v>234</v>
      </c>
      <c r="P4809">
        <v>42</v>
      </c>
    </row>
    <row r="4810" spans="1:16" x14ac:dyDescent="0.25">
      <c r="A4810">
        <v>21301092</v>
      </c>
      <c r="B4810">
        <v>2013</v>
      </c>
      <c r="C4810" t="s">
        <v>16</v>
      </c>
      <c r="D4810" t="s">
        <v>19</v>
      </c>
      <c r="E4810">
        <v>3</v>
      </c>
      <c r="F4810">
        <v>2</v>
      </c>
      <c r="G4810">
        <v>1</v>
      </c>
      <c r="H4810" s="1">
        <v>7.7777777777777776E-3</v>
      </c>
      <c r="I4810" t="s">
        <v>18</v>
      </c>
      <c r="J4810" s="2" t="str">
        <f>HYPERLINK("https://www.nba.com/stats/events?CFID=&amp;CFPARAMS=&amp;GameEventID=4&amp;GameID=0021301092&amp;Season=2013-14&amp;flag=1&amp;title=Leonard%2024'%203PT%20Jump%20Shot%20(3%20PTS)", "Leonard 24' 3PT Jump Shot (3 PTS)")</f>
        <v>Leonard 24' 3PT Jump Shot (3 PTS)</v>
      </c>
      <c r="K4810" s="2" t="str">
        <f>HYPERLINK("https://www.nba.com/game/...-vs-...-0021301092/play-by-play?watchFullGame=true", "SAS vs NOP - Q1 11:12.00")</f>
        <v>SAS vs NOP - Q1 11:12.00</v>
      </c>
      <c r="L4810">
        <v>24</v>
      </c>
      <c r="M4810">
        <v>234</v>
      </c>
      <c r="N4810">
        <v>69</v>
      </c>
      <c r="O4810">
        <v>234</v>
      </c>
      <c r="P4810">
        <v>69</v>
      </c>
    </row>
    <row r="4811" spans="1:16" x14ac:dyDescent="0.25">
      <c r="A4811">
        <v>21500566</v>
      </c>
      <c r="B4811">
        <v>2015</v>
      </c>
      <c r="C4811" t="s">
        <v>16</v>
      </c>
      <c r="D4811" t="s">
        <v>19</v>
      </c>
      <c r="E4811">
        <v>64</v>
      </c>
      <c r="F4811">
        <v>87</v>
      </c>
      <c r="G4811">
        <v>4</v>
      </c>
      <c r="H4811" s="1">
        <v>5.8333333333333336E-3</v>
      </c>
      <c r="I4811" t="s">
        <v>18</v>
      </c>
      <c r="J4811" s="2" t="str">
        <f>HYPERLINK("https://www.nba.com/stats/events?CFID=&amp;CFPARAMS=&amp;GameEventID=380&amp;GameID=0021500566&amp;Season=2015-16&amp;flag=1&amp;title=Leonard%2024'%203PT%20Jump%20Shot%20(17%20PTS)%20(Aldridge%202%20AST)", "Leonard 24' 3PT Jump Shot (17 PTS) (Aldridge 2 AST)")</f>
        <v>Leonard 24' 3PT Jump Shot (17 PTS) (Aldridge 2 AST)</v>
      </c>
      <c r="K4811" s="2" t="str">
        <f>HYPERLINK("https://www.nba.com/game/...-vs-...-0021500566/play-by-play?watchFullGame=true", "SAS vs BKN - Q4 08:24.00")</f>
        <v>SAS vs BKN - Q4 08:24.00</v>
      </c>
      <c r="L4811">
        <v>24</v>
      </c>
      <c r="M4811">
        <v>235</v>
      </c>
      <c r="N4811">
        <v>-24</v>
      </c>
      <c r="O4811">
        <v>235</v>
      </c>
      <c r="P4811">
        <v>-24</v>
      </c>
    </row>
    <row r="4812" spans="1:16" x14ac:dyDescent="0.25">
      <c r="A4812">
        <v>21900359</v>
      </c>
      <c r="B4812">
        <v>2019</v>
      </c>
      <c r="C4812" t="s">
        <v>16</v>
      </c>
      <c r="D4812" t="s">
        <v>22</v>
      </c>
      <c r="E4812">
        <v>13</v>
      </c>
      <c r="F4812">
        <v>12</v>
      </c>
      <c r="G4812">
        <v>1</v>
      </c>
      <c r="H4812" s="1">
        <v>5.4050925925925924E-3</v>
      </c>
      <c r="I4812" t="s">
        <v>23</v>
      </c>
      <c r="J4812" s="2" t="str">
        <f>HYPERLINK("https://www.nba.com/stats/events?CFID=&amp;CFPARAMS=&amp;GameEventID=49&amp;GameID=0021900359&amp;Season=2019-20&amp;flag=1&amp;title=Leonard%2024'%203PT%20%20(3%20PTS)%20(P.%20Beverley%201%20AST)", "24' 3PT  (3 PTS) (P. Beverley 1 AST)")</f>
        <v>24' 3PT  (3 PTS) (P. Beverley 1 AST)</v>
      </c>
      <c r="K4812" s="2" t="str">
        <f>HYPERLINK("https://www.nba.com/game/...-vs-...-0021900359/play-by-play?watchFullGame=true", "LAC vs TOR - Q1 07:47.00")</f>
        <v>LAC vs TOR - Q1 07:47.00</v>
      </c>
      <c r="L4812">
        <v>23.5</v>
      </c>
      <c r="M4812">
        <v>5.86</v>
      </c>
      <c r="N4812">
        <v>3.01</v>
      </c>
      <c r="O4812">
        <v>235</v>
      </c>
      <c r="P4812">
        <v>3</v>
      </c>
    </row>
    <row r="4813" spans="1:16" x14ac:dyDescent="0.25">
      <c r="A4813">
        <v>22000077</v>
      </c>
      <c r="B4813">
        <v>2020</v>
      </c>
      <c r="C4813" t="s">
        <v>16</v>
      </c>
      <c r="D4813" t="s">
        <v>19</v>
      </c>
      <c r="E4813">
        <v>5</v>
      </c>
      <c r="F4813">
        <v>5</v>
      </c>
      <c r="G4813">
        <v>1</v>
      </c>
      <c r="H4813" s="1">
        <v>6.5046296296296293E-3</v>
      </c>
      <c r="I4813" t="s">
        <v>23</v>
      </c>
      <c r="J4813" s="2" t="str">
        <f>HYPERLINK("https://www.nba.com/stats/events?CFID=&amp;CFPARAMS=&amp;GameEventID=25&amp;GameID=0022000077&amp;Season=2020-21&amp;flag=1&amp;title=Leonard%203PT%20%20(5%20PTS)%20(P.%20George%201%20AST)", "3PT  (5 PTS) (P. George 1 AST)")</f>
        <v>3PT  (5 PTS) (P. George 1 AST)</v>
      </c>
      <c r="K4813" s="2" t="str">
        <f>HYPERLINK("https://www.nba.com/game/...-vs-...-0022000077/play-by-play?watchFullGame=true", "LAC vs UTA - Q1 09:22.00")</f>
        <v>LAC vs UTA - Q1 09:22.00</v>
      </c>
      <c r="L4813">
        <v>23.51</v>
      </c>
      <c r="M4813">
        <v>6.52</v>
      </c>
      <c r="N4813">
        <v>3.01</v>
      </c>
      <c r="O4813">
        <v>235</v>
      </c>
      <c r="P4813">
        <v>9</v>
      </c>
    </row>
    <row r="4814" spans="1:16" x14ac:dyDescent="0.25">
      <c r="A4814">
        <v>41500153</v>
      </c>
      <c r="B4814" t="s">
        <v>25</v>
      </c>
      <c r="C4814" t="s">
        <v>16</v>
      </c>
      <c r="D4814" t="s">
        <v>17</v>
      </c>
      <c r="E4814">
        <v>18</v>
      </c>
      <c r="F4814">
        <v>29</v>
      </c>
      <c r="G4814">
        <v>2</v>
      </c>
      <c r="H4814" s="1">
        <v>7.9629629629629634E-3</v>
      </c>
      <c r="I4814" t="s">
        <v>18</v>
      </c>
      <c r="J4814" s="2" t="str">
        <f>HYPERLINK("https://www.nba.com/stats/events?CFID=&amp;CFPARAMS=&amp;GameEventID=109&amp;GameID=0041500153&amp;Season=2015-16&amp;flag=1&amp;title=Leonard%2024'%203PT%20Running%20Jump%20Shot%20(10%20PTS)%20(Ginobili%201%20AST)", "Leonard 24' 3PT Running Jump Shot (10 PTS) (Ginobili 1 AST)")</f>
        <v>Leonard 24' 3PT Running Jump Shot (10 PTS) (Ginobili 1 AST)</v>
      </c>
      <c r="K4814" s="2" t="str">
        <f>HYPERLINK("https://www.nba.com/game/...-vs-...-0041500153/play-by-play?watchFullGame=true", "SAS vs MEM - Q2 11:28.00")</f>
        <v>SAS vs MEM - Q2 11:28.00</v>
      </c>
      <c r="L4814">
        <v>24</v>
      </c>
      <c r="M4814">
        <v>235</v>
      </c>
      <c r="N4814">
        <v>13</v>
      </c>
      <c r="O4814">
        <v>235</v>
      </c>
      <c r="P4814">
        <v>13</v>
      </c>
    </row>
    <row r="4815" spans="1:16" x14ac:dyDescent="0.25">
      <c r="A4815">
        <v>21601193</v>
      </c>
      <c r="B4815">
        <v>2016</v>
      </c>
      <c r="C4815" t="s">
        <v>16</v>
      </c>
      <c r="D4815" t="s">
        <v>19</v>
      </c>
      <c r="E4815">
        <v>83</v>
      </c>
      <c r="F4815">
        <v>92</v>
      </c>
      <c r="G4815">
        <v>4</v>
      </c>
      <c r="H4815" s="1">
        <v>4.4560185185185189E-3</v>
      </c>
      <c r="I4815" t="s">
        <v>18</v>
      </c>
      <c r="J4815" s="2" t="str">
        <f>HYPERLINK("https://www.nba.com/stats/events?CFID=&amp;CFPARAMS=&amp;GameEventID=411&amp;GameID=0021601193&amp;Season=2016-17&amp;flag=1&amp;title=Leonard%2024'%203PT%20Jump%20Shot%20(28%20PTS)%20(Simmons%204%20AST)", "Leonard 24' 3PT Jump Shot (28 PTS) (Simmons 4 AST)")</f>
        <v>Leonard 24' 3PT Jump Shot (28 PTS) (Simmons 4 AST)</v>
      </c>
      <c r="K4815" s="2" t="str">
        <f>HYPERLINK("https://www.nba.com/game/...-vs-...-0021601193/play-by-play?watchFullGame=true", "SAS vs LAC - Q4 06:25.00")</f>
        <v>SAS vs LAC - Q4 06:25.00</v>
      </c>
      <c r="L4815">
        <v>24</v>
      </c>
      <c r="M4815">
        <v>235</v>
      </c>
      <c r="N4815">
        <v>18</v>
      </c>
      <c r="O4815">
        <v>235</v>
      </c>
      <c r="P4815">
        <v>18</v>
      </c>
    </row>
    <row r="4816" spans="1:16" x14ac:dyDescent="0.25">
      <c r="A4816">
        <v>21600168</v>
      </c>
      <c r="B4816">
        <v>2016</v>
      </c>
      <c r="C4816" t="s">
        <v>16</v>
      </c>
      <c r="D4816" t="s">
        <v>19</v>
      </c>
      <c r="E4816">
        <v>2</v>
      </c>
      <c r="F4816">
        <v>5</v>
      </c>
      <c r="G4816">
        <v>1</v>
      </c>
      <c r="H4816" s="1">
        <v>7.4189814814814813E-3</v>
      </c>
      <c r="I4816" t="s">
        <v>18</v>
      </c>
      <c r="J4816" s="2" t="str">
        <f>HYPERLINK("https://www.nba.com/stats/events?CFID=&amp;CFPARAMS=&amp;GameEventID=3&amp;GameID=0021600168&amp;Season=2016-17&amp;flag=1&amp;title=Leonard%2024'%203PT%20Jump%20Shot%20(3%20PTS)%20(Gasol%201%20AST)", "Leonard 24' 3PT Jump Shot (3 PTS) (Gasol 1 AST)")</f>
        <v>Leonard 24' 3PT Jump Shot (3 PTS) (Gasol 1 AST)</v>
      </c>
      <c r="K4816" s="2" t="str">
        <f>HYPERLINK("https://www.nba.com/game/...-vs-...-0021600168/play-by-play?watchFullGame=true", "SAS vs SAC - Q1 10:41.00")</f>
        <v>SAS vs SAC - Q1 10:41.00</v>
      </c>
      <c r="L4816">
        <v>24</v>
      </c>
      <c r="M4816">
        <v>235</v>
      </c>
      <c r="N4816">
        <v>24</v>
      </c>
      <c r="O4816">
        <v>235</v>
      </c>
      <c r="P4816">
        <v>24</v>
      </c>
    </row>
    <row r="4817" spans="1:16" x14ac:dyDescent="0.25">
      <c r="A4817">
        <v>21500502</v>
      </c>
      <c r="B4817">
        <v>2015</v>
      </c>
      <c r="C4817" t="s">
        <v>16</v>
      </c>
      <c r="D4817" t="s">
        <v>31</v>
      </c>
      <c r="E4817">
        <v>81</v>
      </c>
      <c r="F4817">
        <v>67</v>
      </c>
      <c r="G4817">
        <v>3</v>
      </c>
      <c r="H4817" s="1">
        <v>2.9282407407407408E-3</v>
      </c>
      <c r="I4817" t="s">
        <v>18</v>
      </c>
      <c r="J4817" s="2" t="str">
        <f>HYPERLINK("https://www.nba.com/stats/events?CFID=&amp;CFPARAMS=&amp;GameEventID=333&amp;GameID=0021500502&amp;Season=2015-16&amp;flag=1&amp;title=Leonard%2024'%203PT%20Step%20Back%20Jump%20Shot%20(20%20PTS)%20(Diaw%202%20AST)", "Leonard 24' 3PT Step Back Jump Shot (20 PTS) (Diaw 2 AST)")</f>
        <v>Leonard 24' 3PT Step Back Jump Shot (20 PTS) (Diaw 2 AST)</v>
      </c>
      <c r="K4817" s="2" t="str">
        <f>HYPERLINK("https://www.nba.com/game/...-vs-...-0021500502/play-by-play?watchFullGame=true", "SAS vs HOU - Q3 04:13.00")</f>
        <v>SAS vs HOU - Q3 04:13.00</v>
      </c>
      <c r="L4817">
        <v>24</v>
      </c>
      <c r="M4817">
        <v>235</v>
      </c>
      <c r="N4817">
        <v>26</v>
      </c>
      <c r="O4817">
        <v>235</v>
      </c>
      <c r="P4817">
        <v>26</v>
      </c>
    </row>
    <row r="4818" spans="1:16" x14ac:dyDescent="0.25">
      <c r="A4818">
        <v>21500280</v>
      </c>
      <c r="B4818">
        <v>2015</v>
      </c>
      <c r="C4818" t="s">
        <v>16</v>
      </c>
      <c r="D4818" t="s">
        <v>19</v>
      </c>
      <c r="E4818">
        <v>62</v>
      </c>
      <c r="F4818">
        <v>84</v>
      </c>
      <c r="G4818">
        <v>4</v>
      </c>
      <c r="H4818" s="1">
        <v>6.3888888888888893E-3</v>
      </c>
      <c r="I4818" t="s">
        <v>18</v>
      </c>
      <c r="J4818" s="2" t="str">
        <f>HYPERLINK("https://www.nba.com/stats/events?CFID=&amp;CFPARAMS=&amp;GameEventID=383&amp;GameID=0021500280&amp;Season=2015-16&amp;flag=1&amp;title=Leonard%2024'%203PT%20Jump%20Shot%20(27%20PTS)%20(Mills%202%20AST)", "Leonard 24' 3PT Jump Shot (27 PTS) (Mills 2 AST)")</f>
        <v>Leonard 24' 3PT Jump Shot (27 PTS) (Mills 2 AST)</v>
      </c>
      <c r="K4818" s="2" t="str">
        <f>HYPERLINK("https://www.nba.com/game/...-vs-...-0021500280/play-by-play?watchFullGame=true", "SAS vs MEM - Q4 09:12.00")</f>
        <v>SAS vs MEM - Q4 09:12.00</v>
      </c>
      <c r="L4818">
        <v>24</v>
      </c>
      <c r="M4818">
        <v>235</v>
      </c>
      <c r="N4818">
        <v>36</v>
      </c>
      <c r="O4818">
        <v>235</v>
      </c>
      <c r="P4818">
        <v>36</v>
      </c>
    </row>
    <row r="4819" spans="1:16" x14ac:dyDescent="0.25">
      <c r="A4819">
        <v>22200408</v>
      </c>
      <c r="B4819">
        <v>2022</v>
      </c>
      <c r="C4819" t="s">
        <v>16</v>
      </c>
      <c r="D4819" t="s">
        <v>19</v>
      </c>
      <c r="E4819">
        <v>102</v>
      </c>
      <c r="F4819">
        <v>80</v>
      </c>
      <c r="G4819">
        <v>4</v>
      </c>
      <c r="H4819" s="1">
        <v>5.092592592592593E-3</v>
      </c>
      <c r="I4819" t="s">
        <v>23</v>
      </c>
      <c r="J4819" s="2" t="str">
        <f>HYPERLINK("https://www.nba.com/stats/events?CFID=&amp;CFPARAMS=&amp;GameEventID=560&amp;GameID=0022200408&amp;Season=2022-23&amp;flag=1&amp;title=Leonard%203PT%20%20(23%20PTS)%20(R.%20Jackson%202%20AST)", "3PT  (23 PTS) (R. Jackson 2 AST)")</f>
        <v>3PT  (23 PTS) (R. Jackson 2 AST)</v>
      </c>
      <c r="K4819" s="2" t="str">
        <f>HYPERLINK("https://www.nba.com/game/...-vs-...-0022200408/play-by-play?watchFullGame=true", "LAC vs BOS - Q4 07:20.00")</f>
        <v>LAC vs BOS - Q4 07:20.00</v>
      </c>
      <c r="L4819">
        <v>23.97</v>
      </c>
      <c r="M4819">
        <v>10.43</v>
      </c>
      <c r="N4819">
        <v>2.94</v>
      </c>
      <c r="O4819">
        <v>235</v>
      </c>
      <c r="P4819">
        <v>46</v>
      </c>
    </row>
    <row r="4820" spans="1:16" x14ac:dyDescent="0.25">
      <c r="A4820">
        <v>21900618</v>
      </c>
      <c r="B4820">
        <v>2019</v>
      </c>
      <c r="C4820" t="s">
        <v>16</v>
      </c>
      <c r="D4820" t="s">
        <v>22</v>
      </c>
      <c r="E4820">
        <v>18</v>
      </c>
      <c r="F4820">
        <v>16</v>
      </c>
      <c r="G4820">
        <v>1</v>
      </c>
      <c r="H4820" s="1">
        <v>4.9421296296296297E-3</v>
      </c>
      <c r="I4820" t="s">
        <v>23</v>
      </c>
      <c r="J4820" s="2" t="str">
        <f>HYPERLINK("https://www.nba.com/stats/events?CFID=&amp;CFPARAMS=&amp;GameEventID=44&amp;GameID=0021900618&amp;Season=2019-20&amp;flag=1&amp;title=Leonard%2024'%203PT%20%20(10%20PTS)%20(P.%20Beverley%204%20AST)", "24' 3PT  (10 PTS) (P. Beverley 4 AST)")</f>
        <v>24' 3PT  (10 PTS) (P. Beverley 4 AST)</v>
      </c>
      <c r="K4820" s="2" t="str">
        <f>HYPERLINK("https://www.nba.com/game/...-vs-...-0021900618/play-by-play?watchFullGame=true", "LAC vs ORL - Q1 07:07.00")</f>
        <v>LAC vs ORL - Q1 07:07.00</v>
      </c>
      <c r="L4820">
        <v>24.31</v>
      </c>
      <c r="M4820">
        <v>88.35</v>
      </c>
      <c r="N4820">
        <v>96.99</v>
      </c>
      <c r="O4820">
        <v>235</v>
      </c>
      <c r="P4820">
        <v>57</v>
      </c>
    </row>
    <row r="4821" spans="1:16" x14ac:dyDescent="0.25">
      <c r="A4821">
        <v>21401113</v>
      </c>
      <c r="B4821">
        <v>2014</v>
      </c>
      <c r="C4821" t="s">
        <v>16</v>
      </c>
      <c r="D4821" t="s">
        <v>19</v>
      </c>
      <c r="E4821">
        <v>50</v>
      </c>
      <c r="F4821">
        <v>69</v>
      </c>
      <c r="G4821">
        <v>3</v>
      </c>
      <c r="H4821" s="1">
        <v>4.2592592592592595E-3</v>
      </c>
      <c r="I4821" t="s">
        <v>18</v>
      </c>
      <c r="J4821" s="2" t="str">
        <f>HYPERLINK("https://www.nba.com/stats/events?CFID=&amp;CFPARAMS=&amp;GameEventID=335&amp;GameID=0021401113&amp;Season=2014-15&amp;flag=1&amp;title=Leonard%2024'%203PT%20Jump%20Shot%20(10%20PTS)%20(Splitter%202%20AST)", "Leonard 24' 3PT Jump Shot (10 PTS) (Splitter 2 AST)")</f>
        <v>Leonard 24' 3PT Jump Shot (10 PTS) (Splitter 2 AST)</v>
      </c>
      <c r="K4821" s="2" t="str">
        <f>HYPERLINK("https://www.nba.com/game/...-vs-...-0021401113/play-by-play?watchFullGame=true", "SAS vs ORL - Q3 06:08.00")</f>
        <v>SAS vs ORL - Q3 06:08.00</v>
      </c>
      <c r="L4821">
        <v>24</v>
      </c>
      <c r="M4821">
        <v>236</v>
      </c>
      <c r="N4821">
        <v>-17</v>
      </c>
      <c r="O4821">
        <v>236</v>
      </c>
      <c r="P4821">
        <v>-17</v>
      </c>
    </row>
    <row r="4822" spans="1:16" x14ac:dyDescent="0.25">
      <c r="A4822">
        <v>41200311</v>
      </c>
      <c r="B4822" t="s">
        <v>27</v>
      </c>
      <c r="C4822" t="s">
        <v>16</v>
      </c>
      <c r="D4822" t="s">
        <v>19</v>
      </c>
      <c r="E4822">
        <v>3</v>
      </c>
      <c r="F4822">
        <v>2</v>
      </c>
      <c r="G4822">
        <v>1</v>
      </c>
      <c r="H4822" s="1">
        <v>7.8356481481481489E-3</v>
      </c>
      <c r="I4822" t="s">
        <v>18</v>
      </c>
      <c r="J4822" s="2" t="str">
        <f>HYPERLINK("https://www.nba.com/stats/events?CFID=&amp;CFPARAMS=&amp;GameEventID=3&amp;GameID=0041200311&amp;Season=2012-13&amp;flag=1&amp;title=Leonard%2024'%203PT%20Jump%20Shot%20(3%20PTS)%20(Parker%201%20AST)", "Leonard 24' 3PT Jump Shot (3 PTS) (Parker 1 AST)")</f>
        <v>Leonard 24' 3PT Jump Shot (3 PTS) (Parker 1 AST)</v>
      </c>
      <c r="K4822" s="2" t="str">
        <f>HYPERLINK("https://www.nba.com/game/...-vs-...-0041200311/play-by-play?watchFullGame=true", "SAS vs MEM - Q1 11:17.00")</f>
        <v>SAS vs MEM - Q1 11:17.00</v>
      </c>
      <c r="L4822">
        <v>24</v>
      </c>
      <c r="M4822">
        <v>236</v>
      </c>
      <c r="N4822">
        <v>-10</v>
      </c>
      <c r="O4822">
        <v>236</v>
      </c>
      <c r="P4822">
        <v>-10</v>
      </c>
    </row>
    <row r="4823" spans="1:16" x14ac:dyDescent="0.25">
      <c r="A4823">
        <v>41200311</v>
      </c>
      <c r="B4823" t="s">
        <v>27</v>
      </c>
      <c r="C4823" t="s">
        <v>16</v>
      </c>
      <c r="D4823" t="s">
        <v>19</v>
      </c>
      <c r="E4823">
        <v>51</v>
      </c>
      <c r="F4823">
        <v>36</v>
      </c>
      <c r="G4823">
        <v>2</v>
      </c>
      <c r="H4823" s="1">
        <v>5.6597222222222216E-4</v>
      </c>
      <c r="I4823" t="s">
        <v>18</v>
      </c>
      <c r="J4823" s="2" t="str">
        <f>HYPERLINK("https://www.nba.com/stats/events?CFID=&amp;CFPARAMS=&amp;GameEventID=197&amp;GameID=0041200311&amp;Season=2012-13&amp;flag=1&amp;title=Leonard%2024'%203PT%20Jump%20Shot%20(8%20PTS)%20(Parker%206%20AST)", "Leonard 24' 3PT Jump Shot (8 PTS) (Parker 6 AST)")</f>
        <v>Leonard 24' 3PT Jump Shot (8 PTS) (Parker 6 AST)</v>
      </c>
      <c r="K4823" s="2" t="str">
        <f>HYPERLINK("https://www.nba.com/game/...-vs-...-0041200311/play-by-play?watchFullGame=true", "SAS vs MEM - Q2 00:48.90")</f>
        <v>SAS vs MEM - Q2 00:48.90</v>
      </c>
      <c r="L4823">
        <v>24</v>
      </c>
      <c r="M4823">
        <v>236</v>
      </c>
      <c r="N4823">
        <v>-8</v>
      </c>
      <c r="O4823">
        <v>236</v>
      </c>
      <c r="P4823">
        <v>-8</v>
      </c>
    </row>
    <row r="4824" spans="1:16" x14ac:dyDescent="0.25">
      <c r="A4824">
        <v>41500154</v>
      </c>
      <c r="B4824" t="s">
        <v>25</v>
      </c>
      <c r="C4824" t="s">
        <v>16</v>
      </c>
      <c r="D4824" t="s">
        <v>19</v>
      </c>
      <c r="E4824">
        <v>51</v>
      </c>
      <c r="F4824">
        <v>57</v>
      </c>
      <c r="G4824">
        <v>3</v>
      </c>
      <c r="H4824" s="1">
        <v>5.7175925925925927E-3</v>
      </c>
      <c r="I4824" t="s">
        <v>18</v>
      </c>
      <c r="J4824" s="2" t="str">
        <f>HYPERLINK("https://www.nba.com/stats/events?CFID=&amp;CFPARAMS=&amp;GameEventID=323&amp;GameID=0041500154&amp;Season=2015-16&amp;flag=1&amp;title=Leonard%2024'%203PT%20Jump%20Shot%20(17%20PTS)%20(Parker%202%20AST)", "Leonard 24' 3PT Jump Shot (17 PTS) (Parker 2 AST)")</f>
        <v>Leonard 24' 3PT Jump Shot (17 PTS) (Parker 2 AST)</v>
      </c>
      <c r="K4824" s="2" t="str">
        <f>HYPERLINK("https://www.nba.com/game/...-vs-...-0041500154/play-by-play?watchFullGame=true", "SAS vs MEM - Q3 08:14.00")</f>
        <v>SAS vs MEM - Q3 08:14.00</v>
      </c>
      <c r="L4824">
        <v>24</v>
      </c>
      <c r="M4824">
        <v>236</v>
      </c>
      <c r="N4824">
        <v>-1</v>
      </c>
      <c r="O4824">
        <v>236</v>
      </c>
      <c r="P4824">
        <v>-1</v>
      </c>
    </row>
    <row r="4825" spans="1:16" x14ac:dyDescent="0.25">
      <c r="A4825">
        <v>21400714</v>
      </c>
      <c r="B4825">
        <v>2014</v>
      </c>
      <c r="C4825" t="s">
        <v>16</v>
      </c>
      <c r="D4825" t="s">
        <v>19</v>
      </c>
      <c r="E4825">
        <v>42</v>
      </c>
      <c r="F4825">
        <v>49</v>
      </c>
      <c r="G4825">
        <v>2</v>
      </c>
      <c r="H4825" s="1">
        <v>8.7962962962962962E-4</v>
      </c>
      <c r="I4825" t="s">
        <v>18</v>
      </c>
      <c r="J4825" s="2" t="str">
        <f>HYPERLINK("https://www.nba.com/stats/events?CFID=&amp;CFPARAMS=&amp;GameEventID=227&amp;GameID=0021400714&amp;Season=2014-15&amp;flag=1&amp;title=Leonard%2024'%203PT%20Jump%20Shot%20(12%20PTS)%20(Parker%206%20AST)", "Leonard 24' 3PT Jump Shot (12 PTS) (Parker 6 AST)")</f>
        <v>Leonard 24' 3PT Jump Shot (12 PTS) (Parker 6 AST)</v>
      </c>
      <c r="K4825" s="2" t="str">
        <f>HYPERLINK("https://www.nba.com/game/...-vs-...-0021400714/play-by-play?watchFullGame=true", "SAS vs LAC - Q2 01:16.00")</f>
        <v>SAS vs LAC - Q2 01:16.00</v>
      </c>
      <c r="L4825">
        <v>24</v>
      </c>
      <c r="M4825">
        <v>236</v>
      </c>
      <c r="N4825">
        <v>3</v>
      </c>
      <c r="O4825">
        <v>236</v>
      </c>
      <c r="P4825">
        <v>3</v>
      </c>
    </row>
    <row r="4826" spans="1:16" x14ac:dyDescent="0.25">
      <c r="A4826">
        <v>21400714</v>
      </c>
      <c r="B4826">
        <v>2014</v>
      </c>
      <c r="C4826" t="s">
        <v>16</v>
      </c>
      <c r="D4826" t="s">
        <v>19</v>
      </c>
      <c r="E4826">
        <v>57</v>
      </c>
      <c r="F4826">
        <v>67</v>
      </c>
      <c r="G4826">
        <v>3</v>
      </c>
      <c r="H4826" s="1">
        <v>4.7453703703703703E-3</v>
      </c>
      <c r="I4826" t="s">
        <v>18</v>
      </c>
      <c r="J4826" s="2" t="str">
        <f>HYPERLINK("https://www.nba.com/stats/events?CFID=&amp;CFPARAMS=&amp;GameEventID=302&amp;GameID=0021400714&amp;Season=2014-15&amp;flag=1&amp;title=Leonard%2024'%203PT%20Jump%20Shot%20(20%20PTS)%20(Diaw%203%20AST)", "Leonard 24' 3PT Jump Shot (20 PTS) (Diaw 3 AST)")</f>
        <v>Leonard 24' 3PT Jump Shot (20 PTS) (Diaw 3 AST)</v>
      </c>
      <c r="K4826" s="2" t="str">
        <f>HYPERLINK("https://www.nba.com/game/...-vs-...-0021400714/play-by-play?watchFullGame=true", "SAS vs LAC - Q3 06:50.00")</f>
        <v>SAS vs LAC - Q3 06:50.00</v>
      </c>
      <c r="L4826">
        <v>24</v>
      </c>
      <c r="M4826">
        <v>236</v>
      </c>
      <c r="N4826">
        <v>50</v>
      </c>
      <c r="O4826">
        <v>236</v>
      </c>
      <c r="P4826">
        <v>50</v>
      </c>
    </row>
    <row r="4827" spans="1:16" x14ac:dyDescent="0.25">
      <c r="A4827">
        <v>21300520</v>
      </c>
      <c r="B4827">
        <v>2013</v>
      </c>
      <c r="C4827" t="s">
        <v>16</v>
      </c>
      <c r="D4827" t="s">
        <v>19</v>
      </c>
      <c r="E4827">
        <v>40</v>
      </c>
      <c r="F4827">
        <v>32</v>
      </c>
      <c r="G4827">
        <v>2</v>
      </c>
      <c r="H4827" s="1">
        <v>1.8287037037037037E-3</v>
      </c>
      <c r="I4827" t="s">
        <v>18</v>
      </c>
      <c r="J4827" s="2" t="str">
        <f>HYPERLINK("https://www.nba.com/stats/events?CFID=&amp;CFPARAMS=&amp;GameEventID=235&amp;GameID=0021300520&amp;Season=2013-14&amp;flag=1&amp;title=Leonard%2024'%203PT%20Jump%20Shot%20(12%20PTS)%20(Belinelli%201%20AST)", "Leonard 24' 3PT Jump Shot (12 PTS) (Belinelli 1 AST)")</f>
        <v>Leonard 24' 3PT Jump Shot (12 PTS) (Belinelli 1 AST)</v>
      </c>
      <c r="K4827" s="2" t="str">
        <f>HYPERLINK("https://www.nba.com/game/...-vs-...-0021300520/play-by-play?watchFullGame=true", "SAS vs DAL - Q2 02:38.00")</f>
        <v>SAS vs DAL - Q2 02:38.00</v>
      </c>
      <c r="L4827">
        <v>24</v>
      </c>
      <c r="M4827">
        <v>237</v>
      </c>
      <c r="N4827">
        <v>-10</v>
      </c>
      <c r="O4827">
        <v>237</v>
      </c>
      <c r="P4827">
        <v>-10</v>
      </c>
    </row>
    <row r="4828" spans="1:16" x14ac:dyDescent="0.25">
      <c r="A4828">
        <v>21300338</v>
      </c>
      <c r="B4828">
        <v>2013</v>
      </c>
      <c r="C4828" t="s">
        <v>16</v>
      </c>
      <c r="D4828" t="s">
        <v>19</v>
      </c>
      <c r="E4828">
        <v>69</v>
      </c>
      <c r="F4828">
        <v>66</v>
      </c>
      <c r="G4828">
        <v>3</v>
      </c>
      <c r="H4828" s="1">
        <v>5.2777777777777779E-3</v>
      </c>
      <c r="I4828" t="s">
        <v>18</v>
      </c>
      <c r="J4828" s="2" t="str">
        <f>HYPERLINK("https://www.nba.com/stats/events?CFID=&amp;CFPARAMS=&amp;GameEventID=280&amp;GameID=0021300338&amp;Season=2013-14&amp;flag=1&amp;title=Leonard%2024'%203PT%20Jump%20Shot%20(15%20PTS)%20(Diaw%202%20AST)", "Leonard 24' 3PT Jump Shot (15 PTS) (Diaw 2 AST)")</f>
        <v>Leonard 24' 3PT Jump Shot (15 PTS) (Diaw 2 AST)</v>
      </c>
      <c r="K4828" s="2" t="str">
        <f>HYPERLINK("https://www.nba.com/game/...-vs-...-0021300338/play-by-play?watchFullGame=true", "SAS vs MIN - Q3 07:36.00")</f>
        <v>SAS vs MIN - Q3 07:36.00</v>
      </c>
      <c r="L4828">
        <v>24</v>
      </c>
      <c r="M4828">
        <v>237</v>
      </c>
      <c r="N4828">
        <v>4</v>
      </c>
      <c r="O4828">
        <v>237</v>
      </c>
      <c r="P4828">
        <v>4</v>
      </c>
    </row>
    <row r="4829" spans="1:16" x14ac:dyDescent="0.25">
      <c r="A4829">
        <v>21300349</v>
      </c>
      <c r="B4829">
        <v>2013</v>
      </c>
      <c r="C4829" t="s">
        <v>16</v>
      </c>
      <c r="D4829" t="s">
        <v>19</v>
      </c>
      <c r="E4829">
        <v>52</v>
      </c>
      <c r="F4829">
        <v>66</v>
      </c>
      <c r="G4829">
        <v>3</v>
      </c>
      <c r="H4829" s="1">
        <v>4.340277777777778E-3</v>
      </c>
      <c r="I4829" t="s">
        <v>18</v>
      </c>
      <c r="J4829" s="2" t="str">
        <f>HYPERLINK("https://www.nba.com/stats/events?CFID=&amp;CFPARAMS=&amp;GameEventID=267&amp;GameID=0021300349&amp;Season=2013-14&amp;flag=1&amp;title=Leonard%2024'%203PT%20Jump%20Shot%20(11%20PTS)%20(Duncan%203%20AST)", "Leonard 24' 3PT Jump Shot (11 PTS) (Duncan 3 AST)")</f>
        <v>Leonard 24' 3PT Jump Shot (11 PTS) (Duncan 3 AST)</v>
      </c>
      <c r="K4829" s="2" t="str">
        <f>HYPERLINK("https://www.nba.com/game/...-vs-...-0021300349/play-by-play?watchFullGame=true", "SAS vs UTA - Q3 06:15.00")</f>
        <v>SAS vs UTA - Q3 06:15.00</v>
      </c>
      <c r="L4829">
        <v>24</v>
      </c>
      <c r="M4829">
        <v>237</v>
      </c>
      <c r="N4829">
        <v>19</v>
      </c>
      <c r="O4829">
        <v>237</v>
      </c>
      <c r="P4829">
        <v>19</v>
      </c>
    </row>
    <row r="4830" spans="1:16" x14ac:dyDescent="0.25">
      <c r="A4830">
        <v>21400906</v>
      </c>
      <c r="B4830">
        <v>2014</v>
      </c>
      <c r="C4830" t="s">
        <v>16</v>
      </c>
      <c r="D4830" t="s">
        <v>19</v>
      </c>
      <c r="E4830">
        <v>53</v>
      </c>
      <c r="F4830">
        <v>38</v>
      </c>
      <c r="G4830">
        <v>2</v>
      </c>
      <c r="H4830" s="1">
        <v>4.6296296296296298E-4</v>
      </c>
      <c r="I4830" t="s">
        <v>18</v>
      </c>
      <c r="J4830" s="2" t="str">
        <f>HYPERLINK("https://www.nba.com/stats/events?CFID=&amp;CFPARAMS=&amp;GameEventID=271&amp;GameID=0021400906&amp;Season=2014-15&amp;flag=1&amp;title=Leonard%2024'%203PT%20Jump%20Shot%20(19%20PTS)%20(Parker%202%20AST)", "Leonard 24' 3PT Jump Shot (19 PTS) (Parker 2 AST)")</f>
        <v>Leonard 24' 3PT Jump Shot (19 PTS) (Parker 2 AST)</v>
      </c>
      <c r="K4830" s="2" t="str">
        <f>HYPERLINK("https://www.nba.com/game/...-vs-...-0021400906/play-by-play?watchFullGame=true", "SAS vs SAC - Q2 00:40.00")</f>
        <v>SAS vs SAC - Q2 00:40.00</v>
      </c>
      <c r="L4830">
        <v>24</v>
      </c>
      <c r="M4830">
        <v>237</v>
      </c>
      <c r="N4830">
        <v>28</v>
      </c>
      <c r="O4830">
        <v>237</v>
      </c>
      <c r="P4830">
        <v>28</v>
      </c>
    </row>
    <row r="4831" spans="1:16" x14ac:dyDescent="0.25">
      <c r="A4831">
        <v>22301079</v>
      </c>
      <c r="B4831">
        <v>2023</v>
      </c>
      <c r="C4831" t="s">
        <v>16</v>
      </c>
      <c r="D4831" t="s">
        <v>19</v>
      </c>
      <c r="E4831">
        <v>45</v>
      </c>
      <c r="F4831">
        <v>62</v>
      </c>
      <c r="G4831">
        <v>2</v>
      </c>
      <c r="H4831" s="1">
        <v>1.8171296296296297E-3</v>
      </c>
      <c r="I4831" t="s">
        <v>23</v>
      </c>
      <c r="J4831" s="2" t="str">
        <f>HYPERLINK("https://www.nba.com/stats/events?CFID=&amp;CFPARAMS=&amp;GameEventID=255&amp;GameID=0022301079&amp;Season=2023-24&amp;flag=1&amp;title=Leonard%2024'%203PT%20%20(13%20PTS)%20(T.%20Mann%202%20AST)", "24' 3PT  (13 PTS) (T. Mann 2 AST)")</f>
        <v>24' 3PT  (13 PTS) (T. Mann 2 AST)</v>
      </c>
      <c r="K4831" s="2" t="str">
        <f>HYPERLINK("https://www.nba.com/game/...-vs-...-0022301079/play-by-play?watchFullGame=true", "LAC vs CHA - Q2 02:37.00")</f>
        <v>LAC vs CHA - Q2 02:37.00</v>
      </c>
      <c r="L4831">
        <v>24.85</v>
      </c>
      <c r="M4831">
        <v>86.28</v>
      </c>
      <c r="N4831">
        <v>97.3</v>
      </c>
      <c r="O4831">
        <v>237</v>
      </c>
      <c r="P4831">
        <v>76</v>
      </c>
    </row>
    <row r="4832" spans="1:16" x14ac:dyDescent="0.25">
      <c r="A4832">
        <v>22400679</v>
      </c>
      <c r="B4832">
        <v>2024</v>
      </c>
      <c r="C4832" t="s">
        <v>16</v>
      </c>
      <c r="D4832" t="s">
        <v>19</v>
      </c>
      <c r="E4832">
        <v>81</v>
      </c>
      <c r="F4832">
        <v>90</v>
      </c>
      <c r="G4832">
        <v>4</v>
      </c>
      <c r="H4832" s="1">
        <v>7.4189814814814813E-3</v>
      </c>
      <c r="I4832" t="s">
        <v>23</v>
      </c>
      <c r="J4832" s="2" t="str">
        <f>HYPERLINK("https://www.nba.com/stats/events?CFID=&amp;CFPARAMS=&amp;GameEventID=520&amp;GameID=0022400679&amp;Season=2024-25&amp;flag=1&amp;title=Leonard%203PT%20running%20(16%20PTS)%20(A.%20Coffey%201%20AST)", "3PT running (16 PTS) (A. Coffey 1 AST)")</f>
        <v>3PT running (16 PTS) (A. Coffey 1 AST)</v>
      </c>
      <c r="K4832" s="2" t="str">
        <f>HYPERLINK("https://www.nba.com/game/...-vs-...-0022400679/play-by-play?watchFullGame=true", "LAC vs CHA - Q4 10:41.00")</f>
        <v>LAC vs CHA - Q4 10:41.00</v>
      </c>
      <c r="L4832">
        <v>23.81</v>
      </c>
      <c r="M4832">
        <v>7.05</v>
      </c>
      <c r="N4832">
        <v>2.4500000000000002</v>
      </c>
      <c r="O4832">
        <v>238</v>
      </c>
      <c r="P4832">
        <v>14</v>
      </c>
    </row>
    <row r="4833" spans="1:16" x14ac:dyDescent="0.25">
      <c r="A4833">
        <v>41600155</v>
      </c>
      <c r="B4833" t="s">
        <v>30</v>
      </c>
      <c r="C4833" t="s">
        <v>16</v>
      </c>
      <c r="D4833" t="s">
        <v>19</v>
      </c>
      <c r="E4833">
        <v>72</v>
      </c>
      <c r="F4833">
        <v>61</v>
      </c>
      <c r="G4833">
        <v>3</v>
      </c>
      <c r="H4833" s="1">
        <v>3.7962962962962963E-3</v>
      </c>
      <c r="I4833" t="s">
        <v>18</v>
      </c>
      <c r="J4833" s="2" t="str">
        <f>HYPERLINK("https://www.nba.com/stats/events?CFID=&amp;CFPARAMS=&amp;GameEventID=298&amp;GameID=0041600155&amp;Season=2016-17&amp;flag=1&amp;title=Leonard%2024'%203PT%20Jump%20Shot%20(17%20PTS)%20(Ginobili%202%20AST)", "Leonard 24' 3PT Jump Shot (17 PTS) (Ginobili 2 AST)")</f>
        <v>Leonard 24' 3PT Jump Shot (17 PTS) (Ginobili 2 AST)</v>
      </c>
      <c r="K4833" s="2" t="str">
        <f>HYPERLINK("https://www.nba.com/game/...-vs-...-0041600155/play-by-play?watchFullGame=true", "SAS vs MEM - Q3 05:28.00")</f>
        <v>SAS vs MEM - Q3 05:28.00</v>
      </c>
      <c r="L4833">
        <v>24</v>
      </c>
      <c r="M4833">
        <v>238</v>
      </c>
      <c r="N4833">
        <v>26</v>
      </c>
      <c r="O4833">
        <v>238</v>
      </c>
      <c r="P4833">
        <v>26</v>
      </c>
    </row>
    <row r="4834" spans="1:16" x14ac:dyDescent="0.25">
      <c r="A4834">
        <v>22300151</v>
      </c>
      <c r="B4834">
        <v>2023</v>
      </c>
      <c r="C4834" t="s">
        <v>16</v>
      </c>
      <c r="D4834" t="s">
        <v>19</v>
      </c>
      <c r="E4834">
        <v>56</v>
      </c>
      <c r="F4834">
        <v>57</v>
      </c>
      <c r="G4834">
        <v>3</v>
      </c>
      <c r="H4834" s="1">
        <v>5.6134259259259262E-3</v>
      </c>
      <c r="I4834" t="s">
        <v>23</v>
      </c>
      <c r="J4834" s="2" t="str">
        <f>HYPERLINK("https://www.nba.com/stats/events?CFID=&amp;CFPARAMS=&amp;GameEventID=329&amp;GameID=0022300151&amp;Season=2023-24&amp;flag=1&amp;title=Leonard%2024'%203PT%20%20(9%20PTS)%20(P.%20George%202%20AST)", "24' 3PT  (9 PTS) (P. George 2 AST)")</f>
        <v>24' 3PT  (9 PTS) (P. George 2 AST)</v>
      </c>
      <c r="K4834" s="2" t="str">
        <f>HYPERLINK("https://www.nba.com/game/...-vs-...-0022300151/play-by-play?watchFullGame=true", "LAC vs NYK - Q3 08:05.00")</f>
        <v>LAC vs NYK - Q3 08:05.00</v>
      </c>
      <c r="L4834">
        <v>24.31</v>
      </c>
      <c r="M4834">
        <v>10.99</v>
      </c>
      <c r="N4834">
        <v>2.4500000000000002</v>
      </c>
      <c r="O4834">
        <v>238</v>
      </c>
      <c r="P4834">
        <v>51</v>
      </c>
    </row>
    <row r="4835" spans="1:16" x14ac:dyDescent="0.25">
      <c r="A4835">
        <v>22200766</v>
      </c>
      <c r="B4835">
        <v>2022</v>
      </c>
      <c r="C4835" t="s">
        <v>16</v>
      </c>
      <c r="D4835" t="s">
        <v>19</v>
      </c>
      <c r="E4835">
        <v>88</v>
      </c>
      <c r="F4835">
        <v>94</v>
      </c>
      <c r="G4835">
        <v>4</v>
      </c>
      <c r="H4835" s="1">
        <v>5.7291666666666663E-3</v>
      </c>
      <c r="I4835" t="s">
        <v>23</v>
      </c>
      <c r="J4835" s="2" t="str">
        <f>HYPERLINK("https://www.nba.com/stats/events?CFID=&amp;CFPARAMS=&amp;GameEventID=527&amp;GameID=0022200766&amp;Season=2022-23&amp;flag=1&amp;title=Leonard%203PT%20running%20(24%20PTS)%20(N.%20Powell%204%20AST)", "3PT running (24 PTS) (N. Powell 4 AST)")</f>
        <v>3PT running (24 PTS) (N. Powell 4 AST)</v>
      </c>
      <c r="K4835" s="2" t="str">
        <f>HYPERLINK("https://www.nba.com/game/...-vs-...-0022200766/play-by-play?watchFullGame=true", "LAC vs CHI - Q4 08:15.00")</f>
        <v>LAC vs CHI - Q4 08:15.00</v>
      </c>
      <c r="L4835">
        <v>23.92</v>
      </c>
      <c r="M4835">
        <v>95.35</v>
      </c>
      <c r="N4835">
        <v>97.79</v>
      </c>
      <c r="O4835">
        <v>239</v>
      </c>
      <c r="P4835">
        <v>-9</v>
      </c>
    </row>
    <row r="4836" spans="1:16" x14ac:dyDescent="0.25">
      <c r="A4836">
        <v>21300094</v>
      </c>
      <c r="B4836">
        <v>2013</v>
      </c>
      <c r="C4836" t="s">
        <v>16</v>
      </c>
      <c r="D4836" t="s">
        <v>19</v>
      </c>
      <c r="E4836">
        <v>37</v>
      </c>
      <c r="F4836">
        <v>57</v>
      </c>
      <c r="G4836">
        <v>2</v>
      </c>
      <c r="H4836" s="1">
        <v>1.6087962962962963E-3</v>
      </c>
      <c r="I4836" t="s">
        <v>18</v>
      </c>
      <c r="J4836" s="2" t="str">
        <f>HYPERLINK("https://www.nba.com/stats/events?CFID=&amp;CFPARAMS=&amp;GameEventID=229&amp;GameID=0021300094&amp;Season=2013-14&amp;flag=1&amp;title=Leonard%2024'%203PT%20Jump%20Shot%20(12%20PTS)%20(Ginobili%203%20AST)", "Leonard 24' 3PT Jump Shot (12 PTS) (Ginobili 3 AST)")</f>
        <v>Leonard 24' 3PT Jump Shot (12 PTS) (Ginobili 3 AST)</v>
      </c>
      <c r="K4836" s="2" t="str">
        <f>HYPERLINK("https://www.nba.com/game/...-vs-...-0021300094/play-by-play?watchFullGame=true", "SAS vs NYK - Q2 02:19.00")</f>
        <v>SAS vs NYK - Q2 02:19.00</v>
      </c>
      <c r="L4836">
        <v>24</v>
      </c>
      <c r="M4836">
        <v>239</v>
      </c>
      <c r="N4836">
        <v>47</v>
      </c>
      <c r="O4836">
        <v>239</v>
      </c>
      <c r="P4836">
        <v>47</v>
      </c>
    </row>
    <row r="4837" spans="1:16" x14ac:dyDescent="0.25">
      <c r="A4837">
        <v>22300127</v>
      </c>
      <c r="B4837">
        <v>2023</v>
      </c>
      <c r="C4837" t="s">
        <v>16</v>
      </c>
      <c r="D4837" t="s">
        <v>19</v>
      </c>
      <c r="E4837">
        <v>18</v>
      </c>
      <c r="F4837">
        <v>32</v>
      </c>
      <c r="G4837">
        <v>1</v>
      </c>
      <c r="H4837" s="1">
        <v>1.6435185185185185E-3</v>
      </c>
      <c r="I4837" t="s">
        <v>23</v>
      </c>
      <c r="J4837" s="2" t="str">
        <f>HYPERLINK("https://www.nba.com/stats/events?CFID=&amp;CFPARAMS=&amp;GameEventID=119&amp;GameID=0022300127&amp;Season=2023-24&amp;flag=1&amp;title=Leonard%2024'%203PT%20%20(18%20PTS)%20(B.%20Hyland%202%20AST)", "24' 3PT  (18 PTS) (B. Hyland 2 AST)")</f>
        <v>24' 3PT  (18 PTS) (B. Hyland 2 AST)</v>
      </c>
      <c r="K4837" s="2" t="str">
        <f>HYPERLINK("https://www.nba.com/game/...-vs-...-0022300127/play-by-play?watchFullGame=true", "LAC vs LAL - Q1 02:22.00")</f>
        <v>LAC vs LAL - Q1 02:22.00</v>
      </c>
      <c r="L4837">
        <v>24.72</v>
      </c>
      <c r="M4837">
        <v>87.7</v>
      </c>
      <c r="N4837">
        <v>97.79</v>
      </c>
      <c r="O4837">
        <v>239</v>
      </c>
      <c r="P4837">
        <v>63</v>
      </c>
    </row>
    <row r="4838" spans="1:16" x14ac:dyDescent="0.25">
      <c r="A4838">
        <v>22300151</v>
      </c>
      <c r="B4838">
        <v>2023</v>
      </c>
      <c r="C4838" t="s">
        <v>16</v>
      </c>
      <c r="D4838" t="s">
        <v>19</v>
      </c>
      <c r="E4838">
        <v>99</v>
      </c>
      <c r="F4838">
        <v>88</v>
      </c>
      <c r="G4838">
        <v>4</v>
      </c>
      <c r="H4838" s="1">
        <v>4.1550925925925922E-3</v>
      </c>
      <c r="I4838" t="s">
        <v>23</v>
      </c>
      <c r="J4838" s="2" t="str">
        <f>HYPERLINK("https://www.nba.com/stats/events?CFID=&amp;CFPARAMS=&amp;GameEventID=539&amp;GameID=0022300151&amp;Season=2023-24&amp;flag=1&amp;title=Leonard%2024'%203PT%20%20(18%20PTS)%20(J.%20Harden%206%20AST)", "24' 3PT  (18 PTS) (J. Harden 6 AST)")</f>
        <v>24' 3PT  (18 PTS) (J. Harden 6 AST)</v>
      </c>
      <c r="K4838" s="2" t="str">
        <f>HYPERLINK("https://www.nba.com/game/...-vs-...-0022300151/play-by-play?watchFullGame=true", "LAC vs NYK - Q4 05:59.00")</f>
        <v>LAC vs NYK - Q4 05:59.00</v>
      </c>
      <c r="L4838">
        <v>24.05</v>
      </c>
      <c r="M4838">
        <v>4.42</v>
      </c>
      <c r="N4838">
        <v>1.96</v>
      </c>
      <c r="O4838">
        <v>240</v>
      </c>
      <c r="P4838">
        <v>-11</v>
      </c>
    </row>
    <row r="4839" spans="1:16" x14ac:dyDescent="0.25">
      <c r="A4839">
        <v>21600412</v>
      </c>
      <c r="B4839">
        <v>2016</v>
      </c>
      <c r="C4839" t="s">
        <v>16</v>
      </c>
      <c r="D4839" t="s">
        <v>19</v>
      </c>
      <c r="E4839">
        <v>7</v>
      </c>
      <c r="F4839">
        <v>6</v>
      </c>
      <c r="G4839">
        <v>1</v>
      </c>
      <c r="H4839" s="1">
        <v>7.0023148148148145E-3</v>
      </c>
      <c r="I4839" t="s">
        <v>18</v>
      </c>
      <c r="J4839" s="2" t="str">
        <f>HYPERLINK("https://www.nba.com/stats/events?CFID=&amp;CFPARAMS=&amp;GameEventID=14&amp;GameID=0021600412&amp;Season=2016-17&amp;flag=1&amp;title=Leonard%2024'%203PT%20Jump%20Shot%20(3%20PTS)%20(Parker%202%20AST)", "Leonard 24' 3PT Jump Shot (3 PTS) (Parker 2 AST)")</f>
        <v>Leonard 24' 3PT Jump Shot (3 PTS) (Parker 2 AST)</v>
      </c>
      <c r="K4839" s="2" t="str">
        <f>HYPERLINK("https://www.nba.com/game/...-vs-...-0021600412/play-by-play?watchFullGame=true", "SAS vs NOP - Q1 10:05.00")</f>
        <v>SAS vs NOP - Q1 10:05.00</v>
      </c>
      <c r="L4839">
        <v>24</v>
      </c>
      <c r="M4839">
        <v>240</v>
      </c>
      <c r="N4839">
        <v>-5</v>
      </c>
      <c r="O4839">
        <v>240</v>
      </c>
      <c r="P4839">
        <v>-5</v>
      </c>
    </row>
    <row r="4840" spans="1:16" x14ac:dyDescent="0.25">
      <c r="A4840">
        <v>22300350</v>
      </c>
      <c r="B4840">
        <v>2023</v>
      </c>
      <c r="C4840" t="s">
        <v>16</v>
      </c>
      <c r="D4840" t="s">
        <v>19</v>
      </c>
      <c r="E4840">
        <v>74</v>
      </c>
      <c r="F4840">
        <v>96</v>
      </c>
      <c r="G4840">
        <v>3</v>
      </c>
      <c r="H4840" s="1">
        <v>4.0972222222222226E-3</v>
      </c>
      <c r="I4840" t="s">
        <v>23</v>
      </c>
      <c r="J4840" s="2" t="str">
        <f>HYPERLINK("https://www.nba.com/stats/events?CFID=&amp;CFPARAMS=&amp;GameEventID=431&amp;GameID=0022300350&amp;Season=2023-24&amp;flag=1&amp;title=Leonard%2024'%203PT%20%20(24%20PTS)%20(R.%20Westbrook%203%20AST)", "24' 3PT  (24 PTS) (R. Westbrook 3 AST)")</f>
        <v>24' 3PT  (24 PTS) (R. Westbrook 3 AST)</v>
      </c>
      <c r="K4840" s="2" t="str">
        <f>HYPERLINK("https://www.nba.com/game/...-vs-...-0022300350/play-by-play?watchFullGame=true", "LAC vs IND - Q3 05:54.00")</f>
        <v>LAC vs IND - Q3 05:54.00</v>
      </c>
      <c r="L4840">
        <v>24.14</v>
      </c>
      <c r="M4840">
        <v>8.1</v>
      </c>
      <c r="N4840">
        <v>1.96</v>
      </c>
      <c r="O4840">
        <v>240</v>
      </c>
      <c r="P4840">
        <v>24</v>
      </c>
    </row>
    <row r="4841" spans="1:16" x14ac:dyDescent="0.25">
      <c r="A4841">
        <v>21400921</v>
      </c>
      <c r="B4841">
        <v>2014</v>
      </c>
      <c r="C4841" t="s">
        <v>16</v>
      </c>
      <c r="D4841" t="s">
        <v>19</v>
      </c>
      <c r="E4841">
        <v>12</v>
      </c>
      <c r="F4841">
        <v>9</v>
      </c>
      <c r="G4841">
        <v>1</v>
      </c>
      <c r="H4841" s="1">
        <v>6.053240740740741E-3</v>
      </c>
      <c r="I4841" t="s">
        <v>18</v>
      </c>
      <c r="J4841" s="2" t="str">
        <f>HYPERLINK("https://www.nba.com/stats/events?CFID=&amp;CFPARAMS=&amp;GameEventID=23&amp;GameID=0021400921&amp;Season=2014-15&amp;flag=1&amp;title=Leonard%2024'%203PT%20Jump%20Shot%20(3%20PTS)%20(Splitter%201%20AST)", "Leonard 24' 3PT Jump Shot (3 PTS) (Splitter 1 AST)")</f>
        <v>Leonard 24' 3PT Jump Shot (3 PTS) (Splitter 1 AST)</v>
      </c>
      <c r="K4841" s="2" t="str">
        <f>HYPERLINK("https://www.nba.com/game/...-vs-...-0021400921/play-by-play?watchFullGame=true", "SAS vs DEN - Q1 08:43.00")</f>
        <v>SAS vs DEN - Q1 08:43.00</v>
      </c>
      <c r="L4841">
        <v>24</v>
      </c>
      <c r="M4841">
        <v>241</v>
      </c>
      <c r="N4841">
        <v>4</v>
      </c>
      <c r="O4841">
        <v>241</v>
      </c>
      <c r="P4841">
        <v>4</v>
      </c>
    </row>
    <row r="4842" spans="1:16" x14ac:dyDescent="0.25">
      <c r="A4842">
        <v>21401150</v>
      </c>
      <c r="B4842">
        <v>2014</v>
      </c>
      <c r="C4842" t="s">
        <v>16</v>
      </c>
      <c r="D4842" t="s">
        <v>19</v>
      </c>
      <c r="E4842">
        <v>51</v>
      </c>
      <c r="F4842">
        <v>34</v>
      </c>
      <c r="G4842">
        <v>2</v>
      </c>
      <c r="H4842" s="1">
        <v>1.8055555555555555E-3</v>
      </c>
      <c r="I4842" t="s">
        <v>18</v>
      </c>
      <c r="J4842" s="2" t="str">
        <f>HYPERLINK("https://www.nba.com/stats/events?CFID=&amp;CFPARAMS=&amp;GameEventID=210&amp;GameID=0021401150&amp;Season=2014-15&amp;flag=1&amp;title=Leonard%2024'%203PT%20Jump%20Shot%20(16%20PTS)%20(Parker%204%20AST)", "Leonard 24' 3PT Jump Shot (16 PTS) (Parker 4 AST)")</f>
        <v>Leonard 24' 3PT Jump Shot (16 PTS) (Parker 4 AST)</v>
      </c>
      <c r="K4842" s="2" t="str">
        <f>HYPERLINK("https://www.nba.com/game/...-vs-...-0021401150/play-by-play?watchFullGame=true", "SAS vs GSW - Q2 02:36.00")</f>
        <v>SAS vs GSW - Q2 02:36.00</v>
      </c>
      <c r="L4842">
        <v>24</v>
      </c>
      <c r="M4842">
        <v>241</v>
      </c>
      <c r="N4842">
        <v>25</v>
      </c>
      <c r="O4842">
        <v>241</v>
      </c>
      <c r="P4842">
        <v>25</v>
      </c>
    </row>
    <row r="4843" spans="1:16" x14ac:dyDescent="0.25">
      <c r="A4843">
        <v>22400783</v>
      </c>
      <c r="B4843">
        <v>2024</v>
      </c>
      <c r="C4843" t="s">
        <v>16</v>
      </c>
      <c r="D4843" t="s">
        <v>19</v>
      </c>
      <c r="E4843">
        <v>14</v>
      </c>
      <c r="F4843">
        <v>15</v>
      </c>
      <c r="G4843">
        <v>1</v>
      </c>
      <c r="H4843" s="1">
        <v>4.1319444444444442E-3</v>
      </c>
      <c r="I4843" t="s">
        <v>23</v>
      </c>
      <c r="J4843" s="2" t="str">
        <f>HYPERLINK("https://www.nba.com/stats/events?CFID=&amp;CFPARAMS=&amp;GameEventID=79&amp;GameID=0022400783&amp;Season=2024-25&amp;flag=1&amp;title=Leonard%2024'%203PT%20%20(5%20PTS)%20(Dunn%202%20AST)", "24' 3PT  (5 PTS) (K. Dunn 2 AST)")</f>
        <v>24' 3PT  (5 PTS) (K. Dunn 2 AST)</v>
      </c>
      <c r="K4843" s="2" t="str">
        <f>HYPERLINK("https://www.nba.com/game/...-vs-...-0022400783/play-by-play?watchFullGame=true", "LAC vs MEM - Q1 05:57.00")</f>
        <v>LAC vs MEM - Q1 05:57.00</v>
      </c>
      <c r="L4843">
        <v>24.39</v>
      </c>
      <c r="M4843">
        <v>9.2799999999999994</v>
      </c>
      <c r="N4843">
        <v>1.72</v>
      </c>
      <c r="O4843">
        <v>241</v>
      </c>
      <c r="P4843">
        <v>35</v>
      </c>
    </row>
    <row r="4844" spans="1:16" x14ac:dyDescent="0.25">
      <c r="A4844">
        <v>21600441</v>
      </c>
      <c r="B4844">
        <v>2016</v>
      </c>
      <c r="C4844" t="s">
        <v>16</v>
      </c>
      <c r="D4844" t="s">
        <v>19</v>
      </c>
      <c r="E4844">
        <v>44</v>
      </c>
      <c r="F4844">
        <v>34</v>
      </c>
      <c r="G4844">
        <v>2</v>
      </c>
      <c r="H4844" s="1">
        <v>3.2291666666666666E-3</v>
      </c>
      <c r="I4844" t="s">
        <v>18</v>
      </c>
      <c r="J4844" s="2" t="str">
        <f>HYPERLINK("https://www.nba.com/stats/events?CFID=&amp;CFPARAMS=&amp;GameEventID=233&amp;GameID=0021600441&amp;Season=2016-17&amp;flag=1&amp;title=Leonard%2024'%203PT%20Jump%20Shot%20(11%20PTS)%20(Parker%203%20AST)", "Leonard 24' 3PT Jump Shot (11 PTS) (Parker 3 AST)")</f>
        <v>Leonard 24' 3PT Jump Shot (11 PTS) (Parker 3 AST)</v>
      </c>
      <c r="K4844" s="2" t="str">
        <f>HYPERLINK("https://www.nba.com/game/...-vs-...-0021600441/play-by-play?watchFullGame=true", "SAS vs LAC - Q2 04:39.00")</f>
        <v>SAS vs LAC - Q2 04:39.00</v>
      </c>
      <c r="L4844">
        <v>24</v>
      </c>
      <c r="M4844">
        <v>241</v>
      </c>
      <c r="N4844">
        <v>38</v>
      </c>
      <c r="O4844">
        <v>241</v>
      </c>
      <c r="P4844">
        <v>38</v>
      </c>
    </row>
    <row r="4845" spans="1:16" x14ac:dyDescent="0.25">
      <c r="A4845">
        <v>21301154</v>
      </c>
      <c r="B4845">
        <v>2013</v>
      </c>
      <c r="C4845" t="s">
        <v>16</v>
      </c>
      <c r="D4845" t="s">
        <v>19</v>
      </c>
      <c r="E4845">
        <v>98</v>
      </c>
      <c r="F4845">
        <v>80</v>
      </c>
      <c r="G4845">
        <v>4</v>
      </c>
      <c r="H4845" s="1">
        <v>4.0856481481481481E-3</v>
      </c>
      <c r="I4845" t="s">
        <v>18</v>
      </c>
      <c r="J4845" s="2" t="str">
        <f>HYPERLINK("https://www.nba.com/stats/events?CFID=&amp;CFPARAMS=&amp;GameEventID=424&amp;GameID=0021301154&amp;Season=2013-14&amp;flag=1&amp;title=Leonard%2025'%203PT%20Jump%20Shot%20(26%20PTS)%20(Belinelli%204%20AST)", "Leonard 25' 3PT Jump Shot (26 PTS) (Belinelli 4 AST)")</f>
        <v>Leonard 25' 3PT Jump Shot (26 PTS) (Belinelli 4 AST)</v>
      </c>
      <c r="K4845" s="2" t="str">
        <f>HYPERLINK("https://www.nba.com/game/...-vs-...-0021301154/play-by-play?watchFullGame=true", "SAS vs MEM - Q4 05:53.00")</f>
        <v>SAS vs MEM - Q4 05:53.00</v>
      </c>
      <c r="L4845">
        <v>25</v>
      </c>
      <c r="M4845">
        <v>241</v>
      </c>
      <c r="N4845">
        <v>60</v>
      </c>
      <c r="O4845">
        <v>241</v>
      </c>
      <c r="P4845">
        <v>60</v>
      </c>
    </row>
    <row r="4846" spans="1:16" x14ac:dyDescent="0.25">
      <c r="A4846">
        <v>21400867</v>
      </c>
      <c r="B4846">
        <v>2014</v>
      </c>
      <c r="C4846" t="s">
        <v>16</v>
      </c>
      <c r="D4846" t="s">
        <v>19</v>
      </c>
      <c r="E4846">
        <v>2</v>
      </c>
      <c r="F4846">
        <v>3</v>
      </c>
      <c r="G4846">
        <v>1</v>
      </c>
      <c r="H4846" s="1">
        <v>7.6388888888888886E-3</v>
      </c>
      <c r="I4846" t="s">
        <v>18</v>
      </c>
      <c r="J4846" s="2" t="str">
        <f>HYPERLINK("https://www.nba.com/stats/events?CFID=&amp;CFPARAMS=&amp;GameEventID=9&amp;GameID=0021400867&amp;Season=2014-15&amp;flag=1&amp;title=Leonard%2025'%203PT%20Jump%20Shot%20(3%20PTS)%20(Parker%201%20AST)", "Leonard 25' 3PT Jump Shot (3 PTS) (Parker 1 AST)")</f>
        <v>Leonard 25' 3PT Jump Shot (3 PTS) (Parker 1 AST)</v>
      </c>
      <c r="K4846" s="2" t="str">
        <f>HYPERLINK("https://www.nba.com/game/...-vs-...-0021400867/play-by-play?watchFullGame=true", "SAS vs SAC - Q1 11:00.00")</f>
        <v>SAS vs SAC - Q1 11:00.00</v>
      </c>
      <c r="L4846">
        <v>25</v>
      </c>
      <c r="M4846">
        <v>241</v>
      </c>
      <c r="N4846">
        <v>66</v>
      </c>
      <c r="O4846">
        <v>241</v>
      </c>
      <c r="P4846">
        <v>66</v>
      </c>
    </row>
    <row r="4847" spans="1:16" x14ac:dyDescent="0.25">
      <c r="A4847">
        <v>41800112</v>
      </c>
      <c r="B4847" t="s">
        <v>20</v>
      </c>
      <c r="C4847" t="s">
        <v>16</v>
      </c>
      <c r="D4847" t="s">
        <v>19</v>
      </c>
      <c r="E4847">
        <v>99</v>
      </c>
      <c r="F4847">
        <v>69</v>
      </c>
      <c r="G4847">
        <v>4</v>
      </c>
      <c r="H4847" s="1">
        <v>6.1111111111111114E-3</v>
      </c>
      <c r="I4847" t="s">
        <v>21</v>
      </c>
      <c r="J4847" s="2" t="str">
        <f>HYPERLINK("https://www.nba.com/stats/events?CFID=&amp;CFPARAMS=&amp;GameEventID=515&amp;GameID=0041800112&amp;Season=2018-19&amp;flag=1&amp;title=Leonard%2025'%203PT%20Jump%20Shot%20(37%20PTS)%20(Powell%201%20AST)", "Leonard 25' 3PT Jump Shot (37 PTS) (Powell 1 AST)")</f>
        <v>Leonard 25' 3PT Jump Shot (37 PTS) (Powell 1 AST)</v>
      </c>
      <c r="K4847" s="2" t="str">
        <f>HYPERLINK("https://www.nba.com/game/...-vs-...-0041800112/play-by-play?watchFullGame=true", "TOR vs ORL - Q4 08:48.00")</f>
        <v>TOR vs ORL - Q4 08:48.00</v>
      </c>
      <c r="L4847">
        <v>25</v>
      </c>
      <c r="M4847">
        <v>241</v>
      </c>
      <c r="N4847">
        <v>67</v>
      </c>
      <c r="O4847">
        <v>241</v>
      </c>
      <c r="P4847">
        <v>67</v>
      </c>
    </row>
    <row r="4848" spans="1:16" x14ac:dyDescent="0.25">
      <c r="A4848">
        <v>21401200</v>
      </c>
      <c r="B4848">
        <v>2014</v>
      </c>
      <c r="C4848" t="s">
        <v>16</v>
      </c>
      <c r="D4848" t="s">
        <v>19</v>
      </c>
      <c r="E4848">
        <v>91</v>
      </c>
      <c r="F4848">
        <v>75</v>
      </c>
      <c r="G4848">
        <v>4</v>
      </c>
      <c r="H4848" s="1">
        <v>5.115740740740741E-3</v>
      </c>
      <c r="I4848" t="s">
        <v>18</v>
      </c>
      <c r="J4848" s="2" t="str">
        <f>HYPERLINK("https://www.nba.com/stats/events?CFID=&amp;CFPARAMS=&amp;GameEventID=465&amp;GameID=0021401200&amp;Season=2014-15&amp;flag=1&amp;title=Leonard%2024'%203PT%20Jump%20Shot%20(12%20PTS)%20(Parker%205%20AST)", "Leonard 24' 3PT Jump Shot (12 PTS) (Parker 5 AST)")</f>
        <v>Leonard 24' 3PT Jump Shot (12 PTS) (Parker 5 AST)</v>
      </c>
      <c r="K4848" s="2" t="str">
        <f>HYPERLINK("https://www.nba.com/game/...-vs-...-0021401200/play-by-play?watchFullGame=true", "SAS vs PHX - Q4 07:22.00")</f>
        <v>SAS vs PHX - Q4 07:22.00</v>
      </c>
      <c r="L4848">
        <v>24</v>
      </c>
      <c r="M4848">
        <v>242</v>
      </c>
      <c r="N4848">
        <v>-17</v>
      </c>
      <c r="O4848">
        <v>242</v>
      </c>
      <c r="P4848">
        <v>-17</v>
      </c>
    </row>
    <row r="4849" spans="1:16" x14ac:dyDescent="0.25">
      <c r="A4849">
        <v>21601011</v>
      </c>
      <c r="B4849">
        <v>2016</v>
      </c>
      <c r="C4849" t="s">
        <v>16</v>
      </c>
      <c r="D4849" t="s">
        <v>29</v>
      </c>
      <c r="E4849">
        <v>86</v>
      </c>
      <c r="F4849">
        <v>84</v>
      </c>
      <c r="G4849">
        <v>4</v>
      </c>
      <c r="H4849" s="1">
        <v>6.9444444444444441E-3</v>
      </c>
      <c r="I4849" t="s">
        <v>18</v>
      </c>
      <c r="J4849" s="2" t="str">
        <f>HYPERLINK("https://www.nba.com/stats/events?CFID=&amp;CFPARAMS=&amp;GameEventID=378&amp;GameID=0021601011&amp;Season=2016-17&amp;flag=1&amp;title=Leonard%2024'%203PT%20Pullup%20Jump%20Shot%20(30%20PTS)%20(Ginobili%204%20AST)", "Leonard 24' 3PT Pullup Jump Shot (30 PTS) (Ginobili 4 AST)")</f>
        <v>Leonard 24' 3PT Pullup Jump Shot (30 PTS) (Ginobili 4 AST)</v>
      </c>
      <c r="K4849" s="2" t="str">
        <f>HYPERLINK("https://www.nba.com/game/...-vs-...-0021601011/play-by-play?watchFullGame=true", "SAS vs POR - Q4 10:00.00")</f>
        <v>SAS vs POR - Q4 10:00.00</v>
      </c>
      <c r="L4849">
        <v>24</v>
      </c>
      <c r="M4849">
        <v>243</v>
      </c>
      <c r="N4849">
        <v>-5</v>
      </c>
      <c r="O4849">
        <v>243</v>
      </c>
      <c r="P4849">
        <v>-5</v>
      </c>
    </row>
    <row r="4850" spans="1:16" x14ac:dyDescent="0.25">
      <c r="A4850">
        <v>21600543</v>
      </c>
      <c r="B4850">
        <v>2016</v>
      </c>
      <c r="C4850" t="s">
        <v>16</v>
      </c>
      <c r="D4850" t="s">
        <v>19</v>
      </c>
      <c r="E4850">
        <v>49</v>
      </c>
      <c r="F4850">
        <v>56</v>
      </c>
      <c r="G4850">
        <v>2</v>
      </c>
      <c r="H4850" s="1">
        <v>7.407407407407407E-4</v>
      </c>
      <c r="I4850" t="s">
        <v>18</v>
      </c>
      <c r="J4850" s="2" t="str">
        <f>HYPERLINK("https://www.nba.com/stats/events?CFID=&amp;CFPARAMS=&amp;GameEventID=215&amp;GameID=0021600543&amp;Season=2016-17&amp;flag=1&amp;title=Leonard%2025'%203PT%20Jump%20Shot%20(8%20PTS)%20(Ginobili%203%20AST)", "Leonard 25' 3PT Jump Shot (8 PTS) (Ginobili 3 AST)")</f>
        <v>Leonard 25' 3PT Jump Shot (8 PTS) (Ginobili 3 AST)</v>
      </c>
      <c r="K4850" s="2" t="str">
        <f>HYPERLINK("https://www.nba.com/game/...-vs-...-0021600543/play-by-play?watchFullGame=true", "SAS vs DEN - Q2 01:04.00")</f>
        <v>SAS vs DEN - Q2 01:04.00</v>
      </c>
      <c r="L4850">
        <v>25</v>
      </c>
      <c r="M4850">
        <v>246</v>
      </c>
      <c r="N4850">
        <v>26</v>
      </c>
      <c r="O4850">
        <v>246</v>
      </c>
      <c r="P4850">
        <v>26</v>
      </c>
    </row>
    <row r="4851" spans="1:16" x14ac:dyDescent="0.25">
      <c r="A4851">
        <v>21900406</v>
      </c>
      <c r="B4851">
        <v>2019</v>
      </c>
      <c r="C4851" t="s">
        <v>16</v>
      </c>
      <c r="D4851" t="s">
        <v>22</v>
      </c>
      <c r="E4851">
        <v>81</v>
      </c>
      <c r="F4851">
        <v>62</v>
      </c>
      <c r="G4851">
        <v>3</v>
      </c>
      <c r="H4851" s="1">
        <v>1.5740740740740741E-3</v>
      </c>
      <c r="I4851" t="s">
        <v>23</v>
      </c>
      <c r="J4851" s="2" t="str">
        <f>HYPERLINK("https://www.nba.com/stats/events?CFID=&amp;CFPARAMS=&amp;GameEventID=486&amp;GameID=0021900406&amp;Season=2019-20&amp;flag=1&amp;title=Leonard%2027'%203PT%20%20(19%20PTS)", "27' 3PT  (19 PTS)")</f>
        <v>27' 3PT  (19 PTS)</v>
      </c>
      <c r="K4851" s="2" t="str">
        <f>HYPERLINK("https://www.nba.com/game/...-vs-...-0021900406/play-by-play?watchFullGame=true", "LAC vs PHX - Q3 02:16.00")</f>
        <v>LAC vs PHX - Q3 02:16.00</v>
      </c>
      <c r="L4851">
        <v>27.23</v>
      </c>
      <c r="M4851">
        <v>82.57</v>
      </c>
      <c r="N4851">
        <v>99.2</v>
      </c>
      <c r="O4851">
        <v>246</v>
      </c>
      <c r="P4851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2025-03-12T19:59:37Z</dcterms:created>
  <dcterms:modified xsi:type="dcterms:W3CDTF">2025-03-12T20:01:03Z</dcterms:modified>
</cp:coreProperties>
</file>